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Inkoopprojecten\Infra &amp; Facilitair\2021-61 Technische schoonmaak metrostations OL en RL en tramhaltes AVL en IJ-tram\11. Definitief inschrijvingsleidraad en bijlagen\"/>
    </mc:Choice>
  </mc:AlternateContent>
  <xr:revisionPtr revIDLastSave="0" documentId="8_{4E8F9E25-F84C-422E-B5F7-C711385BB3B6}" xr6:coauthVersionLast="45" xr6:coauthVersionMax="45" xr10:uidLastSave="{00000000-0000-0000-0000-000000000000}"/>
  <bookViews>
    <workbookView xWindow="-120" yWindow="-120" windowWidth="23280" windowHeight="12600" tabRatio="777" activeTab="1" xr2:uid="{BCA24956-64CF-4227-ACDB-DEE8FFB0AC4E}"/>
  </bookViews>
  <sheets>
    <sheet name="Mutatieblad" sheetId="70" r:id="rId1"/>
    <sheet name="1-Inschrijfstaat" sheetId="38" r:id="rId2"/>
    <sheet name="2-Kosten per locatie" sheetId="39" r:id="rId3"/>
    <sheet name="3-Ruimtestaat" sheetId="2" r:id="rId4"/>
    <sheet name="4-Reinigen vloeren" sheetId="43" r:id="rId5"/>
    <sheet name="5-Aanvullend" sheetId="44" r:id="rId6"/>
    <sheet name="6-Liftbodems" sheetId="71" r:id="rId7"/>
    <sheet name="7-Geveldelen  en wanden" sheetId="64" r:id="rId8"/>
    <sheet name="8a-Glasstaat" sheetId="69" r:id="rId9"/>
    <sheet name="8b-Glas kosten totaal" sheetId="68" r:id="rId10"/>
    <sheet name="9-Machinekosten" sheetId="46" r:id="rId11"/>
    <sheet name="10a-Periodieke beurt" sheetId="50" r:id="rId12"/>
    <sheet name="10b-Bereikbaarheidsvoorz." sheetId="76" r:id="rId13"/>
    <sheet name="11a- Afroepprijs graffiti" sheetId="77" r:id="rId14"/>
    <sheet name="11b- Afroepprijs Algemeen" sheetId="48" r:id="rId15"/>
    <sheet name="11c-Afroep RVS kraaiennest" sheetId="49" r:id="rId16"/>
    <sheet name="11d-Afroep Kap Bijlmer" sheetId="67" r:id="rId17"/>
    <sheet name="12-Gelijkrichter stations" sheetId="72" r:id="rId18"/>
    <sheet name="13- Technischeruimten" sheetId="73" r:id="rId19"/>
    <sheet name="14-Sanitaire voorzieningen" sheetId="78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</externalReferences>
  <definedNames>
    <definedName name="\0">[1]Begroting!#REF!</definedName>
    <definedName name="\1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M">[1]Begroting!#REF!</definedName>
    <definedName name="\N">#REF!</definedName>
    <definedName name="\P">[1]Begroting!#REF!</definedName>
    <definedName name="\S">'[2]B-1'!#REF!</definedName>
    <definedName name="\W">[1]Begroting!#REF!</definedName>
    <definedName name="\X">#REF!</definedName>
    <definedName name="_" hidden="1">[3]Blad1!#REF!</definedName>
    <definedName name="______pv2003">[4]prijsopbouw!$O$19</definedName>
    <definedName name="______pv2004">#REF!</definedName>
    <definedName name="_____pv2003">[4]prijsopbouw!$O$19</definedName>
    <definedName name="_____pv2004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pv2003">[4]prijsopbouw!$O$19</definedName>
    <definedName name="____pv2004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pv2003">[4]prijsopbouw!$O$19</definedName>
    <definedName name="___pv2004">#REF!</definedName>
    <definedName name="__123Graph_A" hidden="1">'[5]Offerteformulier 1'!#REF!</definedName>
    <definedName name="__123Graph_B" hidden="1">'[6]Labour Costs'!#REF!</definedName>
    <definedName name="__1F" hidden="1">[3]Psychiatrie!#REF!</definedName>
    <definedName name="__2_0_F" hidden="1">[3]Psychiatrie!#REF!</definedName>
    <definedName name="__3F" hidden="1">[7]Psychiatrie!#REF!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pv2003">[4]prijsopbouw!$O$19</definedName>
    <definedName name="__pv2004">#REF!</definedName>
    <definedName name="_1">[1]Begroting!#REF!</definedName>
    <definedName name="_1_________F" hidden="1">[3]Psychiatrie!#REF!</definedName>
    <definedName name="_1_0_F" hidden="1">[3]Blad1!#REF!</definedName>
    <definedName name="_10">[1]Begroting!#REF!</definedName>
    <definedName name="_10_0_F" hidden="1">[8]Psychiatrie!#REF!</definedName>
    <definedName name="_100">[9]Begroting!#REF!</definedName>
    <definedName name="_1011.1">#REF!</definedName>
    <definedName name="_11">[1]Begroting!#REF!</definedName>
    <definedName name="_11_0_F" hidden="1">[8]Blad1!#REF!</definedName>
    <definedName name="_11F" hidden="1">[8]Blad1!#REF!</definedName>
    <definedName name="_12">[1]Begroting!#REF!</definedName>
    <definedName name="_125">[10]Begroting!#REF!</definedName>
    <definedName name="_13">[1]Begroting!#REF!</definedName>
    <definedName name="_13F" hidden="1">[7]Psychiatrie!#REF!</definedName>
    <definedName name="_14">[1]Begroting!#REF!</definedName>
    <definedName name="_14_0_F" hidden="1">[7]Psychiatrie!#REF!</definedName>
    <definedName name="_15">[1]Begroting!#REF!</definedName>
    <definedName name="_15_0_F" hidden="1">[8]Blad1!#REF!</definedName>
    <definedName name="_16">[1]Begroting!#REF!</definedName>
    <definedName name="_16_0_F" hidden="1">[8]Psychiatrie!#REF!</definedName>
    <definedName name="_17">[1]Begroting!#REF!</definedName>
    <definedName name="_18">[1]Begroting!#REF!</definedName>
    <definedName name="_19">[1]Begroting!#REF!</definedName>
    <definedName name="_191">[11]Begroting!#REF!</definedName>
    <definedName name="_1F" hidden="1">[12]Psychiatrie!#REF!</definedName>
    <definedName name="_2">[1]Begroting!#REF!</definedName>
    <definedName name="_2_______0_F" hidden="1">[3]Psychiatrie!#REF!</definedName>
    <definedName name="_2_0_F" hidden="1">[3]Psychiatrie!#REF!</definedName>
    <definedName name="_20">[1]Begroting!#REF!</definedName>
    <definedName name="_20_0_F" hidden="1">[13]Kengetallen!#REF!</definedName>
    <definedName name="_21">[1]Begroting!#REF!</definedName>
    <definedName name="_22">[1]Begroting!#REF!</definedName>
    <definedName name="_23">[1]Begroting!#REF!</definedName>
    <definedName name="_2F" hidden="1">[14]Blad1!#REF!</definedName>
    <definedName name="_3">[1]Begroting!#REF!</definedName>
    <definedName name="_3_0_F" hidden="1">[8]Blad1!#REF!</definedName>
    <definedName name="_36_0_F" hidden="1">[8]Blad1!#REF!</definedName>
    <definedName name="_37_0_F" hidden="1">[8]Blad1!#REF!</definedName>
    <definedName name="_3F" hidden="1">[7]Psychiatrie!#REF!</definedName>
    <definedName name="_4">[1]Begroting!#REF!</definedName>
    <definedName name="_4_0_F" hidden="1">[8]Blad1!#REF!</definedName>
    <definedName name="_4F" hidden="1">[7]Blad1!#REF!</definedName>
    <definedName name="_5">[1]Begroting!#REF!</definedName>
    <definedName name="_5_0_F" hidden="1">[7]Psychiatrie!#REF!</definedName>
    <definedName name="_5F" hidden="1">[7]Psychiatrie!#REF!</definedName>
    <definedName name="_6">[1]Begroting!#REF!</definedName>
    <definedName name="_6_0_F" hidden="1">[7]Psychiatrie!#REF!</definedName>
    <definedName name="_7">[1]Begroting!#REF!</definedName>
    <definedName name="_7_0_F" hidden="1">[7]Psychiatrie!#REF!</definedName>
    <definedName name="_7F" hidden="1">[15]Psychiatrie!#REF!</definedName>
    <definedName name="_8">[1]Begroting!#REF!</definedName>
    <definedName name="_8_0_F" hidden="1">[7]Psychiatrie!#REF!</definedName>
    <definedName name="_8F" hidden="1">[8]Blad1!#REF!</definedName>
    <definedName name="_9">[1]Begroting!#REF!</definedName>
    <definedName name="_9_0_F" hidden="1">[13]Kengetallen!#REF!</definedName>
    <definedName name="_9F" hidden="1">[8]Blad1!#REF!</definedName>
    <definedName name="_BAY1">[16]BudAssum!$C$5</definedName>
    <definedName name="_BAY2">[16]BudAssum!$D$5</definedName>
    <definedName name="_BAY3">[16]BudAssum!$E$5</definedName>
    <definedName name="_BAY4">[16]BudAssum!$F$5</definedName>
    <definedName name="_BAY5">[16]BudAssum!$G$5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st_Bin" hidden="1">#REF!</definedName>
    <definedName name="_Dist_Values" hidden="1">#REF!</definedName>
    <definedName name="_FDY1">'[16]Fin Input'!$C$426</definedName>
    <definedName name="_FDY2">'[16]Fin Input'!$D$426</definedName>
    <definedName name="_FDY3">'[16]Fin Input'!$E$426</definedName>
    <definedName name="_FDY4">'[16]Fin Input'!$F$426</definedName>
    <definedName name="_FDY5">'[16]Fin Input'!$G$426</definedName>
    <definedName name="_Fill" localSheetId="16" hidden="1">'[17]#REF'!#REF!</definedName>
    <definedName name="_Fill" localSheetId="19" hidden="1">'[17]#REF'!#REF!</definedName>
    <definedName name="_Fill" localSheetId="6" hidden="1">'[17]#REF'!#REF!</definedName>
    <definedName name="_Fill" localSheetId="7" hidden="1">'[17]#REF'!#REF!</definedName>
    <definedName name="_Fill" localSheetId="0" hidden="1">'[17]#REF'!#REF!</definedName>
    <definedName name="_Fill" hidden="1">'[17]#REF'!#REF!</definedName>
    <definedName name="_fill2" hidden="1">[3]Blad1!#REF!</definedName>
    <definedName name="_filll" hidden="1">'[18]#REF'!#REF!</definedName>
    <definedName name="_xlnm._FilterDatabase" localSheetId="12" hidden="1">'10b-Bereikbaarheidsvoorz.'!$A$13:$G$66</definedName>
    <definedName name="_xlnm._FilterDatabase" localSheetId="17" hidden="1">'12-Gelijkrichter stations'!$A$39:$N$189</definedName>
    <definedName name="_xlnm._FilterDatabase" localSheetId="18" hidden="1">'13- Technischeruimten'!$A$75:$J$744</definedName>
    <definedName name="_xlnm._FilterDatabase" localSheetId="2" hidden="1">'2-Kosten per locatie'!$A$13:$O$85</definedName>
    <definedName name="_xlnm._FilterDatabase" localSheetId="3" hidden="1">'3-Ruimtestaat'!$A$11:$S$1626</definedName>
    <definedName name="_xlnm._FilterDatabase" localSheetId="5" hidden="1">'5-Aanvullend'!$A$15:$J$15</definedName>
    <definedName name="_xlnm._FilterDatabase" localSheetId="6" hidden="1">'6-Liftbodems'!$C$15:$U$57</definedName>
    <definedName name="_xlnm._FilterDatabase" localSheetId="7" hidden="1">'7-Geveldelen  en wanden'!$B$16:$G$45</definedName>
    <definedName name="_xlnm._FilterDatabase" localSheetId="8" hidden="1">'8a-Glasstaat'!$A$12:$R$712</definedName>
    <definedName name="_xlnm._FilterDatabase">#REF!</definedName>
    <definedName name="_frq47">[19]Legenda!#REF!</definedName>
    <definedName name="_fte1">[20]data!$B$1:$C$65536</definedName>
    <definedName name="_IY1">'[16]Fin Input'!$C$5</definedName>
    <definedName name="_IY2">'[16]Fin Input'!$D$5</definedName>
    <definedName name="_IY3">'[16]Fin Input'!$E$5</definedName>
    <definedName name="_IY4">'[16]Fin Input'!$F$5</definedName>
    <definedName name="_IY5">'[16]Fin Input'!$G$5</definedName>
    <definedName name="_Key1" localSheetId="16" hidden="1">'[17]#REF'!#REF!</definedName>
    <definedName name="_Key1" localSheetId="19" hidden="1">'[17]#REF'!#REF!</definedName>
    <definedName name="_Key1" localSheetId="6" hidden="1">'[17]#REF'!#REF!</definedName>
    <definedName name="_Key1" localSheetId="7" hidden="1">'[17]#REF'!#REF!</definedName>
    <definedName name="_Key1" localSheetId="0" hidden="1">'[17]#REF'!#REF!</definedName>
    <definedName name="_Key1" hidden="1">'[17]#REF'!#REF!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G1">'[2]B-1'!#REF!</definedName>
    <definedName name="_PAG2">'[2]B-1'!#REF!</definedName>
    <definedName name="_PAG3">'[2]B-1'!#REF!</definedName>
    <definedName name="_pv2003">[4]prijsopbouw!$O$19</definedName>
    <definedName name="_pv2004">#REF!</definedName>
    <definedName name="_sch10">#REF!</definedName>
    <definedName name="_sch11">#REF!</definedName>
    <definedName name="_sch20">#REF!</definedName>
    <definedName name="_sch21">#REF!</definedName>
    <definedName name="_sch22">#REF!</definedName>
    <definedName name="_sch23">#REF!</definedName>
    <definedName name="_sch24">#REF!</definedName>
    <definedName name="_sch31">#REF!</definedName>
    <definedName name="_sch32">#REF!</definedName>
    <definedName name="_sch33">#REF!</definedName>
    <definedName name="_sch34">#REF!</definedName>
    <definedName name="_sch35">#REF!</definedName>
    <definedName name="_sch41">#REF!</definedName>
    <definedName name="_sch42">#REF!</definedName>
    <definedName name="_sch43">#REF!</definedName>
    <definedName name="_sch44">#REF!</definedName>
    <definedName name="_sch45">#REF!</definedName>
    <definedName name="_sch51">#REF!</definedName>
    <definedName name="_sch52">#REF!</definedName>
    <definedName name="_sch61">#REF!</definedName>
    <definedName name="_sch62">#REF!</definedName>
    <definedName name="_sch63">#REF!</definedName>
    <definedName name="_sch64">#REF!</definedName>
    <definedName name="_Sort" hidden="1">#REF!</definedName>
    <definedName name="_Sort2" hidden="1">#REF!</definedName>
    <definedName name="_Table1_In1" localSheetId="19" hidden="1">#REF!</definedName>
    <definedName name="_Table1_In1" localSheetId="6" hidden="1">#REF!</definedName>
    <definedName name="_Table1_In1" localSheetId="0" hidden="1">#REF!</definedName>
    <definedName name="_Table1_In1" hidden="1">#REF!</definedName>
    <definedName name="_Table1_Out" localSheetId="19" hidden="1">#REF!</definedName>
    <definedName name="_Table1_Out" localSheetId="0" hidden="1">#REF!</definedName>
    <definedName name="_Table1_Out" hidden="1">#REF!</definedName>
    <definedName name="a">[21]Prijsbladen!$D$444</definedName>
    <definedName name="a_nodig">#REF!</definedName>
    <definedName name="aaa">#REF!</definedName>
    <definedName name="Aanneemsomxyz" hidden="1">[3]Blad1!#REF!</definedName>
    <definedName name="aannemer">'[22]basisgegevens aannemer'!$C$3</definedName>
    <definedName name="AanpassingScriptFAQ">#REF!</definedName>
    <definedName name="AanpassingScriptHIP">#REF!</definedName>
    <definedName name="aantal_niet_gebruikt">[23]Programma_check!$Y$1</definedName>
    <definedName name="AardWerk">[24]Frequnetie!$A$3:$B$27</definedName>
    <definedName name="AccessDatabase" hidden="1">"C:\data\excel\BASISWP.mdb"</definedName>
    <definedName name="Additioneel" hidden="1">'[25]#REF'!#REF!</definedName>
    <definedName name="Adj_CBIII">'[16]Value of Customer Contracts'!#REF!</definedName>
    <definedName name="Adj_LossRates">'[16]Value of Customer Contracts'!#REF!</definedName>
    <definedName name="Adj_TO">'[16]Value of Customer Contracts'!#REF!</definedName>
    <definedName name="Adjustments">#REF!</definedName>
    <definedName name="AdjWACC">#REF!</definedName>
    <definedName name="adm">[26]Basisgegevens!#REF!</definedName>
    <definedName name="administratie">[27]Basisgegevens!$E$66</definedName>
    <definedName name="adres">'[28]OBJECT '!$B$8</definedName>
    <definedName name="Afdeling_add">#REF!</definedName>
    <definedName name="_xlnm.Print_Area" localSheetId="11">'10a-Periodieke beurt'!$A$1:$O$72</definedName>
    <definedName name="_xlnm.Print_Area" localSheetId="12">'10b-Bereikbaarheidsvoorz.'!$A$1:$G$70</definedName>
    <definedName name="_xlnm.Print_Area" localSheetId="18">'13- Technischeruimten'!$A$1:$I$885</definedName>
    <definedName name="_xlnm.Print_Area" localSheetId="1">'1-Inschrijfstaat'!$A$1:$I$59</definedName>
    <definedName name="_xlnm.Print_Area" localSheetId="2">'2-Kosten per locatie'!$A$1:$O$85</definedName>
    <definedName name="_xlnm.Print_Area" localSheetId="3">'3-Ruimtestaat'!$B$3:$S$1616</definedName>
    <definedName name="_xlnm.Print_Area" localSheetId="8">'8a-Glasstaat'!$B$1:$R$712</definedName>
    <definedName name="_xlnm.Print_Area" localSheetId="9">'8b-Glas kosten totaal'!$B$1:$M$78</definedName>
    <definedName name="_xlnm.Print_Area">#REF!</definedName>
    <definedName name="Afdrukbereik_MI">#REF!</definedName>
    <definedName name="_xlnm.Print_Titles" localSheetId="3">'3-Ruimtestaat'!$11:$11</definedName>
    <definedName name="_xlnm.Print_Titles" localSheetId="8">'8a-Glasstaat'!$12:$12</definedName>
    <definedName name="_xlnm.Print_Titles" localSheetId="9">'8b-Glas kosten totaal'!$12:$12</definedName>
    <definedName name="_xlnm.Print_Titles">#N/A</definedName>
    <definedName name="AFDRUKTITELS_MI">#REF!</definedName>
    <definedName name="AFRICAcheck">#REF!</definedName>
    <definedName name="AFRICAtrig">#REF!</definedName>
    <definedName name="afschr">[27]Basisgegevens!$E$64</definedName>
    <definedName name="afschrijving">[29]Reductieberekening!$C$3</definedName>
    <definedName name="AfschrijvingenN">[30]Kengetallen!#REF!</definedName>
    <definedName name="AfschrijvingenNmin1">[30]Kengetallen!#REF!</definedName>
    <definedName name="AfschrijvingenNmin2">[30]Kengetallen!#REF!</definedName>
    <definedName name="age">#REF!</definedName>
    <definedName name="Alg">[27]Basisgegevens!$E$70</definedName>
    <definedName name="AMEcheck">#REF!</definedName>
    <definedName name="AMEtrig">#REF!</definedName>
    <definedName name="anak">#REF!</definedName>
    <definedName name="antwoord">#REF!</definedName>
    <definedName name="AOP">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arbeidsprestatie">[31]Prestatiefactoren!#REF!</definedName>
    <definedName name="arnhem">#REF!</definedName>
    <definedName name="ASIAcheck">#REF!</definedName>
    <definedName name="ASIAtrig">#REF!</definedName>
    <definedName name="Austria">#REF!</definedName>
    <definedName name="Auto">[27]Basisgegevens!$E$69</definedName>
    <definedName name="Avond">[32]Personeel!#REF!</definedName>
    <definedName name="b" hidden="1">[3]Blad1!#REF!</definedName>
    <definedName name="b_nodig">#REF!</definedName>
    <definedName name="balanceinputlocal">'[16]Fin Input'!$B$64:$G$123</definedName>
    <definedName name="ballast">#REF!</definedName>
    <definedName name="basisuurlonen">#REF!</definedName>
    <definedName name="basisuurlonenjeugd">[27]Basisgegevens!$B$6:$C$12</definedName>
    <definedName name="basisuurlonenVakvolwassenen">[27]Basisgegevens!$E$6:$F$12</definedName>
    <definedName name="BAY">[16]BudAssum!$B$5</definedName>
    <definedName name="beheer">'[22]basisgegevens bestek contract'!$A$28</definedName>
    <definedName name="Belgium">#REF!</definedName>
    <definedName name="bench_cat">[33]Sheet1!$E$3:$E$17</definedName>
    <definedName name="berichtok">[0]!berichtok</definedName>
    <definedName name="berichtoke">[0]!berichtoke</definedName>
    <definedName name="berichtoke1">[0]!berichtoke1</definedName>
    <definedName name="Berkt">[34]!Berkt</definedName>
    <definedName name="bestekcontract">[35]verzamelblad!$A$2</definedName>
    <definedName name="besteknr">[35]verzamelblad!$A$3</definedName>
    <definedName name="BijsluitenLeaflet250">#REF!</definedName>
    <definedName name="BijsluitenLeaflet250500">#REF!</definedName>
    <definedName name="BijsluitenLeaflet500">#REF!</definedName>
    <definedName name="bla">#REF!</definedName>
    <definedName name="BoekjaarNmin1">[30]Parameters!#REF!</definedName>
    <definedName name="BoekjaarNmin2">[30]Parameters!#REF!</definedName>
    <definedName name="BonusdagenFT">#REF!</definedName>
    <definedName name="BonusdagenPT">#REF!</definedName>
    <definedName name="BorrowingRate">#REF!</definedName>
    <definedName name="BriefpapierA3">#REF!</definedName>
    <definedName name="BriefpapierA4">#REF!</definedName>
    <definedName name="BriefpapierA5">#REF!</definedName>
    <definedName name="BriefpapierA6">#REF!</definedName>
    <definedName name="bries">#REF!</definedName>
    <definedName name="btypes">[36]Sheet3!$B$10:$B$18</definedName>
    <definedName name="Budget">[16]Valuation!$B$390</definedName>
    <definedName name="Budgetassumptions">[16]BudAssum!$B$2</definedName>
    <definedName name="bupa">#REF!</definedName>
    <definedName name="BurstSeat">#REF!</definedName>
    <definedName name="Capacity">#REF!</definedName>
    <definedName name="CashflowEVGemiddeld">[30]Kengetallen!#REF!</definedName>
    <definedName name="CashflowEVN">[30]Kengetallen!#REF!</definedName>
    <definedName name="CashflowEVNmin1">[30]Kengetallen!#REF!</definedName>
    <definedName name="CashflowEVNmin2">[30]Kengetallen!#REF!</definedName>
    <definedName name="CashflowGemiddeld">[30]Kengetallen!#REF!</definedName>
    <definedName name="CashflowN">[30]Kengetallen!#REF!</definedName>
    <definedName name="CashflowNmin1">[30]Kengetallen!#REF!</definedName>
    <definedName name="CashflowNmin2">[30]Kengetallen!#REF!</definedName>
    <definedName name="cashinputlocal">'[16]Fin Input'!$B$129:$G$179</definedName>
    <definedName name="Checklist_aanbesteding">#REF!</definedName>
    <definedName name="cluster">'[37]3-Basis ruimtestaat'!$B:$B</definedName>
    <definedName name="CodeNorm">#REF!</definedName>
    <definedName name="CodeOfferte">#REF!</definedName>
    <definedName name="Comms_Tech">[33]Comms_Tech!$H$3:$H$4</definedName>
    <definedName name="CompensatieRentabiliteitDoorSolvabiliteit">[30]Parameters!#REF!</definedName>
    <definedName name="cons_prijs">[22]Uitvoergegevens!$E$22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ountryid">#REF!</definedName>
    <definedName name="CountryList">#REF!</definedName>
    <definedName name="CRBs">[33]Other!$B$22:$B$23</definedName>
    <definedName name="CWS">#REF!</definedName>
    <definedName name="d_gebruikers">#REF!</definedName>
    <definedName name="D_kwal">#REF!</definedName>
    <definedName name="D_open">#REF!</definedName>
    <definedName name="dag">#REF!</definedName>
    <definedName name="Dagelijks">#REF!</definedName>
    <definedName name="dagenperjaar1">[38]Omreken!$B$9</definedName>
    <definedName name="dagsoorttabel1">[38]Omreken!$A$13:$B$28</definedName>
    <definedName name="data">#REF!</definedName>
    <definedName name="Data___Site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aRange">#REF!</definedName>
    <definedName name="Date">#REF!</definedName>
    <definedName name="DATUM">#REF!</definedName>
    <definedName name="debtall">#REF!</definedName>
    <definedName name="Decision_2011">#REF!</definedName>
    <definedName name="Decision_2012">#REF!</definedName>
    <definedName name="Decision_2013">#REF!</definedName>
    <definedName name="Decision_2014">#REF!</definedName>
    <definedName name="Decision_2015">#REF!</definedName>
    <definedName name="Decision_2016">#REF!</definedName>
    <definedName name="Deeg">#REF!</definedName>
    <definedName name="DefualtStapBandbreedte">#REF!</definedName>
    <definedName name="delivery">'[39]Service Standards'!$G$3:$G$4</definedName>
    <definedName name="Denmark">#REF!</definedName>
    <definedName name="desAccount">#REF!</definedName>
    <definedName name="desCustom1">#REF!</definedName>
    <definedName name="desCustom2">#REF!</definedName>
    <definedName name="desCustom3">#REF!</definedName>
    <definedName name="desCustom4">#REF!</definedName>
    <definedName name="desEntity">#REF!</definedName>
    <definedName name="desParent">#REF!</definedName>
    <definedName name="desPeriod">#REF!</definedName>
    <definedName name="desScenario">#REF!</definedName>
    <definedName name="desValue">#REF!</definedName>
    <definedName name="desView">#REF!</definedName>
    <definedName name="desYear">#REF!</definedName>
    <definedName name="dffdf" localSheetId="16" hidden="1">'[17]#REF'!#REF!</definedName>
    <definedName name="dffdf" localSheetId="19" hidden="1">'[17]#REF'!#REF!</definedName>
    <definedName name="dffdf" localSheetId="6" hidden="1">'[17]#REF'!#REF!</definedName>
    <definedName name="dffdf" localSheetId="7" hidden="1">'[40]#REF'!#REF!</definedName>
    <definedName name="dffdf" hidden="1">'[17]#REF'!#REF!</definedName>
    <definedName name="directtoezicht">[35]uurtariefopbouw!$D$26</definedName>
    <definedName name="Dix">[32]Personeel!#REF!</definedName>
    <definedName name="dk_lk">'[41]dagkracht uurtarief'!$E$16</definedName>
    <definedName name="dk_tarief">'[41]dagkracht uurtarief'!$E$42</definedName>
    <definedName name="dk_tarief_fe">'[41]Uurtarieven matrix'!$J$29</definedName>
    <definedName name="dk_tarief_za">'[41]Uurtarieven matrix'!$H$29</definedName>
    <definedName name="DM_Colour">[33]Other!$F$62:$F$64</definedName>
    <definedName name="DM_Freq">[33]Other!$G$62:$G$64</definedName>
    <definedName name="Documentation">#REF!</definedName>
    <definedName name="DoorverbondenGesprekPerSeconde">#REF!</definedName>
    <definedName name="Drie">[32]Personeel!#REF!</definedName>
    <definedName name="dsa">#REF!</definedName>
    <definedName name="Dust_Mats">[33]Other!$B$62:$B$66</definedName>
    <definedName name="DynamischeHefboomfactorGemiddeld">[30]Kengetallen!#REF!</definedName>
    <definedName name="DynamischeHefboomfactorN">[30]Kengetallen!#REF!</definedName>
    <definedName name="DynamischeHefboomfactorNmin1">[30]Kengetallen!#REF!</definedName>
    <definedName name="DynamischeHefboomfactorNmin2">[30]Kengetallen!#REF!</definedName>
    <definedName name="ed">#REF!</definedName>
    <definedName name="ed_freq">#REF!</definedName>
    <definedName name="ee">[42]vergelijken!#REF!</definedName>
    <definedName name="Een">[32]Personeel!#REF!</definedName>
    <definedName name="EENMAL">#REF!</definedName>
    <definedName name="eg">#REF!</definedName>
    <definedName name="Eindbeurt">#REF!</definedName>
    <definedName name="einde">[0]!einde</definedName>
    <definedName name="Eindejaarstoeslag">#REF!</definedName>
    <definedName name="eindhoven">#REF!</definedName>
    <definedName name="EMEcheck">#REF!</definedName>
    <definedName name="EMEtrig">#REF!</definedName>
    <definedName name="EnvelopA4">#REF!</definedName>
    <definedName name="EnvelopA5">#REF!</definedName>
    <definedName name="eqcc">'[16]Fin Input'!$G$26</definedName>
    <definedName name="eqirr">#REF!</definedName>
    <definedName name="Equip_Type">[33]Equip!$J$3:$J$19</definedName>
    <definedName name="ervaringsjaren">#REF!</definedName>
    <definedName name="Ervaringsjarentoeslag">[27]Basisgegevens!$H$6:$I$12</definedName>
    <definedName name="Erwin">#REF!</definedName>
    <definedName name="euro">[43]Blad3!$C$2</definedName>
    <definedName name="EVA">[16]Valuation!$B$2</definedName>
    <definedName name="ExchangeRate">[16]Intro!$C$15</definedName>
    <definedName name="ExchangeRate1">[16]Intro!$D$12</definedName>
    <definedName name="ExpiryYear">#REF!</definedName>
    <definedName name="Extra_Visitors">[33]Other!$B$100:$B$105</definedName>
    <definedName name="extrawerk">#REF!</definedName>
    <definedName name="ExtraWerkstroom">#REF!</definedName>
    <definedName name="fe">[0]!fe</definedName>
    <definedName name="FeestdagenFT">[27]Basisgegevens!$I$23</definedName>
    <definedName name="FeestdagenPT">[27]Basisgegevens!$F$23</definedName>
    <definedName name="ff" hidden="1">[3]Blad1!#REF!</definedName>
    <definedName name="fff">#REF!</definedName>
    <definedName name="fghf" localSheetId="19" hidden="1">'[17]#REF'!#REF!</definedName>
    <definedName name="fghf" localSheetId="6" hidden="1">'[17]#REF'!#REF!</definedName>
    <definedName name="fghf" hidden="1">'[17]#REF'!#REF!</definedName>
    <definedName name="FinancialData">'[16]Fin Input'!$B$422</definedName>
    <definedName name="Finland">#REF!</definedName>
    <definedName name="fkhwefhl">[32]Personeel!#REF!</definedName>
    <definedName name="Flex_Rates">'[33]Notes &amp; Assumptions'!$D$237:$H$237</definedName>
    <definedName name="France">#REF!</definedName>
    <definedName name="franchisealgemeen">[27]Basisgegevens!$I$50</definedName>
    <definedName name="franchiseww">[27]Basisgegevens!$I$45</definedName>
    <definedName name="Frekwentie_0">'[44]Adm. ruimte 01.0'!#REF!</definedName>
    <definedName name="freq">[31]Werkprogramma!#REF!</definedName>
    <definedName name="freqtabel">'[45]Middag werk 5w'!#REF!</definedName>
    <definedName name="frequentie">[46]Categorieen!$A$1059:$X$1067</definedName>
    <definedName name="FSF">#REF!</definedName>
    <definedName name="funk">#REF!</definedName>
    <definedName name="g">[47]Begroting!#REF!</definedName>
    <definedName name="Gan_R">[34]!Gan_R</definedName>
    <definedName name="gebouw">#REF!</definedName>
    <definedName name="Gebouw_glas">'[48]1A-Glas'!$A:$A</definedName>
    <definedName name="gebruikerscode">[23]Tussenblad!$A$12</definedName>
    <definedName name="gein">#REF!</definedName>
    <definedName name="Germany">#REF!</definedName>
    <definedName name="GET_CLIENT">#REF!</definedName>
    <definedName name="GET_CLIENT96">#REF!</definedName>
    <definedName name="GewichtN">[30]Parameters!#REF!</definedName>
    <definedName name="GewichtNmin1">[30]Parameters!#REF!</definedName>
    <definedName name="GewichtNmin2">[30]Parameters!#REF!</definedName>
    <definedName name="GewichtTotaal">[30]Parameters!#REF!</definedName>
    <definedName name="glas">[0]!glas</definedName>
    <definedName name="glas_excl">[22]Uitvoergegevens!$I$11</definedName>
    <definedName name="glas_incl">[22]Uitvoergegevens!$I$10</definedName>
    <definedName name="Glasbewassing">'[48]1A-Glas'!$K:$K</definedName>
    <definedName name="glasbwas">#REF!</definedName>
    <definedName name="Glassoort" localSheetId="19">#REF!</definedName>
    <definedName name="glassoort">#REF!</definedName>
    <definedName name="Glassoort2" localSheetId="19">#REF!</definedName>
    <definedName name="Glassoort2">'8a-Glasstaat'!$P$13:$R$25</definedName>
    <definedName name="Gls_G">[10]Begroting!#REF!</definedName>
    <definedName name="gron">#REF!</definedName>
    <definedName name="gs" localSheetId="16" hidden="1">'[17]#REF'!#REF!</definedName>
    <definedName name="gs" localSheetId="19" hidden="1">'[17]#REF'!#REF!</definedName>
    <definedName name="gs" localSheetId="6" hidden="1">'[17]#REF'!#REF!</definedName>
    <definedName name="gs" localSheetId="7" hidden="1">'[40]#REF'!#REF!</definedName>
    <definedName name="gs" localSheetId="0" hidden="1">'[17]#REF'!#REF!</definedName>
    <definedName name="gs" hidden="1">'[17]#REF'!#REF!</definedName>
    <definedName name="gs_lk">'[41]garderobe-sanitair uurtarief'!$E$16</definedName>
    <definedName name="gs_tarief">'[41]garderobe-sanitair uurtarief'!$E$42</definedName>
    <definedName name="gs_tarief_fe">'[41]Uurtarieven matrix'!#REF!</definedName>
    <definedName name="GWE_Oud_Nieuw">#REF!</definedName>
    <definedName name="gy" hidden="1">#REF!</definedName>
    <definedName name="hallo">[32]Personeel!#REF!</definedName>
    <definedName name="han" localSheetId="16" hidden="1">'[17]#REF'!#REF!</definedName>
    <definedName name="han" localSheetId="7" hidden="1">'[17]#REF'!#REF!</definedName>
    <definedName name="han" hidden="1">'[17]#REF'!#REF!</definedName>
    <definedName name="Hand_Soap">[33]Materials!$I$3:$I$7</definedName>
    <definedName name="Hand_Towels">[33]Materials!$J$3:$J$13</definedName>
    <definedName name="Handdoekrollen">#REF!</definedName>
    <definedName name="HC_2011">#REF!</definedName>
    <definedName name="HC_2012">#REF!</definedName>
    <definedName name="HC_2013">#REF!</definedName>
    <definedName name="HC_2014">#REF!</definedName>
    <definedName name="HC_2015">#REF!</definedName>
    <definedName name="HC_2016">#REF!</definedName>
    <definedName name="HC_2017">#REF!</definedName>
    <definedName name="HC_2018">#REF!</definedName>
    <definedName name="HC_2019">#REF!</definedName>
    <definedName name="hda">#REF!</definedName>
    <definedName name="headings">[49]!Table_owssvr[#Headers]</definedName>
    <definedName name="heerlen">#REF!</definedName>
    <definedName name="henk">[50]Begroting!#REF!</definedName>
    <definedName name="hfdhd">[51]Begroting!#REF!</definedName>
    <definedName name="hhhhh">[52]Begroting!#REF!</definedName>
    <definedName name="hjkjhkj">'[53]2-Kengetal'!$A$10:$L$37</definedName>
    <definedName name="holendrecht">#REF!</definedName>
    <definedName name="home">[0]!home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hours">[36]Sheet3!$C$21:$C$26</definedName>
    <definedName name="html" hidden="1">{"'Blad1'!$A$1:$Q$51"}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hidden="1">{"'Blad1'!$A$1:$Q$51"}</definedName>
    <definedName name="html3" hidden="1">{"'Blad1'!$A$1:$Q$51"}</definedName>
    <definedName name="huigenbosch">#REF!</definedName>
    <definedName name="huntum">#REF!</definedName>
    <definedName name="Hyg_Type">[33]Hygiene!$L$3:$L$13</definedName>
    <definedName name="IEfactor">#REF!</definedName>
    <definedName name="INGNORM">#REF!</definedName>
    <definedName name="InitiëleKostenInrichting">#REF!</definedName>
    <definedName name="Input">'[16]Fin Input'!$B$1</definedName>
    <definedName name="Inschrijver">#REF!</definedName>
    <definedName name="inspectie">[22]Uitvoergegevens!$E$24</definedName>
    <definedName name="instantie">#REF!</definedName>
    <definedName name="Introduction">[16]Intro!$B$1</definedName>
    <definedName name="Invulinstructie">#N/A</definedName>
    <definedName name="irr">#REF!</definedName>
    <definedName name="ISSGAAP">[16]Adjust!#REF!</definedName>
    <definedName name="ISSownership">[16]Intro!#REF!</definedName>
    <definedName name="Italy">#REF!</definedName>
    <definedName name="IY">'[16]Fin Input'!$B$5</definedName>
    <definedName name="jaaruren">[22]Uitvoergegevens!$E$11</definedName>
    <definedName name="Jeugd">#REF!</definedName>
    <definedName name="jj" hidden="1">'[54]Offerteformulier 1'!#REF!</definedName>
    <definedName name="k_nodig">#REF!</definedName>
    <definedName name="keesom">#REF!</definedName>
    <definedName name="KengCode">'[55]2-Kengetal'!$A$9:$M$56</definedName>
    <definedName name="Kengetal" localSheetId="19">'[56]4-Kengetal'!$A$12:$T$66</definedName>
    <definedName name="Kengetal">#REF!</definedName>
    <definedName name="kengetallen">#REF!</definedName>
    <definedName name="Kengetallenoverzicht">[57]Kengetallen!$B$5:$J$91</definedName>
    <definedName name="kengetaltabel">#REF!</definedName>
    <definedName name="Kentalnvb">[58]Kengetal!$A$10:$H$58</definedName>
    <definedName name="kjh" hidden="1">'[17]#REF'!#REF!</definedName>
    <definedName name="klant">#REF!</definedName>
    <definedName name="klantcode">#REF!</definedName>
    <definedName name="Kleding">[27]Basisgegevens!$E$65</definedName>
    <definedName name="kleihut">#REF!</definedName>
    <definedName name="KLFactor">#REF!</definedName>
    <definedName name="kop">#REF!</definedName>
    <definedName name="KortverzuimFT">#REF!</definedName>
    <definedName name="kortverzuimPT">#REF!</definedName>
    <definedName name="Kosten_addit">#REF!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kredtall">#REF!</definedName>
    <definedName name="kwartaal">#REF!</definedName>
    <definedName name="kwartaal_prijs">[22]Uitvoergegevens!$E$15</definedName>
    <definedName name="kwartaal_uren">[22]Uitvoergegevens!$E$16</definedName>
    <definedName name="l_gebruikers">#REF!</definedName>
    <definedName name="L_Kwal">#REF!</definedName>
    <definedName name="L_open">#REF!</definedName>
    <definedName name="Laag1">#REF!</definedName>
    <definedName name="Laag2">#REF!</definedName>
    <definedName name="Laag3">#REF!</definedName>
    <definedName name="Laag7">#REF!</definedName>
    <definedName name="Laag8">#REF!</definedName>
    <definedName name="LC">#REF!</definedName>
    <definedName name="LeaseDuration">#REF!</definedName>
    <definedName name="LHK">#REF!</definedName>
    <definedName name="Light_Periodics">[33]Other!$B$95:$B$97</definedName>
    <definedName name="Lijn">'[55]3-Basis ruimtestaat'!$C:$C</definedName>
    <definedName name="lijst_zdg">#REF!</definedName>
    <definedName name="LiquiditeitGemiddeld">[30]Kengetallen!#REF!</definedName>
    <definedName name="LiquiditeitN">[30]Kengetallen!#REF!</definedName>
    <definedName name="LiquiditeitNmin1">[30]Kengetallen!#REF!</definedName>
    <definedName name="LiquiditeitNmin2">[30]Kengetallen!#REF!</definedName>
    <definedName name="LiquidRatioN">[30]Kengetallen!#REF!</definedName>
    <definedName name="LiquidRatioNmin1">[30]Kengetallen!#REF!</definedName>
    <definedName name="LiquidRatioNmin2">[30]Kengetallen!#REF!</definedName>
    <definedName name="listENTITIES">#REF!</definedName>
    <definedName name="listENTITYPARENT">#REF!</definedName>
    <definedName name="listPERIOD">#REF!</definedName>
    <definedName name="LIT">#REF!</definedName>
    <definedName name="lll">'[59]3-Basis ruimtestaat'!$O:$O</definedName>
    <definedName name="lnkstn_divers">[22]uurtariefopbouw!$E$18</definedName>
    <definedName name="lnkstn_speciaal">[22]uurtariefopbouw!$G$18</definedName>
    <definedName name="LocalCurrency">[60]Intro!$C$10</definedName>
    <definedName name="LocalCurrency1">[16]Intro!$D$10</definedName>
    <definedName name="locatie">[22]Uitvoergegevens!$C$6</definedName>
    <definedName name="Locatiecode">#REF!</definedName>
    <definedName name="locationlist">[49]!Table_owssvr[#All]</definedName>
    <definedName name="Lokatieadres">'[61]Lokatie overzicht'!$C$1:$E$96</definedName>
    <definedName name="Loongroepen">'[62]1.5 Opbouw uurtarieven'!$A$12:$A$46</definedName>
    <definedName name="lotus">#REF!</definedName>
    <definedName name="LW">[33]Sheet1!$G$3:$G$4</definedName>
    <definedName name="M_nodig">#REF!</definedName>
    <definedName name="m2jaar">#REF!</definedName>
    <definedName name="maand">#REF!</definedName>
    <definedName name="MaandelijkseFeeCallcenters">#REF!</definedName>
    <definedName name="maandprijs">[22]Uitvoergegevens!$E$10</definedName>
    <definedName name="maanduren">[22]Uitvoergegevens!$E$14</definedName>
    <definedName name="Machines">'[63]Basis ruimtestaat'!$V$11:$V$1507</definedName>
    <definedName name="Macro3">[0]!Macro3</definedName>
    <definedName name="macrop12f2">[0]!macrop12f2</definedName>
    <definedName name="MacroP17">[0]!MacroP17</definedName>
    <definedName name="MacroP17_6">[0]!MacroP17_6</definedName>
    <definedName name="Macrop2">[0]!Macrop2</definedName>
    <definedName name="macroP3f16">[0]!macroP3f16</definedName>
    <definedName name="Macrop6">[0]!Macrop6</definedName>
    <definedName name="Macrop7">[0]!Macrop7</definedName>
    <definedName name="macrox">#N/A</definedName>
    <definedName name="Man_Miles">[33]Other!$B$53:$B$57</definedName>
    <definedName name="Man_Track">[33]Other!$G$52:$G$53</definedName>
    <definedName name="Man_Trans">[33]Other!$C$52:$F$52</definedName>
    <definedName name="management">[27]Basisgegevens!$E$71</definedName>
    <definedName name="ManInput">#REF!</definedName>
    <definedName name="ManIntroduction">#REF!</definedName>
    <definedName name="Manual">#REF!</definedName>
    <definedName name="matmid">[27]Basisgegevens!$E$63</definedName>
    <definedName name="MatrixLiquiditeit">[30]Kengetallen!#REF!</definedName>
    <definedName name="MatrixRentabiliteit">[30]Kengetallen!#REF!</definedName>
    <definedName name="MatrixSolvabiliteit">[30]Kengetallen!#REF!</definedName>
    <definedName name="mavr">'[64]3-Basis ruimtestaat'!$M:$M</definedName>
    <definedName name="MaxLev">#REF!</definedName>
    <definedName name="MaxX">#REF!</definedName>
    <definedName name="Medewerkergegevens">#REF!</definedName>
    <definedName name="medium1">#REF!</definedName>
    <definedName name="medium2">#REF!</definedName>
    <definedName name="mercator">#REF!</definedName>
    <definedName name="Meters">'[62]1.3-Basis ruimtestaat'!$J:$J</definedName>
    <definedName name="MinimaleScore">[30]Parameters!#REF!</definedName>
    <definedName name="MinimumLiquiditeit">[30]Parameters!#REF!</definedName>
    <definedName name="MinimumPuntenPerJaar">[30]Parameters!#REF!</definedName>
    <definedName name="MinimumRentabiliteit">[30]Parameters!#REF!</definedName>
    <definedName name="MinimumScoreLiquiditeit">[30]Parameters!#REF!</definedName>
    <definedName name="MinimumScoreRentabiliteit">[30]Parameters!#REF!</definedName>
    <definedName name="MinimumScoreSolvabiliteit">[30]Parameters!#REF!</definedName>
    <definedName name="MinimumSolvabiliteit">[30]Parameters!#REF!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l">'[65]Glas 3.3'!$O$3:$P$8</definedName>
    <definedName name="mm" hidden="1">'[54]Offerteformulier 1'!#REF!</definedName>
    <definedName name="Month">[16]Intro!$C$8</definedName>
    <definedName name="Mutatiederdekwartaal" hidden="1">{"'ma_vr'!$A$1:$AA$42"}</definedName>
    <definedName name="MutatiesVoorzieningenN">[30]Kengetallen!#REF!</definedName>
    <definedName name="MutatiesVoorzieningenNmin1">[30]Kengetallen!#REF!</definedName>
    <definedName name="MutatiesVoorzieningenNmin2">[30]Kengetallen!#REF!</definedName>
    <definedName name="NaamLeverancier">#REF!</definedName>
    <definedName name="NAcht">[32]Personeel!#REF!</definedName>
    <definedName name="naloop">'[64]3-Basis ruimtestaat'!$N:$N</definedName>
    <definedName name="Nat_Acc">#REF!</definedName>
    <definedName name="nieuw">#N/A</definedName>
    <definedName name="nieuw2">#N/A</definedName>
    <definedName name="nieuw3">#N/A</definedName>
    <definedName name="nieuw4">#N/A</definedName>
    <definedName name="nieuw5">#N/A</definedName>
    <definedName name="nieuwegein">#REF!</definedName>
    <definedName name="nm_ma_vr">#REF!</definedName>
    <definedName name="Norm">#REF!</definedName>
    <definedName name="norm_freq">#REF!</definedName>
    <definedName name="norm1">#REF!</definedName>
    <definedName name="normaal">#REF!</definedName>
    <definedName name="normblad">#REF!</definedName>
    <definedName name="NormCurrentRatio1">[30]Parameters!#REF!</definedName>
    <definedName name="NormCurrentRatio2">[30]Parameters!#REF!</definedName>
    <definedName name="NormCurrentRatio3">[30]Parameters!#REF!</definedName>
    <definedName name="Normen">#REF!</definedName>
    <definedName name="NormenBarte">#REF!</definedName>
    <definedName name="NormenCult">#REF!</definedName>
    <definedName name="NormenGym">#REF!</definedName>
    <definedName name="normentabel">[41]Normenblad!$Q$18:$R$89</definedName>
    <definedName name="Normentot">'[66]Invulblad P1'!$A$2:$D$164</definedName>
    <definedName name="normglas">#REF!</definedName>
    <definedName name="normingtotaal">#REF!</definedName>
    <definedName name="NormOmzet">[30]Parameters!#REF!</definedName>
    <definedName name="normpeo">#REF!</definedName>
    <definedName name="NormRentabiliteit1">[30]Parameters!#REF!</definedName>
    <definedName name="NormRentabiliteit2">[30]Parameters!#REF!</definedName>
    <definedName name="NormSolvabiliteit1">[30]Parameters!#REF!</definedName>
    <definedName name="NormSolvabiliteit2">[30]Parameters!#REF!</definedName>
    <definedName name="NormSolvabiliteit3">[30]Parameters!#REF!</definedName>
    <definedName name="NormSolvabiliteit4">[30]Parameters!#REF!</definedName>
    <definedName name="not">#REF!</definedName>
    <definedName name="noti">#REF!</definedName>
    <definedName name="NvB" hidden="1">'[18]#REF'!#REF!</definedName>
    <definedName name="o">#REF!</definedName>
    <definedName name="O_2">[67]BeginMeting!#REF!</definedName>
    <definedName name="O_gebruikers">#REF!</definedName>
    <definedName name="O_kwal">#REF!</definedName>
    <definedName name="O_open">#REF!</definedName>
    <definedName name="objecten">#REF!</definedName>
    <definedName name="Obnaam">'[28]OBJECT '!$B$3</definedName>
    <definedName name="Obnr">'[28]OBJECT '!$B$4</definedName>
    <definedName name="offertetarief">[35]uurtariefopbouw!$E$37</definedName>
    <definedName name="offerteuur">'[68]Offerte uurtarief'!$E$41</definedName>
    <definedName name="offerteuurolga">'[68]Offerte uurtarief OLGA'!$E$42</definedName>
    <definedName name="ol_lk">'[41]objectleiding smo uurtarief'!$E$16</definedName>
    <definedName name="ol_tarief">'[41]objectleiding smo uurtarief'!$E$42</definedName>
    <definedName name="ol_tarief_za">'[41]Uurtarieven matrix'!$H$23</definedName>
    <definedName name="olaa1">[69]Blad2!$A$1:$B$65536</definedName>
    <definedName name="OMSCHRIJVING">[70]Afroepprijzen!#REF!</definedName>
    <definedName name="omzetstaffel">#REF!</definedName>
    <definedName name="Onderaannemer">[24]Frequnetie!$H$3:$J$420</definedName>
    <definedName name="onderhoud">#REF!</definedName>
    <definedName name="oneortwo">[36]Sheet3!$C$30:$C$31</definedName>
    <definedName name="ool_tarief_fe">'[41]Uurtarieven matrix'!$J$23</definedName>
    <definedName name="op">#REF!</definedName>
    <definedName name="OP_NP">#REF!</definedName>
    <definedName name="opdrachtgever">[35]basisgegevens!$B$4</definedName>
    <definedName name="opdrachtnemer">[35]basisgegevens!$B$19</definedName>
    <definedName name="Opleidingskosten">[27]Basisgegevens!$E$68</definedName>
    <definedName name="OpNp">[27]Basisgegevens!$E$50</definedName>
    <definedName name="OpslagLeaflets">#REF!</definedName>
    <definedName name="ORANGE">[67]BeginMeting!#REF!</definedName>
    <definedName name="ORT">[32]Personeel!#REF!</definedName>
    <definedName name="overgang">[27]Basisgegevens!$E$51</definedName>
    <definedName name="Overig">[0]!Overig</definedName>
    <definedName name="ow">[71]ow!$A$6:$K$78</definedName>
    <definedName name="p" hidden="1">[3]Blad1!#REF!</definedName>
    <definedName name="P_KPN">[72]projectsheet!$I$12</definedName>
    <definedName name="P_O2">[72]projectsheet!$C$15</definedName>
    <definedName name="P_ORANGE">[72]projectsheet!$C$14</definedName>
    <definedName name="P_TELE2">[72]projectsheet!$C$17</definedName>
    <definedName name="P_TMOBILE">[72]projectsheet!$C$16</definedName>
    <definedName name="P_VODAFONE">[72]projectsheet!$C$13</definedName>
    <definedName name="P7_1_4">[0]!Macrop7</definedName>
    <definedName name="PAC_AW">#REF!</definedName>
    <definedName name="PAC_BP">#REF!</definedName>
    <definedName name="PAC_FG">#REF!</definedName>
    <definedName name="PAC_NB">#REF!</definedName>
    <definedName name="PAC_PP">#REF!</definedName>
    <definedName name="PAC_RR">#REF!</definedName>
    <definedName name="PAC_SS">#REF!</definedName>
    <definedName name="pandlinputlocal">'[16]Fin Input'!$B$4:$G$58</definedName>
    <definedName name="Papierenhanddoekrollen">#REF!</definedName>
    <definedName name="patrick">#REF!</definedName>
    <definedName name="paysSample">#REF!</definedName>
    <definedName name="pb">[73]CALCULATIONS!$AB$109</definedName>
    <definedName name="PCS_AW">#REF!</definedName>
    <definedName name="PCS_BP">#REF!</definedName>
    <definedName name="PCS_FG">#REF!</definedName>
    <definedName name="PCS_NB">#REF!</definedName>
    <definedName name="PCS_PP">#REF!</definedName>
    <definedName name="PCS_RR">#REF!</definedName>
    <definedName name="PCS_SS">#REF!</definedName>
    <definedName name="PDS_AW">#REF!</definedName>
    <definedName name="PDS_AW_Duo">#REF!</definedName>
    <definedName name="PDS_AW_NT">#REF!</definedName>
    <definedName name="PDS_BP">#REF!</definedName>
    <definedName name="PDS_BP_Duo">#REF!</definedName>
    <definedName name="PDS_BP_NT">#REF!</definedName>
    <definedName name="PDS_FG">#REF!</definedName>
    <definedName name="PDS_FG_Duo">#REF!</definedName>
    <definedName name="PDS_FG_NT">#REF!</definedName>
    <definedName name="PDS_NB">#REF!</definedName>
    <definedName name="PDS_NB_Duo">#REF!</definedName>
    <definedName name="PDS_NB_NT">#REF!</definedName>
    <definedName name="PDS_PP">#REF!</definedName>
    <definedName name="PDS_PP_Duo">#REF!</definedName>
    <definedName name="PDS_PP_NT">#REF!</definedName>
    <definedName name="PDS_RR">#REF!</definedName>
    <definedName name="PDS_RR_Duo">#REF!</definedName>
    <definedName name="PDS_RR_NT">#REF!</definedName>
    <definedName name="PDS_SS">#REF!</definedName>
    <definedName name="PDS_SS_Duo">#REF!</definedName>
    <definedName name="PDS_SS_NT">#REF!</definedName>
    <definedName name="pen">#REF!</definedName>
    <definedName name="PensioenWN">[27]Basisgegevens!$E$36</definedName>
    <definedName name="percent_drop">[33]Other!$B$83:$B$92</definedName>
    <definedName name="Percentage_eindejaars">[74]Uitgangspunten!$B$19</definedName>
    <definedName name="Period_Type">[33]Periodics!$K$3:$K$31</definedName>
    <definedName name="periodiek_prijs">[22]Uitvoergegevens!$E$17</definedName>
    <definedName name="periodiek_uren">[22]Uitvoergegevens!$E$18</definedName>
    <definedName name="petteflet">#REF!</definedName>
    <definedName name="PFS_AW">#REF!</definedName>
    <definedName name="PFS_BP">#REF!</definedName>
    <definedName name="PFS_FG">#REF!</definedName>
    <definedName name="PFS_NB">#REF!</definedName>
    <definedName name="PFS_NT_AW">#REF!</definedName>
    <definedName name="PFS_NT_BP">#REF!</definedName>
    <definedName name="PFS_NT_FG">#REF!</definedName>
    <definedName name="PFS_NT_NB">#REF!</definedName>
    <definedName name="PFS_NT_PP">#REF!</definedName>
    <definedName name="PFS_NT_RR">#REF!</definedName>
    <definedName name="PFS_NT_SS">#REF!</definedName>
    <definedName name="PFS_PP">#REF!</definedName>
    <definedName name="PFS_RR">#REF!</definedName>
    <definedName name="PFS_SS">#REF!</definedName>
    <definedName name="PHS_AW">#REF!</definedName>
    <definedName name="PHS_BP">#REF!</definedName>
    <definedName name="PHS_FG">#REF!</definedName>
    <definedName name="PHS_NB">#REF!</definedName>
    <definedName name="PHS_NT_AW">#REF!</definedName>
    <definedName name="PHS_NT_BP">#REF!</definedName>
    <definedName name="PHS_NT_FG">#REF!</definedName>
    <definedName name="PHS_NT_NB">#REF!</definedName>
    <definedName name="PHS_NT_PP">#REF!</definedName>
    <definedName name="PHS_NT_RR">#REF!</definedName>
    <definedName name="PHS_NT_SS">#REF!</definedName>
    <definedName name="PHS_PP">#REF!</definedName>
    <definedName name="PHS_RR">#REF!</definedName>
    <definedName name="PHS_SS">#REF!</definedName>
    <definedName name="PICT_HAMETROL">INDIRECT(#REF!)</definedName>
    <definedName name="PICT_PAC">INDIRECT('[75]CWS-Productspecs '!#REF!)</definedName>
    <definedName name="PICT_PCS">INDIRECT('[75]CWS-Productspecs '!#REF!)</definedName>
    <definedName name="PICT_PCU">INDIRECT('[75]CWS-Productspecs '!#REF!)</definedName>
    <definedName name="PICT_PDS">INDIRECT('[75]CWS-Productspecs '!#REF!)</definedName>
    <definedName name="PICT_PDS_DUO">INDIRECT('[75]CWS-Productspecs '!#REF!)</definedName>
    <definedName name="PICT_PDS_NT">INDIRECT('[75]CWS-Productspecs '!#REF!)</definedName>
    <definedName name="PICT_PFS">INDIRECT('[75]CWS-Productspecs '!#REF!)</definedName>
    <definedName name="PICT_PFS_NT">INDIRECT('[75]CWS-Productspecs '!#REF!)</definedName>
    <definedName name="PICT_PFU">INDIRECT('[75]CWS-Productspecs '!#REF!)</definedName>
    <definedName name="PICT_PHS">INDIRECT('[75]CWS-Productspecs '!#REF!)</definedName>
    <definedName name="PICT_PHS_NT">INDIRECT('[75]CWS-Productspecs '!#REF!)</definedName>
    <definedName name="PICT_PPR">INDIRECT('[75]CWS-Productspecs '!#REF!)</definedName>
    <definedName name="PICT_PSC">INDIRECT('[75]CWS-Productspecs '!#REF!)</definedName>
    <definedName name="PICT_PTP">INDIRECT('[75]CWS-Productspecs '!#REF!)</definedName>
    <definedName name="plaats_locatie">[22]Uitvoergegevens!$C$7</definedName>
    <definedName name="Poland">#REF!</definedName>
    <definedName name="pollewop">#REF!</definedName>
    <definedName name="polymeren_prijs">[22]Uitvoergegevens!$E$21</definedName>
    <definedName name="Porto250500grams20">#REF!</definedName>
    <definedName name="Porto250500grams30">#REF!</definedName>
    <definedName name="Porto250500grams40">#REF!</definedName>
    <definedName name="Porto250500grams50">#REF!</definedName>
    <definedName name="Porto500grams20">#REF!</definedName>
    <definedName name="Porto500grams30">#REF!</definedName>
    <definedName name="Porto500grams40">#REF!</definedName>
    <definedName name="Porto500grams50">#REF!</definedName>
    <definedName name="Portugal">#REF!</definedName>
    <definedName name="PPR_AW">#REF!</definedName>
    <definedName name="PPR_BP">#REF!</definedName>
    <definedName name="PPR_FG">#REF!</definedName>
    <definedName name="PPR_NB">#REF!</definedName>
    <definedName name="PPR_PP">#REF!</definedName>
    <definedName name="PPR_RR">#REF!</definedName>
    <definedName name="PPR_SS">#REF!</definedName>
    <definedName name="PPS">INDIRECT('[75]CWS-Productspecs '!#REF!)</definedName>
    <definedName name="PPS_AW">#REF!</definedName>
    <definedName name="PPS_BP">#REF!</definedName>
    <definedName name="PPS_FG">#REF!</definedName>
    <definedName name="PPS_FT">#REF!</definedName>
    <definedName name="PPS_NB">#REF!</definedName>
    <definedName name="PPS_PP">#REF!</definedName>
    <definedName name="PPS_RR">#REF!</definedName>
    <definedName name="PPS_SS">#REF!</definedName>
    <definedName name="prgterug">#REF!</definedName>
    <definedName name="Price">[16]Price!$C$13</definedName>
    <definedName name="prijsjaargegund">#REF!</definedName>
    <definedName name="prijsjaargegund1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_Area_MI">#REF!</definedName>
    <definedName name="PRINT_CLIENT">#REF!</definedName>
    <definedName name="PrintenEnkelzijdig250">#REF!</definedName>
    <definedName name="PrintenEnkelzijdig250500">#REF!</definedName>
    <definedName name="PrintenEnkelzijdig50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DUCTIE_UREN_MAANDAG_T_M_VRIJDAG">#REF!</definedName>
    <definedName name="productiemavr">'[63]Basis ruimtestaat'!$Q$11:$Q$1507</definedName>
    <definedName name="productiezazo">'[63]Basis ruimtestaat'!$U$11:$U$1507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programma">#REF!</definedName>
    <definedName name="ProgrCode">'[76]Productienorm-Kengetal'!#REF!</definedName>
    <definedName name="PSC_AW">#REF!</definedName>
    <definedName name="PSC_BP">#REF!</definedName>
    <definedName name="PSC_FG">#REF!</definedName>
    <definedName name="PSC_NB">#REF!</definedName>
    <definedName name="PSC_PP">#REF!</definedName>
    <definedName name="PSC_RR">#REF!</definedName>
    <definedName name="PSC_SS">#REF!</definedName>
    <definedName name="PSC_SW">#REF!</definedName>
    <definedName name="PTP_AW">#REF!</definedName>
    <definedName name="PTP_BP">#REF!</definedName>
    <definedName name="PTP_FG">#REF!</definedName>
    <definedName name="PTP_GR">#REF!</definedName>
    <definedName name="PTP_NB">#REF!</definedName>
    <definedName name="PTP_PP">#REF!</definedName>
    <definedName name="PTP_RR">#REF!</definedName>
    <definedName name="PTP_SS">#REF!</definedName>
    <definedName name="PuntenCurrentRatio1">[30]Parameters!#REF!</definedName>
    <definedName name="PuntenCurrentRatio2">[30]Parameters!#REF!</definedName>
    <definedName name="PuntenCurrentRatio3">[30]Parameters!#REF!</definedName>
    <definedName name="PuntenCurrentRatio4">[30]Parameters!#REF!</definedName>
    <definedName name="PuntenCurrentRatioGemiddeld">[30]Kengetallen!#REF!</definedName>
    <definedName name="PuntenCurrentRatioN">[30]Kengetallen!#REF!</definedName>
    <definedName name="PuntenCurrentRatioNmin1">[30]Kengetallen!#REF!</definedName>
    <definedName name="PuntenCurrentRatioNmin2">[30]Kengetallen!#REF!</definedName>
    <definedName name="PuntenOmzetGemiddeld">[30]Kengetallen!#REF!</definedName>
    <definedName name="PuntenOmzetN">[30]Kengetallen!#REF!</definedName>
    <definedName name="PuntenOmzetNmin1">[30]Kengetallen!#REF!</definedName>
    <definedName name="PuntenOmzetNmin2">[30]Kengetallen!#REF!</definedName>
    <definedName name="PuntenRentabiliteit1">[30]Parameters!#REF!</definedName>
    <definedName name="PuntenRentabiliteit2">[30]Parameters!#REF!</definedName>
    <definedName name="PuntenRentabiliteit3">[30]Parameters!#REF!</definedName>
    <definedName name="PuntenRentabiliteit4">[30]Parameters!#REF!</definedName>
    <definedName name="PuntenRentabiliteitGemiddeld">[30]Kengetallen!#REF!</definedName>
    <definedName name="PuntenRentabiliteitN">[30]Kengetallen!#REF!</definedName>
    <definedName name="PuntenRentabiliteitNmin1">[30]Kengetallen!#REF!</definedName>
    <definedName name="PuntenRentabiliteitNmin2">[30]Kengetallen!#REF!</definedName>
    <definedName name="PuntenSolvabiliteit1">[30]Parameters!#REF!</definedName>
    <definedName name="PuntenSolvabiliteit2">[30]Parameters!#REF!</definedName>
    <definedName name="PuntenSolvabiliteit3">[30]Parameters!#REF!</definedName>
    <definedName name="PuntenSolvabiliteit4">[30]Parameters!#REF!</definedName>
    <definedName name="PuntenSolvabiliteitGemiddeld">[30]Kengetallen!#REF!</definedName>
    <definedName name="PuntenSolvabiliteitN">[30]Kengetallen!#REF!</definedName>
    <definedName name="PuntenSolvabiliteitNmin1">[30]Kengetallen!#REF!</definedName>
    <definedName name="PuntenSolvabiliteitNmin2">[30]Kengetallen!#REF!</definedName>
    <definedName name="pw">#REF!</definedName>
    <definedName name="q" hidden="1">[3]Blad1!#REF!</definedName>
    <definedName name="qc">'[68]Frequentie kwaliteitsmeting'!$H$7</definedName>
    <definedName name="qcolga">'[68]Frequentie kwaliteitsmeting'!XFB1048559</definedName>
    <definedName name="qry_Tbv_disk">#REF!</definedName>
    <definedName name="Query3a">#REF!</definedName>
    <definedName name="Query3b">#REF!</definedName>
    <definedName name="Quick_Calc">[33]Materials!$L$3:$L$8</definedName>
    <definedName name="R_Code">[31]Prestatiefactoren!#REF!</definedName>
    <definedName name="r_lk">'[41]regie uurtarief'!$E$16</definedName>
    <definedName name="r_tarief">'[41]regie uurtarief'!$E$42</definedName>
    <definedName name="RB">[23]Tussenblad!$B$11</definedName>
    <definedName name="Reconditioneren">#REF!</definedName>
    <definedName name="reegl16">#REF!</definedName>
    <definedName name="Regel1">#REF!</definedName>
    <definedName name="regel100">#REF!</definedName>
    <definedName name="regel102">#REF!</definedName>
    <definedName name="regel103">#REF!</definedName>
    <definedName name="regel105">#REF!</definedName>
    <definedName name="regel106">#REF!</definedName>
    <definedName name="regel11">#REF!</definedName>
    <definedName name="regel12">#REF!</definedName>
    <definedName name="regel15">#REF!</definedName>
    <definedName name="regel18">#REF!</definedName>
    <definedName name="regel19">#REF!</definedName>
    <definedName name="regel22">#REF!</definedName>
    <definedName name="regel23">#REF!</definedName>
    <definedName name="regel26">#REF!</definedName>
    <definedName name="regel27">#REF!</definedName>
    <definedName name="regel28">#REF!</definedName>
    <definedName name="regel31">#REF!</definedName>
    <definedName name="regel32">#REF!</definedName>
    <definedName name="regel39">#REF!</definedName>
    <definedName name="regel4">#REF!</definedName>
    <definedName name="regel42">#REF!</definedName>
    <definedName name="regel43">#REF!</definedName>
    <definedName name="regel44">#REF!</definedName>
    <definedName name="regel45">#REF!</definedName>
    <definedName name="regel51">#REF!</definedName>
    <definedName name="regel53">#REF!</definedName>
    <definedName name="regel56">#REF!</definedName>
    <definedName name="regel58">#REF!</definedName>
    <definedName name="regel59">#REF!</definedName>
    <definedName name="regel61">#REF!</definedName>
    <definedName name="regel63">#REF!</definedName>
    <definedName name="regel66">#REF!</definedName>
    <definedName name="regel7">#REF!</definedName>
    <definedName name="regel72">#REF!</definedName>
    <definedName name="regel73">#REF!</definedName>
    <definedName name="regel75">#REF!</definedName>
    <definedName name="regel78">#REF!</definedName>
    <definedName name="regel8">#REF!</definedName>
    <definedName name="regel83">#REF!</definedName>
    <definedName name="regel84">#REF!</definedName>
    <definedName name="regel87">#REF!</definedName>
    <definedName name="regel9">#REF!</definedName>
    <definedName name="regel90">#REF!</definedName>
    <definedName name="regel91">#REF!</definedName>
    <definedName name="regel94">#REF!</definedName>
    <definedName name="regel95">#REF!</definedName>
    <definedName name="regel97">#REF!</definedName>
    <definedName name="regel99">#REF!</definedName>
    <definedName name="regietarief">[35]uurtariefopbouw!$G$37</definedName>
    <definedName name="Regiewerkzaamheden">#REF!</definedName>
    <definedName name="reigersnest">#REF!</definedName>
    <definedName name="rekenuurtariefHALO">#REF!</definedName>
    <definedName name="rekenuurtariefHHS">#REF!</definedName>
    <definedName name="Reports">#REF!</definedName>
    <definedName name="resultaat">#REF!</definedName>
    <definedName name="rfqer" hidden="1">#REF!</definedName>
    <definedName name="RInput">#REF!</definedName>
    <definedName name="Rol_blauw">#REF!</definedName>
    <definedName name="Rol_wit">#REF!</definedName>
    <definedName name="roofs">[36]Sheet3!$B$21:$B$24</definedName>
    <definedName name="rooftype">[36]Sheet3!$B$21:$B$25</definedName>
    <definedName name="RouwdagenFT">[27]Basisgegevens!$I$24</definedName>
    <definedName name="RouwdagenPT">[27]Basisgegevens!$F$24</definedName>
    <definedName name="rtype">#REF!</definedName>
    <definedName name="ruimte">#REF!</definedName>
    <definedName name="ruimtem2">#REF!</definedName>
    <definedName name="Ruimtesoort">#REF!</definedName>
    <definedName name="Ruimtesoorten">#REF!</definedName>
    <definedName name="ruimtestaten">#REF!</definedName>
    <definedName name="s" hidden="1">[3]Blad1!#REF!</definedName>
    <definedName name="SAVE_NEW_FILE">#REF!</definedName>
    <definedName name="SAVE_OLD_FILE">#REF!</definedName>
    <definedName name="sbhah">[77]!sbhah</definedName>
    <definedName name="schaal">#REF!</definedName>
    <definedName name="Sensitivity">[16]Sensi!$B$2</definedName>
    <definedName name="Servetten">#REF!</definedName>
    <definedName name="SERVICE_CENTER">[26]normentabel!$L$1:$Q$15</definedName>
    <definedName name="Service_list">'[33]Multi Service Details'!$A$5:$A$29</definedName>
    <definedName name="setCLEAR">#REF!</definedName>
    <definedName name="setCOPYNAMES">#REF!</definedName>
    <definedName name="setCOPYVALUES">#REF!</definedName>
    <definedName name="setDATA">#REF!</definedName>
    <definedName name="setFORMULANAMES">#REF!</definedName>
    <definedName name="setFPOV">#REF!</definedName>
    <definedName name="setINPUT">#REF!</definedName>
    <definedName name="setLID">#REF!</definedName>
    <definedName name="setLOCAL">#REF!</definedName>
    <definedName name="setOPE22">#REF!</definedName>
    <definedName name="setOPE31">#REF!</definedName>
    <definedName name="setOPE33">#REF!</definedName>
    <definedName name="setOPE34">#REF!</definedName>
    <definedName name="setOPE35">#REF!</definedName>
    <definedName name="setOPE41">#REF!</definedName>
    <definedName name="setOPE42">#REF!</definedName>
    <definedName name="setOPE43">#REF!</definedName>
    <definedName name="setOPE51">#REF!</definedName>
    <definedName name="setOPE64">#REF!</definedName>
    <definedName name="setPeriod">#REF!</definedName>
    <definedName name="setPeriodName">#REF!</definedName>
    <definedName name="setTEXT">#REF!</definedName>
    <definedName name="Site_Trans">[33]Other!$C$70:$J$70</definedName>
    <definedName name="slingerb">[0]!slingerb</definedName>
    <definedName name="small1">#REF!</definedName>
    <definedName name="small2">#REF!</definedName>
    <definedName name="smo_lk">'[41]medewerker smo uurtarief'!$E$16</definedName>
    <definedName name="SocialelastenexclWwOpNp">[27]Basisgegevens!$E$56</definedName>
    <definedName name="sortering">#REF!</definedName>
    <definedName name="SouthAfrica">#REF!</definedName>
    <definedName name="sp_lk">'[41]Specialistisch uurtarief'!$E$16</definedName>
    <definedName name="sp_tarief">'[41]Specialistisch uurtarief'!$E$42</definedName>
    <definedName name="Spain">#REF!</definedName>
    <definedName name="specifiek">'[63]Basis ruimtestaat'!$W$11:$W$1507</definedName>
    <definedName name="spectarief">[35]uurtariefopbouw!$I$37</definedName>
    <definedName name="spray_meters">[22]Uitvoergegevens!$E$19</definedName>
    <definedName name="spray_prijs">[22]Uitvoergegevens!$E$20</definedName>
    <definedName name="ST_Miles">[33]Other!$B$71:$B$75</definedName>
    <definedName name="stampertjes">#REF!</definedName>
    <definedName name="start">#REF!</definedName>
    <definedName name="startFPOV">#REF!</definedName>
    <definedName name="STARTFTEQ">#REF!</definedName>
    <definedName name="startpoint">#REF!</definedName>
    <definedName name="StarttariefPerCall">#REF!</definedName>
    <definedName name="StarttariefPerDoorverbondenCall">#REF!</definedName>
    <definedName name="status">[78]SSC!$P$2:$P$5</definedName>
    <definedName name="Subcon_Names">'[33]Hard Serv Subcon'!$B$4:$B$78</definedName>
    <definedName name="sur">#REF!</definedName>
    <definedName name="Switzerland">#REF!</definedName>
    <definedName name="Synergies">#REF!</definedName>
    <definedName name="t">#REF!</definedName>
    <definedName name="T003_Totaaloverzicht_ruimtestaat_getotaliseerd">#REF!</definedName>
    <definedName name="TABEL">[76]Ruimtestaat!#REF!</definedName>
    <definedName name="tabelcodes">#REF!</definedName>
    <definedName name="Tabelruimtesoort">[79]Ruimtesoort!$A:$IV</definedName>
    <definedName name="tabeltype">[38]Omreken!$B$5:$B$5</definedName>
    <definedName name="TableName">"Dummy"</definedName>
    <definedName name="Tabruimte">[80]Blad1!$A:$IV</definedName>
    <definedName name="TargetWACC">[16]Intro!$D$26</definedName>
    <definedName name="targroot">#REF!</definedName>
    <definedName name="tarief_2010_2012">#REF!</definedName>
    <definedName name="tariefCSP">'[81]Kostenspecificatie reeel '!$AO$15:$AV$28</definedName>
    <definedName name="tariefopbouw">#REF!</definedName>
    <definedName name="tariefopbouwadd">#REF!</definedName>
    <definedName name="tarieftabel">#REF!</definedName>
    <definedName name="tariefupmavr">#REF!</definedName>
    <definedName name="Tarklein">#REF!</definedName>
    <definedName name="tarmidden">#REF!</definedName>
    <definedName name="Teicocodes">#REF!</definedName>
    <definedName name="TELE2">[67]BeginMeting!#REF!</definedName>
    <definedName name="tesstt" hidden="1">[8]Blad1!#REF!</definedName>
    <definedName name="test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en">[32]Personeel!#REF!</definedName>
    <definedName name="TMOBILE">[67]BeginMeting!#REF!</definedName>
    <definedName name="toeslagentabel">#REF!</definedName>
    <definedName name="toezichtmavr">'[63]Basis ruimtestaat'!$R$11:$R$1507</definedName>
    <definedName name="Toilet_Paper">[33]Materials!$K$3:$K$11</definedName>
    <definedName name="Toiletpapier">#REF!</definedName>
    <definedName name="ToolboxstudieFT">[27]Basisgegevens!$I$26</definedName>
    <definedName name="ToolboxstudiePT">[27]Basisgegevens!$F$26</definedName>
    <definedName name="torteltuin">#REF!</definedName>
    <definedName name="totaal">[34]!totaal</definedName>
    <definedName name="Totaal_calculatie">#REF!</definedName>
    <definedName name="totaal_divers">[22]uurtariefopbouw!$E$32</definedName>
    <definedName name="totaal_speciaal">[22]uurtariefopbouw!$G$32</definedName>
    <definedName name="Totaal2">'[62]1.3-Basis ruimtestaat'!$D$10:$S$825</definedName>
    <definedName name="TotaalN">[30]Kengetallen!#REF!</definedName>
    <definedName name="TotaalNmin1">[30]Kengetallen!#REF!</definedName>
    <definedName name="TotaalNmin2">[30]Kengetallen!#REF!</definedName>
    <definedName name="Totaaloverzicht_ruimtestaat_detail">#REF!</definedName>
    <definedName name="TotaalScore">[30]Kengetallen!#REF!</definedName>
    <definedName name="TotaleWaarde">[30]Kengetallen!#REF!</definedName>
    <definedName name="totkol">[68]Parameters!$C$18</definedName>
    <definedName name="tpa">#REF!</definedName>
    <definedName name="tUren">[68]Normenblad!$BW$8</definedName>
    <definedName name="tUrenOlga">[68]Normenblad!A1048558</definedName>
    <definedName name="Turkey">#REF!</definedName>
    <definedName name="Tussenbeurt">#REF!</definedName>
    <definedName name="TypeInschrijver">#REF!</definedName>
    <definedName name="u">#REF!</definedName>
    <definedName name="uitvoerder">[24]Frequnetie!#REF!</definedName>
    <definedName name="UK">#REF!</definedName>
    <definedName name="UKcheck">#REF!</definedName>
    <definedName name="UKtrig">#REF!</definedName>
    <definedName name="UNIFORMS">[33]Other!$B$33:$B$47</definedName>
    <definedName name="union">#REF!</definedName>
    <definedName name="Universal1000">#REF!</definedName>
    <definedName name="Universal500">#REF!</definedName>
    <definedName name="UREMAVR">'[62]1.3-Basis ruimtestaat'!$Q$10:$Q$825</definedName>
    <definedName name="uren_mavr">'[82]3-Basis ruimtestaat'!$O$1:$O$65536</definedName>
    <definedName name="Uren_mavrij">'[83]10 OER ma- zzf'!#REF!</definedName>
    <definedName name="Uren_nal">'[83]10 OER ma- zzf'!#REF!</definedName>
    <definedName name="uren_naloop">'[82]3-Basis ruimtestaat'!#REF!</definedName>
    <definedName name="uren_zazo">'[84]6 - Basis ruimtestaat'!$Q$1:$Q$65536</definedName>
    <definedName name="uren_zazofe" localSheetId="19">'[85]4-Basis ruimtestaat'!$O:$O</definedName>
    <definedName name="uren_zazofe">'[86]4-Basis ruimtestaat'!$O:$O</definedName>
    <definedName name="uren_zazonaloop">'[84]6 - Basis ruimtestaat'!$R$1:$R$65536</definedName>
    <definedName name="Uren1">#REF!</definedName>
    <definedName name="Uren2">#REF!</definedName>
    <definedName name="urenfeest">'[87]3-ZMC Rmst UB '!$AF$3026</definedName>
    <definedName name="urenma">#REF!</definedName>
    <definedName name="Urenmavr">'[88]3-Basis ruimtestaat'!$N$1:$N$65536</definedName>
    <definedName name="urenna">#REF!</definedName>
    <definedName name="urennaloop">'[88]3-Basis ruimtestaat'!$O$1:$O$65536</definedName>
    <definedName name="urenspec">#REF!</definedName>
    <definedName name="urenza">#REF!</definedName>
    <definedName name="urenzazofd">[89]ruimtestaat!#REF!</definedName>
    <definedName name="urenzo">'[87]3-ZMC Rmst UB '!$AE$3026</definedName>
    <definedName name="uurt">[90]Uurtarieven!$F$57</definedName>
    <definedName name="Uurtarief">#REF!</definedName>
    <definedName name="uurtarief_fe">'[41]Uurtarieven matrix'!$J$11</definedName>
    <definedName name="uurtarief_za">'[41]Uurtarieven matrix'!$H$11</definedName>
    <definedName name="VakantiedagenFT">[27]Basisgegevens!$I$21</definedName>
    <definedName name="vakantiedagenPT">[27]Basisgegevens!$F$21</definedName>
    <definedName name="varPath">#REF!</definedName>
    <definedName name="verbetring">[91]!verbetring</definedName>
    <definedName name="vergader">[92]norm!$C$2:$D$1133</definedName>
    <definedName name="Vergelijking_Verzamelpanden_nieuw">#REF!</definedName>
    <definedName name="Vergelijking_Verzamelpanden_Ter_Controle">#REF!</definedName>
    <definedName name="verise">[0]!verise</definedName>
    <definedName name="versienr">[22]Uitvoergegevens!$C$3</definedName>
    <definedName name="verz">[26]Basisgegevens!#REF!</definedName>
    <definedName name="verzamelblad">[22]verzamelblad!$A$2:$BZ$36</definedName>
    <definedName name="verzuim">[27]Basisgegevens!$E$67</definedName>
    <definedName name="vestigingsplaats">'[22]basisgegevens aannemer'!$C$4</definedName>
    <definedName name="vestigingsplaats_opdr">'[22]basisgegevens opdrachtgever'!$B$3</definedName>
    <definedName name="Vijfendertig">[32]Personeel!#REF!</definedName>
    <definedName name="Vl_Code">[31]Prestatiefactoren!#REF!</definedName>
    <definedName name="vloer">[31]Werkprogramma!#REF!</definedName>
    <definedName name="VloerK">'[93]Basis ruimtestaat'!$W:$W</definedName>
    <definedName name="VloerM">'[93]Basis ruimtestaat'!$K:$V</definedName>
    <definedName name="vloeroppervlak">'[63]Basis ruimtestaat'!$K$11:$K$1507</definedName>
    <definedName name="vloersoort">#REF!</definedName>
    <definedName name="vloersoortkeuze">#REF!</definedName>
    <definedName name="Vloersoortoms">#REF!</definedName>
    <definedName name="vm_lk">'[41]voorman smo uurtarief'!$E$16</definedName>
    <definedName name="vm_tarief">'[41]voorman smo uurtarief'!$E$42</definedName>
    <definedName name="vm_tarief_fe">'[41]Uurtarieven matrix'!$J$17</definedName>
    <definedName name="vm_tarief_za">'[41]Uurtarieven matrix'!$H$17</definedName>
    <definedName name="vnrm">[42]vergelijken!#REF!</definedName>
    <definedName name="VODAFONE">[67]BeginMeting!#REF!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[30]Kengetallen!#REF!</definedName>
    <definedName name="VoorzieningenNmin1">[30]Kengetallen!#REF!</definedName>
    <definedName name="VoorzieningenNmin2">[30]Kengetallen!#REF!</definedName>
    <definedName name="VorstverletFT">[27]Basisgegevens!$I$25</definedName>
    <definedName name="VorstverletPT">[27]Basisgegevens!$F$25</definedName>
    <definedName name="vtype">#REF!</definedName>
    <definedName name="VUT">#REF!</definedName>
    <definedName name="w">#REF!</definedName>
    <definedName name="WaardenMatrix">[30]Kengetallen!#REF!</definedName>
    <definedName name="wacc">'[16]Fin Input'!$G$27</definedName>
    <definedName name="WACHT">[1]Begroting!#REF!</definedName>
    <definedName name="wachtwoord">[23]Tussenblad!$A$11</definedName>
    <definedName name="WAOBAS">#REF!</definedName>
    <definedName name="WAOGED">#REF!</definedName>
    <definedName name="Was_S">[0]!Was_S</definedName>
    <definedName name="week">[94]Recap!$E$43</definedName>
    <definedName name="wegingjunior">#REF!</definedName>
    <definedName name="wegingmedior">#REF!</definedName>
    <definedName name="wegingsenior">#REF!</definedName>
    <definedName name="wegingtotaal">#REF!</definedName>
    <definedName name="winst">[27]Basisgegevens!$E$72</definedName>
    <definedName name="wk">[31]Werkprogramma!#REF!</definedName>
    <definedName name="Woonplaats">'[28]OBJECT '!$B$12</definedName>
    <definedName name="wrn.RWReport1.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w">#REF!</definedName>
    <definedName name="WwWe">[27]Basisgegevens!$E$45</definedName>
    <definedName name="x" hidden="1">[3]Blad1!#REF!</definedName>
    <definedName name="xxx">[10]Begroting!#REF!</definedName>
    <definedName name="xxxxx">[95]Begroting!#REF!</definedName>
    <definedName name="y" hidden="1">#REF!</definedName>
    <definedName name="z" hidden="1">#REF!</definedName>
    <definedName name="zaal">[0]!zaal</definedName>
    <definedName name="Zalen">#REF!</definedName>
    <definedName name="zcvdv">[50]Begroting!#REF!</definedName>
    <definedName name="Zeventig">[32]Personeel!#REF!</definedName>
    <definedName name="ZFW">#REF!</definedName>
    <definedName name="ziektedagen">[27]Basisgegevens!$E$22</definedName>
    <definedName name="ZiektedagenFT">#REF!</definedName>
    <definedName name="ZiektedagenPT">#REF!</definedName>
    <definedName name="zilverlinde">[0]!zilverlinde</definedName>
    <definedName name="Zondag">[32]Personeel!#REF!</definedName>
    <definedName name="zozo1">#REF!</definedName>
    <definedName name="zozo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0" i="73" l="1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18" i="73"/>
  <c r="F31" i="72" l="1"/>
  <c r="F30" i="72"/>
  <c r="F29" i="72"/>
  <c r="F28" i="72"/>
  <c r="F27" i="72"/>
  <c r="F26" i="72"/>
  <c r="F25" i="72"/>
  <c r="F24" i="72"/>
  <c r="F23" i="72"/>
  <c r="F22" i="72"/>
  <c r="F21" i="72"/>
  <c r="F20" i="72"/>
  <c r="F19" i="72"/>
  <c r="F18" i="72"/>
  <c r="F17" i="72"/>
  <c r="F16" i="72"/>
  <c r="G31" i="72"/>
  <c r="G29" i="72"/>
  <c r="G28" i="72"/>
  <c r="G27" i="72"/>
  <c r="G26" i="72"/>
  <c r="G25" i="72"/>
  <c r="G24" i="72"/>
  <c r="G23" i="72"/>
  <c r="G22" i="72"/>
  <c r="G21" i="72"/>
  <c r="G20" i="72"/>
  <c r="G19" i="72"/>
  <c r="G18" i="72"/>
  <c r="G17" i="72"/>
  <c r="G16" i="72"/>
  <c r="G30" i="72"/>
  <c r="F21" i="49"/>
  <c r="N81" i="39"/>
  <c r="M81" i="39"/>
  <c r="K81" i="39"/>
  <c r="I81" i="39"/>
  <c r="H81" i="39"/>
  <c r="G81" i="39"/>
  <c r="E81" i="39"/>
  <c r="D81" i="39"/>
  <c r="I46" i="44"/>
  <c r="J46" i="44" s="1"/>
  <c r="F81" i="39" s="1"/>
  <c r="L74" i="68" l="1"/>
  <c r="J74" i="68"/>
  <c r="A74" i="68"/>
  <c r="L75" i="68"/>
  <c r="J75" i="68"/>
  <c r="A75" i="68"/>
  <c r="M708" i="69"/>
  <c r="L708" i="69"/>
  <c r="N708" i="69" s="1"/>
  <c r="A708" i="69"/>
  <c r="M707" i="69"/>
  <c r="L707" i="69"/>
  <c r="A707" i="69"/>
  <c r="L706" i="69"/>
  <c r="A706" i="69"/>
  <c r="M705" i="69"/>
  <c r="L705" i="69"/>
  <c r="A705" i="69"/>
  <c r="I704" i="69"/>
  <c r="L704" i="69" s="1"/>
  <c r="M712" i="69"/>
  <c r="L712" i="69"/>
  <c r="A712" i="69"/>
  <c r="M711" i="69"/>
  <c r="L711" i="69"/>
  <c r="A711" i="69"/>
  <c r="L710" i="69"/>
  <c r="A710" i="69"/>
  <c r="M709" i="69"/>
  <c r="L709" i="69"/>
  <c r="A709" i="69"/>
  <c r="N82" i="39"/>
  <c r="M82" i="39"/>
  <c r="K82" i="39"/>
  <c r="I82" i="39"/>
  <c r="H82" i="39"/>
  <c r="G82" i="39"/>
  <c r="E82" i="39"/>
  <c r="D82" i="39"/>
  <c r="B9" i="78"/>
  <c r="B8" i="78"/>
  <c r="B7" i="78"/>
  <c r="B6" i="78"/>
  <c r="B5" i="78"/>
  <c r="B3" i="78"/>
  <c r="B4" i="78"/>
  <c r="N707" i="69" l="1"/>
  <c r="N705" i="69"/>
  <c r="M704" i="69"/>
  <c r="N704" i="69" s="1"/>
  <c r="N711" i="69"/>
  <c r="N712" i="69"/>
  <c r="N709" i="69"/>
  <c r="E15" i="77"/>
  <c r="E14" i="77"/>
  <c r="E16" i="77" l="1"/>
  <c r="L83" i="39" s="1"/>
  <c r="H30" i="38"/>
  <c r="M189" i="69"/>
  <c r="M155" i="69"/>
  <c r="M157" i="69"/>
  <c r="M14" i="69"/>
  <c r="M15" i="69"/>
  <c r="M16" i="69"/>
  <c r="M19" i="69"/>
  <c r="M20" i="69"/>
  <c r="M21" i="69"/>
  <c r="M22" i="69"/>
  <c r="M23" i="69"/>
  <c r="M24" i="69"/>
  <c r="M25" i="69"/>
  <c r="M26" i="69"/>
  <c r="M27" i="69"/>
  <c r="M28" i="69"/>
  <c r="M29" i="69"/>
  <c r="M30" i="69"/>
  <c r="M31" i="69"/>
  <c r="M32" i="69"/>
  <c r="M33" i="69"/>
  <c r="M34" i="69"/>
  <c r="M37" i="69"/>
  <c r="M38" i="69"/>
  <c r="M41" i="69"/>
  <c r="M46" i="69"/>
  <c r="M47" i="69"/>
  <c r="M48" i="69"/>
  <c r="M49" i="69"/>
  <c r="M53" i="69"/>
  <c r="M61" i="69"/>
  <c r="M62" i="69"/>
  <c r="M63" i="69"/>
  <c r="M64" i="69"/>
  <c r="M65" i="69"/>
  <c r="M67" i="69"/>
  <c r="M69" i="69"/>
  <c r="M70" i="69"/>
  <c r="M71" i="69"/>
  <c r="M72" i="69"/>
  <c r="M73" i="69"/>
  <c r="M74" i="69"/>
  <c r="M75" i="69"/>
  <c r="M76" i="69"/>
  <c r="M77" i="69"/>
  <c r="M78" i="69"/>
  <c r="M79" i="69"/>
  <c r="M80" i="69"/>
  <c r="M81" i="69"/>
  <c r="M82" i="69"/>
  <c r="M83" i="69"/>
  <c r="M84" i="69"/>
  <c r="M85" i="69"/>
  <c r="M86" i="69"/>
  <c r="M87" i="69"/>
  <c r="M88" i="69"/>
  <c r="M89" i="69"/>
  <c r="M90" i="69"/>
  <c r="M91" i="69"/>
  <c r="M92" i="69"/>
  <c r="M93" i="69"/>
  <c r="M94" i="69"/>
  <c r="M95" i="69"/>
  <c r="M96" i="69"/>
  <c r="M99" i="69"/>
  <c r="M100" i="69"/>
  <c r="M101" i="69"/>
  <c r="M102" i="69"/>
  <c r="M103" i="69"/>
  <c r="M105" i="69"/>
  <c r="M107" i="69"/>
  <c r="M108" i="69"/>
  <c r="M109" i="69"/>
  <c r="M110" i="69"/>
  <c r="M111" i="69"/>
  <c r="M112" i="69"/>
  <c r="M113" i="69"/>
  <c r="M114" i="69"/>
  <c r="M115" i="69"/>
  <c r="M116" i="69"/>
  <c r="M117" i="69"/>
  <c r="M125" i="69"/>
  <c r="M126" i="69"/>
  <c r="M127" i="69"/>
  <c r="M128" i="69"/>
  <c r="M129" i="69"/>
  <c r="M130" i="69"/>
  <c r="M131" i="69"/>
  <c r="M132" i="69"/>
  <c r="M137" i="69"/>
  <c r="M138" i="69"/>
  <c r="M139" i="69"/>
  <c r="M140" i="69"/>
  <c r="M141" i="69"/>
  <c r="M142" i="69"/>
  <c r="M143" i="69"/>
  <c r="M144" i="69"/>
  <c r="M145" i="69"/>
  <c r="M146" i="69"/>
  <c r="M147" i="69"/>
  <c r="M148" i="69"/>
  <c r="M149" i="69"/>
  <c r="M150" i="69"/>
  <c r="M151" i="69"/>
  <c r="M152" i="69"/>
  <c r="M153" i="69"/>
  <c r="M154" i="69"/>
  <c r="M156" i="69"/>
  <c r="M158" i="69"/>
  <c r="M160" i="69"/>
  <c r="M162" i="69"/>
  <c r="M164" i="69"/>
  <c r="M165" i="69"/>
  <c r="M174" i="69"/>
  <c r="M186" i="69"/>
  <c r="M187" i="69"/>
  <c r="M188" i="69"/>
  <c r="M200" i="69"/>
  <c r="M201" i="69"/>
  <c r="M202" i="69"/>
  <c r="M203" i="69"/>
  <c r="M204" i="69"/>
  <c r="M205" i="69"/>
  <c r="M215" i="69"/>
  <c r="M228" i="69"/>
  <c r="M229" i="69"/>
  <c r="M230" i="69"/>
  <c r="M231" i="69"/>
  <c r="M244" i="69"/>
  <c r="M245" i="69"/>
  <c r="M246" i="69"/>
  <c r="M247" i="69"/>
  <c r="M248" i="69"/>
  <c r="M261" i="69"/>
  <c r="M262" i="69"/>
  <c r="M263" i="69"/>
  <c r="M264" i="69"/>
  <c r="M265" i="69"/>
  <c r="M266" i="69"/>
  <c r="M279" i="69"/>
  <c r="M280" i="69"/>
  <c r="M281" i="69"/>
  <c r="M282" i="69"/>
  <c r="M283" i="69"/>
  <c r="M284" i="69"/>
  <c r="M285" i="69"/>
  <c r="M297" i="69"/>
  <c r="M298" i="69"/>
  <c r="M299" i="69"/>
  <c r="M300" i="69"/>
  <c r="M319" i="69"/>
  <c r="M328" i="69"/>
  <c r="M329" i="69"/>
  <c r="M330" i="69"/>
  <c r="M331" i="69"/>
  <c r="M334" i="69"/>
  <c r="M335" i="69"/>
  <c r="M336" i="69"/>
  <c r="M337" i="69"/>
  <c r="M343" i="69"/>
  <c r="M350" i="69"/>
  <c r="M351" i="69"/>
  <c r="M352" i="69"/>
  <c r="M353" i="69"/>
  <c r="M354" i="69"/>
  <c r="M355" i="69"/>
  <c r="M356" i="69"/>
  <c r="M364" i="69"/>
  <c r="M365" i="69"/>
  <c r="M366" i="69"/>
  <c r="M367" i="69"/>
  <c r="M370" i="69"/>
  <c r="M371" i="69"/>
  <c r="M375" i="69"/>
  <c r="M376" i="69"/>
  <c r="M377" i="69"/>
  <c r="M378" i="69"/>
  <c r="M379" i="69"/>
  <c r="M380" i="69"/>
  <c r="M383" i="69"/>
  <c r="M384" i="69"/>
  <c r="M385" i="69"/>
  <c r="M386" i="69"/>
  <c r="M387" i="69"/>
  <c r="M400" i="69"/>
  <c r="M401" i="69"/>
  <c r="M402" i="69"/>
  <c r="M403" i="69"/>
  <c r="M405" i="69"/>
  <c r="M424" i="69"/>
  <c r="M431" i="69"/>
  <c r="M447" i="69"/>
  <c r="M448" i="69"/>
  <c r="M449" i="69"/>
  <c r="M450" i="69"/>
  <c r="M451" i="69"/>
  <c r="M452" i="69"/>
  <c r="M453" i="69"/>
  <c r="M454" i="69"/>
  <c r="M455" i="69"/>
  <c r="M456" i="69"/>
  <c r="M457" i="69"/>
  <c r="M458" i="69"/>
  <c r="M459" i="69"/>
  <c r="M460" i="69"/>
  <c r="M461" i="69"/>
  <c r="M462" i="69"/>
  <c r="M463" i="69"/>
  <c r="M464" i="69"/>
  <c r="M465" i="69"/>
  <c r="M466" i="69"/>
  <c r="M467" i="69"/>
  <c r="M468" i="69"/>
  <c r="M469" i="69"/>
  <c r="M470" i="69"/>
  <c r="M471" i="69"/>
  <c r="M472" i="69"/>
  <c r="M473" i="69"/>
  <c r="M474" i="69"/>
  <c r="M479" i="69"/>
  <c r="M485" i="69"/>
  <c r="M486" i="69"/>
  <c r="M487" i="69"/>
  <c r="M500" i="69"/>
  <c r="M501" i="69"/>
  <c r="M513" i="69"/>
  <c r="M529" i="69"/>
  <c r="M548" i="69"/>
  <c r="M566" i="69"/>
  <c r="M586" i="69"/>
  <c r="M604" i="69"/>
  <c r="M622" i="69"/>
  <c r="M638" i="69"/>
  <c r="M645" i="69"/>
  <c r="M646" i="69"/>
  <c r="M650" i="69"/>
  <c r="M669" i="69"/>
  <c r="M13" i="69"/>
  <c r="L14" i="69"/>
  <c r="L15" i="69"/>
  <c r="L16" i="69"/>
  <c r="L19" i="69"/>
  <c r="L20" i="69"/>
  <c r="L21" i="69"/>
  <c r="L22" i="69"/>
  <c r="L23" i="69"/>
  <c r="L24" i="69"/>
  <c r="L25" i="69"/>
  <c r="L26" i="69"/>
  <c r="L27" i="69"/>
  <c r="L28" i="69"/>
  <c r="L29" i="69"/>
  <c r="L30" i="69"/>
  <c r="L31" i="69"/>
  <c r="L32" i="69"/>
  <c r="L33" i="69"/>
  <c r="L34" i="69"/>
  <c r="L37" i="69"/>
  <c r="L38" i="69"/>
  <c r="L39" i="69"/>
  <c r="L40" i="69"/>
  <c r="L41" i="69"/>
  <c r="L42" i="69"/>
  <c r="L44" i="69"/>
  <c r="L46" i="69"/>
  <c r="L47" i="69"/>
  <c r="L48" i="69"/>
  <c r="L49" i="69"/>
  <c r="L50" i="69"/>
  <c r="L51" i="69"/>
  <c r="L52" i="69"/>
  <c r="L53" i="69"/>
  <c r="L54" i="69"/>
  <c r="L55" i="69"/>
  <c r="L56" i="69"/>
  <c r="L61" i="69"/>
  <c r="L62" i="69"/>
  <c r="L63" i="69"/>
  <c r="L64" i="69"/>
  <c r="L65" i="69"/>
  <c r="L66" i="69"/>
  <c r="L67" i="69"/>
  <c r="L68" i="69"/>
  <c r="L69" i="69"/>
  <c r="L70" i="69"/>
  <c r="L71" i="69"/>
  <c r="L72" i="69"/>
  <c r="L73" i="69"/>
  <c r="L74" i="69"/>
  <c r="L75" i="69"/>
  <c r="L76" i="69"/>
  <c r="L77" i="69"/>
  <c r="L78" i="69"/>
  <c r="L79" i="69"/>
  <c r="L80" i="69"/>
  <c r="L81" i="69"/>
  <c r="L82" i="69"/>
  <c r="L83" i="69"/>
  <c r="L84" i="69"/>
  <c r="L85" i="69"/>
  <c r="L86" i="69"/>
  <c r="L87" i="69"/>
  <c r="L88" i="69"/>
  <c r="L89" i="69"/>
  <c r="L90" i="69"/>
  <c r="L91" i="69"/>
  <c r="L92" i="69"/>
  <c r="L93" i="69"/>
  <c r="L94" i="69"/>
  <c r="L95" i="69"/>
  <c r="L96" i="69"/>
  <c r="L97" i="69"/>
  <c r="L98" i="69"/>
  <c r="L99" i="69"/>
  <c r="L100" i="69"/>
  <c r="L101" i="69"/>
  <c r="L102" i="69"/>
  <c r="L103" i="69"/>
  <c r="L104" i="69"/>
  <c r="L105" i="69"/>
  <c r="L106" i="69"/>
  <c r="L107" i="69"/>
  <c r="L108" i="69"/>
  <c r="L109" i="69"/>
  <c r="L110" i="69"/>
  <c r="L111" i="69"/>
  <c r="L112" i="69"/>
  <c r="L113" i="69"/>
  <c r="L114" i="69"/>
  <c r="L115" i="69"/>
  <c r="L116" i="69"/>
  <c r="L117" i="69"/>
  <c r="L125" i="69"/>
  <c r="L126" i="69"/>
  <c r="L127" i="69"/>
  <c r="L128" i="69"/>
  <c r="L129" i="69"/>
  <c r="L130" i="69"/>
  <c r="L131" i="69"/>
  <c r="L132" i="69"/>
  <c r="L133" i="69"/>
  <c r="L134" i="69"/>
  <c r="L135" i="69"/>
  <c r="L136" i="69"/>
  <c r="L137" i="69"/>
  <c r="L138" i="69"/>
  <c r="L139" i="69"/>
  <c r="L140" i="69"/>
  <c r="L141" i="69"/>
  <c r="L142" i="69"/>
  <c r="L143" i="69"/>
  <c r="L144" i="69"/>
  <c r="L145" i="69"/>
  <c r="L146" i="69"/>
  <c r="L147" i="69"/>
  <c r="L148" i="69"/>
  <c r="L149" i="69"/>
  <c r="L150" i="69"/>
  <c r="L151" i="69"/>
  <c r="L152" i="69"/>
  <c r="L153" i="69"/>
  <c r="L154" i="69"/>
  <c r="L155" i="69"/>
  <c r="L156" i="69"/>
  <c r="L157" i="69"/>
  <c r="L158" i="69"/>
  <c r="L159" i="69"/>
  <c r="L160" i="69"/>
  <c r="L161" i="69"/>
  <c r="L162" i="69"/>
  <c r="L164" i="69"/>
  <c r="L165" i="69"/>
  <c r="L166" i="69"/>
  <c r="L167" i="69"/>
  <c r="L168" i="69"/>
  <c r="L169" i="69"/>
  <c r="L170" i="69"/>
  <c r="L171" i="69"/>
  <c r="L172" i="69"/>
  <c r="L173" i="69"/>
  <c r="L174" i="69"/>
  <c r="L186" i="69"/>
  <c r="L187" i="69"/>
  <c r="L188" i="69"/>
  <c r="L189" i="69"/>
  <c r="L200" i="69"/>
  <c r="L201" i="69"/>
  <c r="L202" i="69"/>
  <c r="L203" i="69"/>
  <c r="L204" i="69"/>
  <c r="L205" i="69"/>
  <c r="L215" i="69"/>
  <c r="L228" i="69"/>
  <c r="L229" i="69"/>
  <c r="L230" i="69"/>
  <c r="L231" i="69"/>
  <c r="L244" i="69"/>
  <c r="L245" i="69"/>
  <c r="L246" i="69"/>
  <c r="L247" i="69"/>
  <c r="L248" i="69"/>
  <c r="L261" i="69"/>
  <c r="L262" i="69"/>
  <c r="L263" i="69"/>
  <c r="L264" i="69"/>
  <c r="L265" i="69"/>
  <c r="L266" i="69"/>
  <c r="L279" i="69"/>
  <c r="L280" i="69"/>
  <c r="L281" i="69"/>
  <c r="L282" i="69"/>
  <c r="L283" i="69"/>
  <c r="L284" i="69"/>
  <c r="L285" i="69"/>
  <c r="L297" i="69"/>
  <c r="L298" i="69"/>
  <c r="L299" i="69"/>
  <c r="L300" i="69"/>
  <c r="L319" i="69"/>
  <c r="L328" i="69"/>
  <c r="L329" i="69"/>
  <c r="L330" i="69"/>
  <c r="L331" i="69"/>
  <c r="L334" i="69"/>
  <c r="L335" i="69"/>
  <c r="L336" i="69"/>
  <c r="L337" i="69"/>
  <c r="L343" i="69"/>
  <c r="L350" i="69"/>
  <c r="L351" i="69"/>
  <c r="L352" i="69"/>
  <c r="L353" i="69"/>
  <c r="L354" i="69"/>
  <c r="L355" i="69"/>
  <c r="L356" i="69"/>
  <c r="L364" i="69"/>
  <c r="L365" i="69"/>
  <c r="L366" i="69"/>
  <c r="L367" i="69"/>
  <c r="L370" i="69"/>
  <c r="L371" i="69"/>
  <c r="L375" i="69"/>
  <c r="L376" i="69"/>
  <c r="L377" i="69"/>
  <c r="L378" i="69"/>
  <c r="L379" i="69"/>
  <c r="L380" i="69"/>
  <c r="L383" i="69"/>
  <c r="L384" i="69"/>
  <c r="L385" i="69"/>
  <c r="L386" i="69"/>
  <c r="L387" i="69"/>
  <c r="L400" i="69"/>
  <c r="L401" i="69"/>
  <c r="L402" i="69"/>
  <c r="L403" i="69"/>
  <c r="L405" i="69"/>
  <c r="L424" i="69"/>
  <c r="L431" i="69"/>
  <c r="L447" i="69"/>
  <c r="L448" i="69"/>
  <c r="L449" i="69"/>
  <c r="L450" i="69"/>
  <c r="L451" i="69"/>
  <c r="L452" i="69"/>
  <c r="L453" i="69"/>
  <c r="L454" i="69"/>
  <c r="L455" i="69"/>
  <c r="L456" i="69"/>
  <c r="L457" i="69"/>
  <c r="L458" i="69"/>
  <c r="L459" i="69"/>
  <c r="L460" i="69"/>
  <c r="L461" i="69"/>
  <c r="L462" i="69"/>
  <c r="L463" i="69"/>
  <c r="L464" i="69"/>
  <c r="L465" i="69"/>
  <c r="L466" i="69"/>
  <c r="L467" i="69"/>
  <c r="L468" i="69"/>
  <c r="L469" i="69"/>
  <c r="L470" i="69"/>
  <c r="L471" i="69"/>
  <c r="L472" i="69"/>
  <c r="L473" i="69"/>
  <c r="L474" i="69"/>
  <c r="L479" i="69"/>
  <c r="L485" i="69"/>
  <c r="L486" i="69"/>
  <c r="L487" i="69"/>
  <c r="L500" i="69"/>
  <c r="L501" i="69"/>
  <c r="L513" i="69"/>
  <c r="L529" i="69"/>
  <c r="L548" i="69"/>
  <c r="L566" i="69"/>
  <c r="L586" i="69"/>
  <c r="L604" i="69"/>
  <c r="L622" i="69"/>
  <c r="L638" i="69"/>
  <c r="L645" i="69"/>
  <c r="L646" i="69"/>
  <c r="L650" i="69"/>
  <c r="L669" i="69"/>
  <c r="L13" i="69"/>
  <c r="M97" i="69" l="1"/>
  <c r="M710" i="69"/>
  <c r="N710" i="69" s="1"/>
  <c r="M706" i="69"/>
  <c r="N706" i="69" s="1"/>
  <c r="M56" i="69"/>
  <c r="M55" i="69"/>
  <c r="M135" i="69"/>
  <c r="M54" i="69"/>
  <c r="M133" i="69"/>
  <c r="M52" i="69"/>
  <c r="M173" i="69"/>
  <c r="M50" i="69"/>
  <c r="M172" i="69"/>
  <c r="M170" i="69"/>
  <c r="M166" i="69"/>
  <c r="M51" i="69"/>
  <c r="M168" i="69"/>
  <c r="M42" i="69"/>
  <c r="M39" i="69"/>
  <c r="M159" i="69"/>
  <c r="M44" i="69"/>
  <c r="M171" i="69"/>
  <c r="M40" i="69"/>
  <c r="M106" i="69"/>
  <c r="M104" i="69"/>
  <c r="M169" i="69"/>
  <c r="M136" i="69"/>
  <c r="M167" i="69"/>
  <c r="M134" i="69"/>
  <c r="M68" i="69"/>
  <c r="M98" i="69"/>
  <c r="M66" i="69"/>
  <c r="M161" i="69"/>
  <c r="G15" i="76" l="1"/>
  <c r="G16" i="76"/>
  <c r="G17" i="76"/>
  <c r="G18" i="76"/>
  <c r="G19" i="76"/>
  <c r="G20" i="76"/>
  <c r="G21" i="76"/>
  <c r="G22" i="76"/>
  <c r="G23" i="76"/>
  <c r="G24" i="76"/>
  <c r="G25" i="76"/>
  <c r="G26" i="76"/>
  <c r="G27" i="76"/>
  <c r="G28" i="76"/>
  <c r="G29" i="76"/>
  <c r="G30" i="76"/>
  <c r="G31" i="76"/>
  <c r="G32" i="76"/>
  <c r="G33" i="76"/>
  <c r="G34" i="76"/>
  <c r="G35" i="76"/>
  <c r="G36" i="76"/>
  <c r="G37" i="76"/>
  <c r="G38" i="76"/>
  <c r="G39" i="76"/>
  <c r="G40" i="76"/>
  <c r="G41" i="76"/>
  <c r="G42" i="76"/>
  <c r="G43" i="76"/>
  <c r="G44" i="76"/>
  <c r="G45" i="76"/>
  <c r="G46" i="76"/>
  <c r="G47" i="76"/>
  <c r="G48" i="76"/>
  <c r="G49" i="76"/>
  <c r="G50" i="76"/>
  <c r="G51" i="76"/>
  <c r="G52" i="76"/>
  <c r="G53" i="76"/>
  <c r="G54" i="76"/>
  <c r="G55" i="76"/>
  <c r="G56" i="76"/>
  <c r="G57" i="76"/>
  <c r="G58" i="76"/>
  <c r="G59" i="76"/>
  <c r="G60" i="76"/>
  <c r="G61" i="76"/>
  <c r="G62" i="76"/>
  <c r="G63" i="76"/>
  <c r="G64" i="76"/>
  <c r="G14" i="76"/>
  <c r="B9" i="77"/>
  <c r="B8" i="77"/>
  <c r="B7" i="77"/>
  <c r="B6" i="77"/>
  <c r="B4" i="77"/>
  <c r="A30" i="38" s="1"/>
  <c r="B3" i="77"/>
  <c r="K30" i="72" l="1"/>
  <c r="J30" i="72"/>
  <c r="L30" i="72" l="1"/>
  <c r="N80" i="39" l="1"/>
  <c r="K80" i="39"/>
  <c r="I80" i="39"/>
  <c r="H80" i="39"/>
  <c r="G80" i="39"/>
  <c r="F80" i="39"/>
  <c r="D80" i="39"/>
  <c r="K79" i="39"/>
  <c r="H79" i="39"/>
  <c r="G79" i="39"/>
  <c r="F79" i="39"/>
  <c r="D79" i="39"/>
  <c r="E23" i="73" l="1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52" i="73"/>
  <c r="E53" i="73"/>
  <c r="E54" i="73"/>
  <c r="E55" i="73"/>
  <c r="E56" i="73"/>
  <c r="E57" i="73"/>
  <c r="E58" i="73"/>
  <c r="E59" i="73"/>
  <c r="E60" i="73"/>
  <c r="E61" i="73"/>
  <c r="E62" i="73"/>
  <c r="E63" i="73"/>
  <c r="E64" i="73"/>
  <c r="E65" i="73"/>
  <c r="E66" i="73"/>
  <c r="E67" i="73"/>
  <c r="E68" i="73"/>
  <c r="C9" i="76"/>
  <c r="C8" i="76"/>
  <c r="C7" i="76"/>
  <c r="C6" i="76"/>
  <c r="C5" i="76"/>
  <c r="C3" i="76"/>
  <c r="C4" i="76"/>
  <c r="D66" i="76"/>
  <c r="E66" i="76"/>
  <c r="L58" i="68"/>
  <c r="J58" i="68"/>
  <c r="A58" i="68"/>
  <c r="L49" i="68"/>
  <c r="J49" i="68"/>
  <c r="A49" i="68"/>
  <c r="N458" i="69"/>
  <c r="A283" i="69"/>
  <c r="I497" i="69"/>
  <c r="I496" i="69"/>
  <c r="A111" i="69"/>
  <c r="A110" i="69"/>
  <c r="M53" i="39"/>
  <c r="H53" i="39"/>
  <c r="D53" i="39"/>
  <c r="G18" i="39"/>
  <c r="G21" i="39"/>
  <c r="G36" i="39"/>
  <c r="G37" i="39"/>
  <c r="G43" i="39"/>
  <c r="G47" i="39"/>
  <c r="G48" i="39"/>
  <c r="G49" i="39"/>
  <c r="G50" i="39"/>
  <c r="G62" i="39"/>
  <c r="G65" i="39"/>
  <c r="G66" i="39"/>
  <c r="G67" i="39"/>
  <c r="G68" i="39"/>
  <c r="G69" i="39"/>
  <c r="G70" i="39"/>
  <c r="G71" i="39"/>
  <c r="G72" i="39"/>
  <c r="G73" i="39"/>
  <c r="G74" i="39"/>
  <c r="G75" i="39"/>
  <c r="G76" i="39"/>
  <c r="G77" i="39"/>
  <c r="G78" i="39"/>
  <c r="M63" i="39"/>
  <c r="K63" i="39"/>
  <c r="H63" i="39"/>
  <c r="F63" i="39"/>
  <c r="D63" i="39"/>
  <c r="I46" i="71"/>
  <c r="H46" i="71"/>
  <c r="C23" i="44"/>
  <c r="C36" i="44"/>
  <c r="C16" i="44"/>
  <c r="C17" i="44"/>
  <c r="C18" i="44"/>
  <c r="C19" i="44"/>
  <c r="C45" i="44"/>
  <c r="C44" i="44"/>
  <c r="L496" i="69" l="1"/>
  <c r="M496" i="69"/>
  <c r="L497" i="69"/>
  <c r="M497" i="69"/>
  <c r="N497" i="69" s="1"/>
  <c r="D69" i="73"/>
  <c r="K38" i="50"/>
  <c r="K37" i="50"/>
  <c r="N283" i="69"/>
  <c r="N113" i="69"/>
  <c r="N110" i="69"/>
  <c r="N111" i="69"/>
  <c r="N112" i="69"/>
  <c r="N500" i="69"/>
  <c r="N501" i="69"/>
  <c r="J46" i="71"/>
  <c r="G53" i="39" s="1"/>
  <c r="N496" i="69" l="1"/>
  <c r="O774" i="2"/>
  <c r="O773" i="2"/>
  <c r="E18" i="73" l="1"/>
  <c r="E19" i="73"/>
  <c r="E20" i="73"/>
  <c r="E21" i="73"/>
  <c r="E22" i="73"/>
  <c r="C9" i="73"/>
  <c r="C8" i="73"/>
  <c r="C7" i="73"/>
  <c r="C6" i="73"/>
  <c r="C5" i="73"/>
  <c r="C4" i="73"/>
  <c r="A34" i="38" s="1"/>
  <c r="C3" i="73"/>
  <c r="M64" i="39"/>
  <c r="M62" i="39"/>
  <c r="M61" i="39"/>
  <c r="M60" i="39"/>
  <c r="M59" i="39"/>
  <c r="M58" i="39"/>
  <c r="M57" i="39"/>
  <c r="M56" i="39"/>
  <c r="M55" i="39"/>
  <c r="M54" i="39"/>
  <c r="M52" i="39"/>
  <c r="M51" i="39"/>
  <c r="M50" i="39"/>
  <c r="M49" i="39"/>
  <c r="M48" i="39"/>
  <c r="M47" i="39"/>
  <c r="M46" i="39"/>
  <c r="M45" i="39"/>
  <c r="M44" i="39"/>
  <c r="M43" i="39"/>
  <c r="M42" i="39"/>
  <c r="M41" i="39"/>
  <c r="M40" i="39"/>
  <c r="M39" i="39"/>
  <c r="M38" i="39"/>
  <c r="M37" i="39"/>
  <c r="M36" i="39"/>
  <c r="M35" i="39"/>
  <c r="M34" i="39"/>
  <c r="M33" i="39"/>
  <c r="M32" i="39"/>
  <c r="M31" i="39"/>
  <c r="M30" i="39"/>
  <c r="M29" i="39"/>
  <c r="M28" i="39"/>
  <c r="M27" i="39"/>
  <c r="M26" i="39"/>
  <c r="M25" i="39"/>
  <c r="M24" i="39"/>
  <c r="M23" i="39"/>
  <c r="M22" i="39"/>
  <c r="M21" i="39"/>
  <c r="M20" i="39"/>
  <c r="M19" i="39"/>
  <c r="M18" i="39"/>
  <c r="M17" i="39"/>
  <c r="M16" i="39"/>
  <c r="M15" i="39"/>
  <c r="M14" i="39"/>
  <c r="K29" i="72"/>
  <c r="K25" i="72"/>
  <c r="K21" i="72"/>
  <c r="K17" i="72"/>
  <c r="K28" i="72"/>
  <c r="I32" i="72"/>
  <c r="H32" i="72"/>
  <c r="J31" i="72"/>
  <c r="J29" i="72"/>
  <c r="J28" i="72"/>
  <c r="J27" i="72"/>
  <c r="J26" i="72"/>
  <c r="J25" i="72"/>
  <c r="J24" i="72"/>
  <c r="J23" i="72"/>
  <c r="J22" i="72"/>
  <c r="J21" i="72"/>
  <c r="J20" i="72"/>
  <c r="J19" i="72"/>
  <c r="J18" i="72"/>
  <c r="J17" i="72"/>
  <c r="J16" i="72"/>
  <c r="E69" i="73" l="1"/>
  <c r="G23" i="73"/>
  <c r="H23" i="73" s="1"/>
  <c r="N19" i="39" s="1"/>
  <c r="G56" i="73"/>
  <c r="H56" i="73" s="1"/>
  <c r="N52" i="39" s="1"/>
  <c r="N68" i="39"/>
  <c r="G40" i="73"/>
  <c r="H40" i="73" s="1"/>
  <c r="N36" i="39" s="1"/>
  <c r="G41" i="73"/>
  <c r="H41" i="73" s="1"/>
  <c r="N37" i="39" s="1"/>
  <c r="G24" i="73"/>
  <c r="H24" i="73" s="1"/>
  <c r="N20" i="39" s="1"/>
  <c r="G57" i="73"/>
  <c r="H57" i="73" s="1"/>
  <c r="N53" i="39" s="1"/>
  <c r="N69" i="39"/>
  <c r="G25" i="73"/>
  <c r="H25" i="73" s="1"/>
  <c r="N21" i="39" s="1"/>
  <c r="G58" i="73"/>
  <c r="H58" i="73" s="1"/>
  <c r="N54" i="39" s="1"/>
  <c r="N70" i="39"/>
  <c r="G42" i="73"/>
  <c r="H42" i="73" s="1"/>
  <c r="N38" i="39" s="1"/>
  <c r="G26" i="73"/>
  <c r="H26" i="73" s="1"/>
  <c r="N22" i="39" s="1"/>
  <c r="G59" i="73"/>
  <c r="H59" i="73" s="1"/>
  <c r="N55" i="39" s="1"/>
  <c r="N71" i="39"/>
  <c r="G43" i="73"/>
  <c r="H43" i="73" s="1"/>
  <c r="N39" i="39" s="1"/>
  <c r="G27" i="73"/>
  <c r="H27" i="73" s="1"/>
  <c r="N23" i="39" s="1"/>
  <c r="G60" i="73"/>
  <c r="H60" i="73" s="1"/>
  <c r="N56" i="39" s="1"/>
  <c r="N72" i="39"/>
  <c r="G44" i="73"/>
  <c r="H44" i="73" s="1"/>
  <c r="N40" i="39" s="1"/>
  <c r="G28" i="73"/>
  <c r="H28" i="73" s="1"/>
  <c r="N24" i="39" s="1"/>
  <c r="G61" i="73"/>
  <c r="H61" i="73" s="1"/>
  <c r="N57" i="39" s="1"/>
  <c r="N73" i="39"/>
  <c r="G45" i="73"/>
  <c r="H45" i="73" s="1"/>
  <c r="N41" i="39" s="1"/>
  <c r="G29" i="73"/>
  <c r="H29" i="73" s="1"/>
  <c r="N25" i="39" s="1"/>
  <c r="G62" i="73"/>
  <c r="H62" i="73" s="1"/>
  <c r="N58" i="39" s="1"/>
  <c r="N74" i="39"/>
  <c r="G30" i="73"/>
  <c r="H30" i="73" s="1"/>
  <c r="N26" i="39" s="1"/>
  <c r="G46" i="73"/>
  <c r="H46" i="73" s="1"/>
  <c r="N42" i="39" s="1"/>
  <c r="G63" i="73"/>
  <c r="H63" i="73" s="1"/>
  <c r="N59" i="39" s="1"/>
  <c r="N75" i="39"/>
  <c r="G31" i="73"/>
  <c r="H31" i="73" s="1"/>
  <c r="N27" i="39" s="1"/>
  <c r="G47" i="73"/>
  <c r="H47" i="73" s="1"/>
  <c r="N43" i="39" s="1"/>
  <c r="G64" i="73"/>
  <c r="H64" i="73" s="1"/>
  <c r="N60" i="39" s="1"/>
  <c r="N76" i="39"/>
  <c r="G32" i="73"/>
  <c r="H32" i="73" s="1"/>
  <c r="G48" i="73"/>
  <c r="H48" i="73" s="1"/>
  <c r="N44" i="39" s="1"/>
  <c r="G65" i="73"/>
  <c r="H65" i="73" s="1"/>
  <c r="N61" i="39" s="1"/>
  <c r="N77" i="39"/>
  <c r="G33" i="73"/>
  <c r="H33" i="73" s="1"/>
  <c r="N29" i="39" s="1"/>
  <c r="G49" i="73"/>
  <c r="H49" i="73" s="1"/>
  <c r="N45" i="39" s="1"/>
  <c r="G66" i="73"/>
  <c r="H66" i="73" s="1"/>
  <c r="N62" i="39" s="1"/>
  <c r="N78" i="39"/>
  <c r="G34" i="73"/>
  <c r="H34" i="73" s="1"/>
  <c r="N30" i="39" s="1"/>
  <c r="G50" i="73"/>
  <c r="H50" i="73" s="1"/>
  <c r="N46" i="39" s="1"/>
  <c r="G51" i="73"/>
  <c r="H51" i="73" s="1"/>
  <c r="N47" i="39" s="1"/>
  <c r="G67" i="73"/>
  <c r="H67" i="73" s="1"/>
  <c r="N63" i="39" s="1"/>
  <c r="G35" i="73"/>
  <c r="H35" i="73" s="1"/>
  <c r="N31" i="39" s="1"/>
  <c r="G52" i="73"/>
  <c r="H52" i="73" s="1"/>
  <c r="N48" i="39" s="1"/>
  <c r="G68" i="73"/>
  <c r="H68" i="73" s="1"/>
  <c r="N64" i="39" s="1"/>
  <c r="G36" i="73"/>
  <c r="H36" i="73" s="1"/>
  <c r="N32" i="39" s="1"/>
  <c r="G53" i="73"/>
  <c r="H53" i="73" s="1"/>
  <c r="N49" i="39" s="1"/>
  <c r="N65" i="39"/>
  <c r="G37" i="73"/>
  <c r="H37" i="73" s="1"/>
  <c r="N33" i="39" s="1"/>
  <c r="G54" i="73"/>
  <c r="H54" i="73" s="1"/>
  <c r="N50" i="39" s="1"/>
  <c r="N66" i="39"/>
  <c r="G38" i="73"/>
  <c r="H38" i="73" s="1"/>
  <c r="N34" i="39" s="1"/>
  <c r="G55" i="73"/>
  <c r="H55" i="73" s="1"/>
  <c r="N51" i="39" s="1"/>
  <c r="N67" i="39"/>
  <c r="G39" i="73"/>
  <c r="H39" i="73" s="1"/>
  <c r="N35" i="39" s="1"/>
  <c r="G22" i="73"/>
  <c r="G19" i="73"/>
  <c r="G20" i="73"/>
  <c r="G18" i="73"/>
  <c r="H18" i="73" s="1"/>
  <c r="G21" i="73"/>
  <c r="H21" i="73" s="1"/>
  <c r="L28" i="72"/>
  <c r="M77" i="39" s="1"/>
  <c r="K18" i="72"/>
  <c r="L18" i="72" s="1"/>
  <c r="M67" i="39" s="1"/>
  <c r="K22" i="72"/>
  <c r="L22" i="72" s="1"/>
  <c r="M71" i="39" s="1"/>
  <c r="K26" i="72"/>
  <c r="K31" i="72"/>
  <c r="L31" i="72" s="1"/>
  <c r="M80" i="39" s="1"/>
  <c r="K19" i="72"/>
  <c r="L19" i="72" s="1"/>
  <c r="M68" i="39" s="1"/>
  <c r="K23" i="72"/>
  <c r="L23" i="72" s="1"/>
  <c r="M72" i="39" s="1"/>
  <c r="K27" i="72"/>
  <c r="L27" i="72" s="1"/>
  <c r="M76" i="39" s="1"/>
  <c r="L26" i="72"/>
  <c r="M75" i="39" s="1"/>
  <c r="K16" i="72"/>
  <c r="L16" i="72" s="1"/>
  <c r="M65" i="39" s="1"/>
  <c r="K20" i="72"/>
  <c r="L20" i="72" s="1"/>
  <c r="M69" i="39" s="1"/>
  <c r="K24" i="72"/>
  <c r="L24" i="72" s="1"/>
  <c r="M73" i="39" s="1"/>
  <c r="F32" i="72"/>
  <c r="G32" i="72"/>
  <c r="L17" i="72"/>
  <c r="M66" i="39" s="1"/>
  <c r="L21" i="72"/>
  <c r="M70" i="39" s="1"/>
  <c r="L25" i="72"/>
  <c r="M74" i="39" s="1"/>
  <c r="L29" i="72"/>
  <c r="M78" i="39" s="1"/>
  <c r="J32" i="72"/>
  <c r="C9" i="72"/>
  <c r="C8" i="72"/>
  <c r="C7" i="72"/>
  <c r="C6" i="72"/>
  <c r="C5" i="72"/>
  <c r="C4" i="72"/>
  <c r="A32" i="38" s="1"/>
  <c r="C3" i="72"/>
  <c r="B3" i="43"/>
  <c r="B6" i="43"/>
  <c r="G37" i="67"/>
  <c r="H37" i="67" s="1"/>
  <c r="G36" i="67"/>
  <c r="H36" i="67" s="1"/>
  <c r="G23" i="67"/>
  <c r="G22" i="67"/>
  <c r="G21" i="67"/>
  <c r="G24" i="67"/>
  <c r="G45" i="49"/>
  <c r="H45" i="49" s="1"/>
  <c r="G44" i="49"/>
  <c r="H44" i="49" s="1"/>
  <c r="G28" i="49"/>
  <c r="G27" i="49"/>
  <c r="G26" i="49"/>
  <c r="G25" i="49"/>
  <c r="G23" i="49"/>
  <c r="L15" i="68"/>
  <c r="L14" i="68"/>
  <c r="L13" i="68"/>
  <c r="J15" i="68"/>
  <c r="J14" i="68"/>
  <c r="J13" i="68"/>
  <c r="N14" i="69"/>
  <c r="N15" i="69"/>
  <c r="N27" i="69"/>
  <c r="N28" i="69"/>
  <c r="N29" i="69"/>
  <c r="N31" i="69"/>
  <c r="N34" i="69"/>
  <c r="N38" i="69"/>
  <c r="N56" i="69"/>
  <c r="N61" i="69"/>
  <c r="N62" i="69"/>
  <c r="N66" i="69"/>
  <c r="N67" i="69"/>
  <c r="N79" i="69"/>
  <c r="N88" i="69"/>
  <c r="N89" i="69"/>
  <c r="N91" i="69"/>
  <c r="N92" i="69"/>
  <c r="N93" i="69"/>
  <c r="N94" i="69"/>
  <c r="N95" i="69"/>
  <c r="N98" i="69"/>
  <c r="N99" i="69"/>
  <c r="N102" i="69"/>
  <c r="N114" i="69"/>
  <c r="N115" i="69"/>
  <c r="N130" i="69"/>
  <c r="N131" i="69"/>
  <c r="N133" i="69"/>
  <c r="N135" i="69"/>
  <c r="N138" i="69"/>
  <c r="N162" i="69"/>
  <c r="N165" i="69"/>
  <c r="N166" i="69"/>
  <c r="N167" i="69"/>
  <c r="N170" i="69"/>
  <c r="N189" i="69"/>
  <c r="N202" i="69"/>
  <c r="N230" i="69"/>
  <c r="N261" i="69"/>
  <c r="N262" i="69"/>
  <c r="N263" i="69"/>
  <c r="N266" i="69"/>
  <c r="N299" i="69"/>
  <c r="N319" i="69"/>
  <c r="N331" i="69"/>
  <c r="N356" i="69"/>
  <c r="N383" i="69"/>
  <c r="N384" i="69"/>
  <c r="N386" i="69"/>
  <c r="N387" i="69"/>
  <c r="N403" i="69"/>
  <c r="N424" i="69"/>
  <c r="N447" i="69"/>
  <c r="N448" i="69"/>
  <c r="N454" i="69"/>
  <c r="N455" i="69"/>
  <c r="N456" i="69"/>
  <c r="N460" i="69"/>
  <c r="N468" i="69"/>
  <c r="N485" i="69"/>
  <c r="N487" i="69"/>
  <c r="N548" i="69"/>
  <c r="N229" i="69" l="1"/>
  <c r="N452" i="69"/>
  <c r="N354" i="69"/>
  <c r="N160" i="69"/>
  <c r="N79" i="39"/>
  <c r="N451" i="69"/>
  <c r="N159" i="69"/>
  <c r="N127" i="69"/>
  <c r="M79" i="39"/>
  <c r="N47" i="69"/>
  <c r="N450" i="69"/>
  <c r="N351" i="69"/>
  <c r="N157" i="69"/>
  <c r="N125" i="69"/>
  <c r="N355" i="69"/>
  <c r="N161" i="69"/>
  <c r="N129" i="69"/>
  <c r="N70" i="69"/>
  <c r="N128" i="69"/>
  <c r="N134" i="69"/>
  <c r="N328" i="69"/>
  <c r="N32" i="69"/>
  <c r="N30" i="69"/>
  <c r="N63" i="69"/>
  <c r="N352" i="69"/>
  <c r="N231" i="69"/>
  <c r="N33" i="69"/>
  <c r="N97" i="69"/>
  <c r="N65" i="69"/>
  <c r="N25" i="69"/>
  <c r="N96" i="69"/>
  <c r="N64" i="69"/>
  <c r="N24" i="69"/>
  <c r="N449" i="69"/>
  <c r="N385" i="69"/>
  <c r="N353" i="69"/>
  <c r="N158" i="69"/>
  <c r="N126" i="69"/>
  <c r="N90" i="69"/>
  <c r="N26" i="69"/>
  <c r="N479" i="69"/>
  <c r="N350" i="69"/>
  <c r="N604" i="69"/>
  <c r="N155" i="69"/>
  <c r="N22" i="69"/>
  <c r="N19" i="69"/>
  <c r="N215" i="69"/>
  <c r="N82" i="69"/>
  <c r="N117" i="69"/>
  <c r="N486" i="69"/>
  <c r="N285" i="69"/>
  <c r="N228" i="69"/>
  <c r="N188" i="69"/>
  <c r="N164" i="69"/>
  <c r="N156" i="69"/>
  <c r="N132" i="69"/>
  <c r="N650" i="69"/>
  <c r="N586" i="69"/>
  <c r="N453" i="69"/>
  <c r="N638" i="69"/>
  <c r="N20" i="69"/>
  <c r="N81" i="69"/>
  <c r="N23" i="69"/>
  <c r="N247" i="69"/>
  <c r="N78" i="69"/>
  <c r="N21" i="69"/>
  <c r="N13" i="69"/>
  <c r="N513" i="69"/>
  <c r="N380" i="69"/>
  <c r="N284" i="69"/>
  <c r="N187" i="69"/>
  <c r="N87" i="69"/>
  <c r="N55" i="69"/>
  <c r="N379" i="69"/>
  <c r="N282" i="69"/>
  <c r="N186" i="69"/>
  <c r="N154" i="69"/>
  <c r="N86" i="69"/>
  <c r="N54" i="69"/>
  <c r="N281" i="69"/>
  <c r="N153" i="69"/>
  <c r="N85" i="69"/>
  <c r="N53" i="69"/>
  <c r="N378" i="69"/>
  <c r="N474" i="69"/>
  <c r="N377" i="69"/>
  <c r="N280" i="69"/>
  <c r="N248" i="69"/>
  <c r="N152" i="69"/>
  <c r="N84" i="69"/>
  <c r="N52" i="69"/>
  <c r="N669" i="69"/>
  <c r="N473" i="69"/>
  <c r="N376" i="69"/>
  <c r="N279" i="69"/>
  <c r="N151" i="69"/>
  <c r="N83" i="69"/>
  <c r="N51" i="69"/>
  <c r="N472" i="69"/>
  <c r="N375" i="69"/>
  <c r="N343" i="69"/>
  <c r="N246" i="69"/>
  <c r="N150" i="69"/>
  <c r="N50" i="69"/>
  <c r="N471" i="69"/>
  <c r="N245" i="69"/>
  <c r="N149" i="69"/>
  <c r="N49" i="69"/>
  <c r="N469" i="69"/>
  <c r="N147" i="69"/>
  <c r="N371" i="69"/>
  <c r="N146" i="69"/>
  <c r="N46" i="69"/>
  <c r="H20" i="73"/>
  <c r="N17" i="39" s="1"/>
  <c r="H19" i="73"/>
  <c r="H22" i="73"/>
  <c r="N14" i="39"/>
  <c r="L32" i="72"/>
  <c r="H32" i="38" s="1"/>
  <c r="G25" i="67"/>
  <c r="G21" i="49"/>
  <c r="H21" i="49" s="1"/>
  <c r="G22" i="49"/>
  <c r="N529" i="69"/>
  <c r="N461" i="69"/>
  <c r="N364" i="69"/>
  <c r="N300" i="69"/>
  <c r="N203" i="69"/>
  <c r="N171" i="69"/>
  <c r="N139" i="69"/>
  <c r="N103" i="69"/>
  <c r="N71" i="69"/>
  <c r="N39" i="69"/>
  <c r="N459" i="69"/>
  <c r="N330" i="69"/>
  <c r="N298" i="69"/>
  <c r="N265" i="69"/>
  <c r="N201" i="69"/>
  <c r="N169" i="69"/>
  <c r="N137" i="69"/>
  <c r="N101" i="69"/>
  <c r="N69" i="69"/>
  <c r="N37" i="69"/>
  <c r="N622" i="69"/>
  <c r="N457" i="69"/>
  <c r="N329" i="69"/>
  <c r="N297" i="69"/>
  <c r="N264" i="69"/>
  <c r="N200" i="69"/>
  <c r="N168" i="69"/>
  <c r="N136" i="69"/>
  <c r="N100" i="69"/>
  <c r="N68" i="69"/>
  <c r="N470" i="69"/>
  <c r="N405" i="69"/>
  <c r="N244" i="69"/>
  <c r="N148" i="69"/>
  <c r="N116" i="69"/>
  <c r="N80" i="69"/>
  <c r="N48" i="69"/>
  <c r="N16" i="69"/>
  <c r="N467" i="69"/>
  <c r="N402" i="69"/>
  <c r="N370" i="69"/>
  <c r="N145" i="69"/>
  <c r="N109" i="69"/>
  <c r="N77" i="69"/>
  <c r="N566" i="69"/>
  <c r="N466" i="69"/>
  <c r="N401" i="69"/>
  <c r="N337" i="69"/>
  <c r="N144" i="69"/>
  <c r="N108" i="69"/>
  <c r="N76" i="69"/>
  <c r="N44" i="69"/>
  <c r="N465" i="69"/>
  <c r="N400" i="69"/>
  <c r="N336" i="69"/>
  <c r="N143" i="69"/>
  <c r="N107" i="69"/>
  <c r="N75" i="69"/>
  <c r="N464" i="69"/>
  <c r="N431" i="69"/>
  <c r="N367" i="69"/>
  <c r="N335" i="69"/>
  <c r="N174" i="69"/>
  <c r="N142" i="69"/>
  <c r="N106" i="69"/>
  <c r="N74" i="69"/>
  <c r="N42" i="69"/>
  <c r="N463" i="69"/>
  <c r="N366" i="69"/>
  <c r="N334" i="69"/>
  <c r="N205" i="69"/>
  <c r="N173" i="69"/>
  <c r="N141" i="69"/>
  <c r="N105" i="69"/>
  <c r="N73" i="69"/>
  <c r="N41" i="69"/>
  <c r="N462" i="69"/>
  <c r="N365" i="69"/>
  <c r="N204" i="69"/>
  <c r="N172" i="69"/>
  <c r="N140" i="69"/>
  <c r="N104" i="69"/>
  <c r="N72" i="69"/>
  <c r="N40" i="69"/>
  <c r="M85" i="39" l="1"/>
  <c r="H69" i="73"/>
  <c r="H34" i="38" s="1"/>
  <c r="N28" i="39"/>
  <c r="N18" i="39"/>
  <c r="N16" i="39"/>
  <c r="N15" i="39"/>
  <c r="C9" i="71"/>
  <c r="C8" i="71"/>
  <c r="C7" i="71"/>
  <c r="C6" i="71"/>
  <c r="C5" i="71"/>
  <c r="C4" i="71"/>
  <c r="A20" i="38" s="1"/>
  <c r="C3" i="71"/>
  <c r="H16" i="71"/>
  <c r="I16" i="71"/>
  <c r="H17" i="71"/>
  <c r="I17" i="71"/>
  <c r="J17" i="71" s="1"/>
  <c r="G39" i="39" s="1"/>
  <c r="H18" i="71"/>
  <c r="I18" i="71"/>
  <c r="J18" i="71"/>
  <c r="G40" i="39" s="1"/>
  <c r="H19" i="71"/>
  <c r="I19" i="71"/>
  <c r="H20" i="71"/>
  <c r="I20" i="71"/>
  <c r="H21" i="71"/>
  <c r="I21" i="71"/>
  <c r="J21" i="71" s="1"/>
  <c r="G44" i="39" s="1"/>
  <c r="H22" i="71"/>
  <c r="I22" i="71"/>
  <c r="H23" i="71"/>
  <c r="I23" i="71"/>
  <c r="J23" i="71" s="1"/>
  <c r="G46" i="39" s="1"/>
  <c r="H24" i="71"/>
  <c r="I24" i="71"/>
  <c r="H25" i="71"/>
  <c r="I25" i="71"/>
  <c r="H26" i="71"/>
  <c r="I26" i="71"/>
  <c r="J26" i="71" s="1"/>
  <c r="G19" i="39" s="1"/>
  <c r="H27" i="71"/>
  <c r="I27" i="71"/>
  <c r="H28" i="71"/>
  <c r="I28" i="71"/>
  <c r="H29" i="71"/>
  <c r="I29" i="71"/>
  <c r="H30" i="71"/>
  <c r="I30" i="71"/>
  <c r="J30" i="71" s="1"/>
  <c r="G24" i="39" s="1"/>
  <c r="H31" i="71"/>
  <c r="I31" i="71"/>
  <c r="J31" i="71"/>
  <c r="G25" i="39" s="1"/>
  <c r="H32" i="71"/>
  <c r="I32" i="71"/>
  <c r="J32" i="71"/>
  <c r="G26" i="39" s="1"/>
  <c r="H33" i="71"/>
  <c r="I33" i="71"/>
  <c r="H34" i="71"/>
  <c r="I34" i="71"/>
  <c r="J34" i="71" s="1"/>
  <c r="G28" i="39" s="1"/>
  <c r="H35" i="71"/>
  <c r="I35" i="71"/>
  <c r="J35" i="71" s="1"/>
  <c r="G29" i="39" s="1"/>
  <c r="H36" i="71"/>
  <c r="I36" i="71"/>
  <c r="H37" i="71"/>
  <c r="I37" i="71"/>
  <c r="J37" i="71" s="1"/>
  <c r="G31" i="39" s="1"/>
  <c r="H38" i="71"/>
  <c r="I38" i="71"/>
  <c r="J38" i="71" s="1"/>
  <c r="G32" i="39" s="1"/>
  <c r="H39" i="71"/>
  <c r="I39" i="71"/>
  <c r="H40" i="71"/>
  <c r="I40" i="71"/>
  <c r="J40" i="71" s="1"/>
  <c r="G14" i="39" s="1"/>
  <c r="H41" i="71"/>
  <c r="I41" i="71"/>
  <c r="J41" i="71" s="1"/>
  <c r="G15" i="39" s="1"/>
  <c r="H42" i="71"/>
  <c r="I42" i="71"/>
  <c r="J42" i="71" s="1"/>
  <c r="G16" i="39" s="1"/>
  <c r="H43" i="71"/>
  <c r="I43" i="71"/>
  <c r="H44" i="71"/>
  <c r="I44" i="71"/>
  <c r="J44" i="71" s="1"/>
  <c r="G51" i="39" s="1"/>
  <c r="H45" i="71"/>
  <c r="I45" i="71"/>
  <c r="H47" i="71"/>
  <c r="I47" i="71"/>
  <c r="H48" i="71"/>
  <c r="I48" i="71"/>
  <c r="J48" i="71" s="1"/>
  <c r="G55" i="39" s="1"/>
  <c r="H49" i="71"/>
  <c r="I49" i="71"/>
  <c r="J49" i="71" s="1"/>
  <c r="G56" i="39" s="1"/>
  <c r="H50" i="71"/>
  <c r="I50" i="71"/>
  <c r="J50" i="71"/>
  <c r="G57" i="39" s="1"/>
  <c r="H51" i="71"/>
  <c r="I51" i="71"/>
  <c r="J51" i="71" s="1"/>
  <c r="G58" i="39" s="1"/>
  <c r="H52" i="71"/>
  <c r="I52" i="71"/>
  <c r="H53" i="71"/>
  <c r="I53" i="71"/>
  <c r="J53" i="71" s="1"/>
  <c r="G60" i="39" s="1"/>
  <c r="H54" i="71"/>
  <c r="I54" i="71"/>
  <c r="H55" i="71"/>
  <c r="I55" i="71"/>
  <c r="J55" i="71" s="1"/>
  <c r="G63" i="39" s="1"/>
  <c r="H56" i="71"/>
  <c r="I56" i="71"/>
  <c r="E57" i="71"/>
  <c r="J43" i="71" l="1"/>
  <c r="G17" i="39" s="1"/>
  <c r="J52" i="71"/>
  <c r="G59" i="39" s="1"/>
  <c r="J33" i="71"/>
  <c r="G27" i="39" s="1"/>
  <c r="N85" i="39"/>
  <c r="J56" i="71"/>
  <c r="G64" i="39" s="1"/>
  <c r="J39" i="71"/>
  <c r="G33" i="39" s="1"/>
  <c r="J54" i="71"/>
  <c r="G61" i="39" s="1"/>
  <c r="J45" i="71"/>
  <c r="G52" i="39" s="1"/>
  <c r="J29" i="71"/>
  <c r="G23" i="39" s="1"/>
  <c r="J27" i="71"/>
  <c r="G20" i="39" s="1"/>
  <c r="J16" i="71"/>
  <c r="G38" i="39" s="1"/>
  <c r="J28" i="71"/>
  <c r="G22" i="39" s="1"/>
  <c r="J20" i="71"/>
  <c r="G42" i="39" s="1"/>
  <c r="J19" i="71"/>
  <c r="G41" i="39" s="1"/>
  <c r="J36" i="71"/>
  <c r="G30" i="39" s="1"/>
  <c r="J24" i="71"/>
  <c r="G34" i="39" s="1"/>
  <c r="J22" i="71"/>
  <c r="G45" i="39" s="1"/>
  <c r="J47" i="71"/>
  <c r="G54" i="39" s="1"/>
  <c r="J25" i="71"/>
  <c r="G35" i="39" s="1"/>
  <c r="J57" i="71"/>
  <c r="H20" i="38" s="1"/>
  <c r="G85" i="39" l="1"/>
  <c r="A2" i="2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I23" i="44"/>
  <c r="J23" i="44" s="1"/>
  <c r="I36" i="44" l="1"/>
  <c r="I16" i="44"/>
  <c r="I17" i="44"/>
  <c r="J17" i="44" s="1"/>
  <c r="I18" i="44"/>
  <c r="J18" i="44" s="1"/>
  <c r="I19" i="44"/>
  <c r="J19" i="44" s="1"/>
  <c r="I44" i="44"/>
  <c r="J44" i="44" s="1"/>
  <c r="I45" i="44"/>
  <c r="J45" i="44" s="1"/>
  <c r="I703" i="69"/>
  <c r="I702" i="69"/>
  <c r="I701" i="69"/>
  <c r="I700" i="69"/>
  <c r="I699" i="69"/>
  <c r="I698" i="69"/>
  <c r="I697" i="69"/>
  <c r="I696" i="69"/>
  <c r="I695" i="69"/>
  <c r="I694" i="69"/>
  <c r="I693" i="69"/>
  <c r="I692" i="69"/>
  <c r="I691" i="69"/>
  <c r="I690" i="69"/>
  <c r="I689" i="69"/>
  <c r="I688" i="69"/>
  <c r="I687" i="69"/>
  <c r="I686" i="69"/>
  <c r="I685" i="69"/>
  <c r="I684" i="69"/>
  <c r="I683" i="69"/>
  <c r="I682" i="69"/>
  <c r="I681" i="69"/>
  <c r="I680" i="69"/>
  <c r="I679" i="69"/>
  <c r="I678" i="69"/>
  <c r="I677" i="69"/>
  <c r="I676" i="69"/>
  <c r="I675" i="69"/>
  <c r="I674" i="69"/>
  <c r="I673" i="69"/>
  <c r="I672" i="69"/>
  <c r="I671" i="69"/>
  <c r="I670" i="69"/>
  <c r="I668" i="69"/>
  <c r="I667" i="69"/>
  <c r="I666" i="69"/>
  <c r="I665" i="69"/>
  <c r="I664" i="69"/>
  <c r="I663" i="69"/>
  <c r="I662" i="69"/>
  <c r="I661" i="69"/>
  <c r="I660" i="69"/>
  <c r="I659" i="69"/>
  <c r="I658" i="69"/>
  <c r="I657" i="69"/>
  <c r="I656" i="69"/>
  <c r="I655" i="69"/>
  <c r="I654" i="69"/>
  <c r="I653" i="69"/>
  <c r="I652" i="69"/>
  <c r="I651" i="69"/>
  <c r="I649" i="69"/>
  <c r="I648" i="69"/>
  <c r="I647" i="69"/>
  <c r="I644" i="69"/>
  <c r="I643" i="69"/>
  <c r="I642" i="69"/>
  <c r="I641" i="69"/>
  <c r="I640" i="69"/>
  <c r="I639" i="69"/>
  <c r="I637" i="69"/>
  <c r="I636" i="69"/>
  <c r="I635" i="69"/>
  <c r="I634" i="69"/>
  <c r="I633" i="69"/>
  <c r="I632" i="69"/>
  <c r="I631" i="69"/>
  <c r="I630" i="69"/>
  <c r="I629" i="69"/>
  <c r="I628" i="69"/>
  <c r="I627" i="69"/>
  <c r="I626" i="69"/>
  <c r="I625" i="69"/>
  <c r="I624" i="69"/>
  <c r="I623" i="69"/>
  <c r="I621" i="69"/>
  <c r="I620" i="69"/>
  <c r="I619" i="69"/>
  <c r="I618" i="69"/>
  <c r="I617" i="69"/>
  <c r="I616" i="69"/>
  <c r="I615" i="69"/>
  <c r="I614" i="69"/>
  <c r="I613" i="69"/>
  <c r="I612" i="69"/>
  <c r="I611" i="69"/>
  <c r="I610" i="69"/>
  <c r="I609" i="69"/>
  <c r="I608" i="69"/>
  <c r="I607" i="69"/>
  <c r="I606" i="69"/>
  <c r="I605" i="69"/>
  <c r="I603" i="69"/>
  <c r="I602" i="69"/>
  <c r="I601" i="69"/>
  <c r="I600" i="69"/>
  <c r="I599" i="69"/>
  <c r="I598" i="69"/>
  <c r="I597" i="69"/>
  <c r="I596" i="69"/>
  <c r="I595" i="69"/>
  <c r="I594" i="69"/>
  <c r="I593" i="69"/>
  <c r="I592" i="69"/>
  <c r="I591" i="69"/>
  <c r="I590" i="69"/>
  <c r="I589" i="69"/>
  <c r="I588" i="69"/>
  <c r="I587" i="69"/>
  <c r="I585" i="69"/>
  <c r="I584" i="69"/>
  <c r="I583" i="69"/>
  <c r="I582" i="69"/>
  <c r="I581" i="69"/>
  <c r="I580" i="69"/>
  <c r="I579" i="69"/>
  <c r="I578" i="69"/>
  <c r="I577" i="69"/>
  <c r="I576" i="69"/>
  <c r="I575" i="69"/>
  <c r="I574" i="69"/>
  <c r="I573" i="69"/>
  <c r="I572" i="69"/>
  <c r="I571" i="69"/>
  <c r="I570" i="69"/>
  <c r="I569" i="69"/>
  <c r="I568" i="69"/>
  <c r="I567" i="69"/>
  <c r="I565" i="69"/>
  <c r="I564" i="69"/>
  <c r="I563" i="69"/>
  <c r="I562" i="69"/>
  <c r="I561" i="69"/>
  <c r="I560" i="69"/>
  <c r="I559" i="69"/>
  <c r="I558" i="69"/>
  <c r="I557" i="69"/>
  <c r="I556" i="69"/>
  <c r="I555" i="69"/>
  <c r="I554" i="69"/>
  <c r="I553" i="69"/>
  <c r="I552" i="69"/>
  <c r="I551" i="69"/>
  <c r="I550" i="69"/>
  <c r="I549" i="69"/>
  <c r="I547" i="69"/>
  <c r="I546" i="69"/>
  <c r="I545" i="69"/>
  <c r="I544" i="69"/>
  <c r="I543" i="69"/>
  <c r="I542" i="69"/>
  <c r="I541" i="69"/>
  <c r="I540" i="69"/>
  <c r="I539" i="69"/>
  <c r="I538" i="69"/>
  <c r="I537" i="69"/>
  <c r="I536" i="69"/>
  <c r="I535" i="69"/>
  <c r="I534" i="69"/>
  <c r="I533" i="69"/>
  <c r="I532" i="69"/>
  <c r="I531" i="69"/>
  <c r="I530" i="69"/>
  <c r="I528" i="69"/>
  <c r="I527" i="69"/>
  <c r="I526" i="69"/>
  <c r="I525" i="69"/>
  <c r="I524" i="69"/>
  <c r="I523" i="69"/>
  <c r="I522" i="69"/>
  <c r="I521" i="69"/>
  <c r="I520" i="69"/>
  <c r="I519" i="69"/>
  <c r="I518" i="69"/>
  <c r="I517" i="69"/>
  <c r="I516" i="69"/>
  <c r="I515" i="69"/>
  <c r="I514" i="69"/>
  <c r="I512" i="69"/>
  <c r="I511" i="69"/>
  <c r="I510" i="69"/>
  <c r="I509" i="69"/>
  <c r="I508" i="69"/>
  <c r="I507" i="69"/>
  <c r="I506" i="69"/>
  <c r="I505" i="69"/>
  <c r="I504" i="69"/>
  <c r="I503" i="69"/>
  <c r="I502" i="69"/>
  <c r="I499" i="69"/>
  <c r="I498" i="69"/>
  <c r="I495" i="69"/>
  <c r="I494" i="69"/>
  <c r="I493" i="69"/>
  <c r="I492" i="69"/>
  <c r="I491" i="69"/>
  <c r="I490" i="69"/>
  <c r="I489" i="69"/>
  <c r="I488" i="69"/>
  <c r="I484" i="69"/>
  <c r="I483" i="69"/>
  <c r="I482" i="69"/>
  <c r="I481" i="69"/>
  <c r="I480" i="69"/>
  <c r="I478" i="69"/>
  <c r="I477" i="69"/>
  <c r="I476" i="69"/>
  <c r="I475" i="69"/>
  <c r="A451" i="69"/>
  <c r="A450" i="69"/>
  <c r="A449" i="69"/>
  <c r="A448" i="69"/>
  <c r="A447" i="69"/>
  <c r="I446" i="69"/>
  <c r="A446" i="69"/>
  <c r="I445" i="69"/>
  <c r="A445" i="69"/>
  <c r="I444" i="69"/>
  <c r="A444" i="69"/>
  <c r="I443" i="69"/>
  <c r="A443" i="69"/>
  <c r="I442" i="69"/>
  <c r="A442" i="69"/>
  <c r="I441" i="69"/>
  <c r="A441" i="69"/>
  <c r="I440" i="69"/>
  <c r="A440" i="69"/>
  <c r="I439" i="69"/>
  <c r="A439" i="69"/>
  <c r="I438" i="69"/>
  <c r="A438" i="69"/>
  <c r="I437" i="69"/>
  <c r="A437" i="69"/>
  <c r="I436" i="69"/>
  <c r="A436" i="69"/>
  <c r="I435" i="69"/>
  <c r="A435" i="69"/>
  <c r="I434" i="69"/>
  <c r="A434" i="69"/>
  <c r="I433" i="69"/>
  <c r="A433" i="69"/>
  <c r="I432" i="69"/>
  <c r="A432" i="69"/>
  <c r="A431" i="69"/>
  <c r="I430" i="69"/>
  <c r="A430" i="69"/>
  <c r="I429" i="69"/>
  <c r="A429" i="69"/>
  <c r="I428" i="69"/>
  <c r="A428" i="69"/>
  <c r="I427" i="69"/>
  <c r="A427" i="69"/>
  <c r="I426" i="69"/>
  <c r="A426" i="69"/>
  <c r="I425" i="69"/>
  <c r="A425" i="69"/>
  <c r="A424" i="69"/>
  <c r="I423" i="69"/>
  <c r="A423" i="69"/>
  <c r="I422" i="69"/>
  <c r="A422" i="69"/>
  <c r="I421" i="69"/>
  <c r="A421" i="69"/>
  <c r="I420" i="69"/>
  <c r="A420" i="69"/>
  <c r="I419" i="69"/>
  <c r="A419" i="69"/>
  <c r="I418" i="69"/>
  <c r="A418" i="69"/>
  <c r="I417" i="69"/>
  <c r="A417" i="69"/>
  <c r="I416" i="69"/>
  <c r="A416" i="69"/>
  <c r="I415" i="69"/>
  <c r="A415" i="69"/>
  <c r="I414" i="69"/>
  <c r="A414" i="69"/>
  <c r="I413" i="69"/>
  <c r="A413" i="69"/>
  <c r="I412" i="69"/>
  <c r="A412" i="69"/>
  <c r="I411" i="69"/>
  <c r="A411" i="69"/>
  <c r="I410" i="69"/>
  <c r="A410" i="69"/>
  <c r="I409" i="69"/>
  <c r="A409" i="69"/>
  <c r="I408" i="69"/>
  <c r="A408" i="69"/>
  <c r="I407" i="69"/>
  <c r="A407" i="69"/>
  <c r="I406" i="69"/>
  <c r="A406" i="69"/>
  <c r="A405" i="69"/>
  <c r="I404" i="69"/>
  <c r="A404" i="69"/>
  <c r="A403" i="69"/>
  <c r="A402" i="69"/>
  <c r="A401" i="69"/>
  <c r="A400" i="69"/>
  <c r="I399" i="69"/>
  <c r="A399" i="69"/>
  <c r="I398" i="69"/>
  <c r="A398" i="69"/>
  <c r="I397" i="69"/>
  <c r="A397" i="69"/>
  <c r="I396" i="69"/>
  <c r="A396" i="69"/>
  <c r="I395" i="69"/>
  <c r="A395" i="69"/>
  <c r="I394" i="69"/>
  <c r="A394" i="69"/>
  <c r="I393" i="69"/>
  <c r="A393" i="69"/>
  <c r="I392" i="69"/>
  <c r="A392" i="69"/>
  <c r="I391" i="69"/>
  <c r="A391" i="69"/>
  <c r="I390" i="69"/>
  <c r="A390" i="69"/>
  <c r="I389" i="69"/>
  <c r="A389" i="69"/>
  <c r="I388" i="69"/>
  <c r="A388" i="69"/>
  <c r="A387" i="69"/>
  <c r="A386" i="69"/>
  <c r="A385" i="69"/>
  <c r="I382" i="69"/>
  <c r="A382" i="69"/>
  <c r="I381" i="69"/>
  <c r="A381" i="69"/>
  <c r="A379" i="69"/>
  <c r="A378" i="69"/>
  <c r="A377" i="69"/>
  <c r="A376" i="69"/>
  <c r="A375" i="69"/>
  <c r="I374" i="69"/>
  <c r="A374" i="69"/>
  <c r="I373" i="69"/>
  <c r="A373" i="69"/>
  <c r="I372" i="69"/>
  <c r="A372" i="69"/>
  <c r="A371" i="69"/>
  <c r="A370" i="69"/>
  <c r="I369" i="69"/>
  <c r="A369" i="69"/>
  <c r="I368" i="69"/>
  <c r="A368" i="69"/>
  <c r="A367" i="69"/>
  <c r="A366" i="69"/>
  <c r="A365" i="69"/>
  <c r="A364" i="69"/>
  <c r="I363" i="69"/>
  <c r="A363" i="69"/>
  <c r="I362" i="69"/>
  <c r="A362" i="69"/>
  <c r="I361" i="69"/>
  <c r="A361" i="69"/>
  <c r="I360" i="69"/>
  <c r="A360" i="69"/>
  <c r="I359" i="69"/>
  <c r="A359" i="69"/>
  <c r="I358" i="69"/>
  <c r="A358" i="69"/>
  <c r="I357" i="69"/>
  <c r="A357" i="69"/>
  <c r="A356" i="69"/>
  <c r="A355" i="69"/>
  <c r="A354" i="69"/>
  <c r="A353" i="69"/>
  <c r="A352" i="69"/>
  <c r="I349" i="69"/>
  <c r="A349" i="69"/>
  <c r="I348" i="69"/>
  <c r="A348" i="69"/>
  <c r="I347" i="69"/>
  <c r="A347" i="69"/>
  <c r="I346" i="69"/>
  <c r="A346" i="69"/>
  <c r="I345" i="69"/>
  <c r="A345" i="69"/>
  <c r="I344" i="69"/>
  <c r="A344" i="69"/>
  <c r="A343" i="69"/>
  <c r="I342" i="69"/>
  <c r="A342" i="69"/>
  <c r="I341" i="69"/>
  <c r="A341" i="69"/>
  <c r="A340" i="69"/>
  <c r="I339" i="69"/>
  <c r="A339" i="69"/>
  <c r="I338" i="69"/>
  <c r="A338" i="69"/>
  <c r="A337" i="69"/>
  <c r="A336" i="69"/>
  <c r="A335" i="69"/>
  <c r="A334" i="69"/>
  <c r="I333" i="69"/>
  <c r="A333" i="69"/>
  <c r="I332" i="69"/>
  <c r="A332" i="69"/>
  <c r="A331" i="69"/>
  <c r="A330" i="69"/>
  <c r="A329" i="69"/>
  <c r="A328" i="69"/>
  <c r="I327" i="69"/>
  <c r="A327" i="69"/>
  <c r="I326" i="69"/>
  <c r="A326" i="69"/>
  <c r="I325" i="69"/>
  <c r="A325" i="69"/>
  <c r="I324" i="69"/>
  <c r="A324" i="69"/>
  <c r="I323" i="69"/>
  <c r="A323" i="69"/>
  <c r="I322" i="69"/>
  <c r="A322" i="69"/>
  <c r="I321" i="69"/>
  <c r="A321" i="69"/>
  <c r="I320" i="69"/>
  <c r="A320" i="69"/>
  <c r="A319" i="69"/>
  <c r="I318" i="69"/>
  <c r="A318" i="69"/>
  <c r="I317" i="69"/>
  <c r="A317" i="69"/>
  <c r="I316" i="69"/>
  <c r="A316" i="69"/>
  <c r="I315" i="69"/>
  <c r="A315" i="69"/>
  <c r="I314" i="69"/>
  <c r="A314" i="69"/>
  <c r="I313" i="69"/>
  <c r="A313" i="69"/>
  <c r="I312" i="69"/>
  <c r="A312" i="69"/>
  <c r="I311" i="69"/>
  <c r="A311" i="69"/>
  <c r="I310" i="69"/>
  <c r="A310" i="69"/>
  <c r="I309" i="69"/>
  <c r="A309" i="69"/>
  <c r="I308" i="69"/>
  <c r="A308" i="69"/>
  <c r="I307" i="69"/>
  <c r="A307" i="69"/>
  <c r="I306" i="69"/>
  <c r="A306" i="69"/>
  <c r="I305" i="69"/>
  <c r="A305" i="69"/>
  <c r="I304" i="69"/>
  <c r="A304" i="69"/>
  <c r="I303" i="69"/>
  <c r="A303" i="69"/>
  <c r="I302" i="69"/>
  <c r="A302" i="69"/>
  <c r="I301" i="69"/>
  <c r="A301" i="69"/>
  <c r="A300" i="69"/>
  <c r="A299" i="69"/>
  <c r="A298" i="69"/>
  <c r="A297" i="69"/>
  <c r="I296" i="69"/>
  <c r="A296" i="69"/>
  <c r="I295" i="69"/>
  <c r="A295" i="69"/>
  <c r="I294" i="69"/>
  <c r="A294" i="69"/>
  <c r="I293" i="69"/>
  <c r="A293" i="69"/>
  <c r="I292" i="69"/>
  <c r="A292" i="69"/>
  <c r="I291" i="69"/>
  <c r="A291" i="69"/>
  <c r="I290" i="69"/>
  <c r="A290" i="69"/>
  <c r="I289" i="69"/>
  <c r="A289" i="69"/>
  <c r="I288" i="69"/>
  <c r="A288" i="69"/>
  <c r="I287" i="69"/>
  <c r="A287" i="69"/>
  <c r="I286" i="69"/>
  <c r="A286" i="69"/>
  <c r="A285" i="69"/>
  <c r="A284" i="69"/>
  <c r="A282" i="69"/>
  <c r="A281" i="69"/>
  <c r="A280" i="69"/>
  <c r="A279" i="69"/>
  <c r="I278" i="69"/>
  <c r="A278" i="69"/>
  <c r="I277" i="69"/>
  <c r="A277" i="69"/>
  <c r="I276" i="69"/>
  <c r="A276" i="69"/>
  <c r="I275" i="69"/>
  <c r="A275" i="69"/>
  <c r="I274" i="69"/>
  <c r="A274" i="69"/>
  <c r="I273" i="69"/>
  <c r="A273" i="69"/>
  <c r="I272" i="69"/>
  <c r="A272" i="69"/>
  <c r="I271" i="69"/>
  <c r="A271" i="69"/>
  <c r="I270" i="69"/>
  <c r="A270" i="69"/>
  <c r="I269" i="69"/>
  <c r="A269" i="69"/>
  <c r="I268" i="69"/>
  <c r="A268" i="69"/>
  <c r="I267" i="69"/>
  <c r="A267" i="69"/>
  <c r="A266" i="69"/>
  <c r="A265" i="69"/>
  <c r="A264" i="69"/>
  <c r="A263" i="69"/>
  <c r="A262" i="69"/>
  <c r="A261" i="69"/>
  <c r="I260" i="69"/>
  <c r="A260" i="69"/>
  <c r="I259" i="69"/>
  <c r="A259" i="69"/>
  <c r="I258" i="69"/>
  <c r="A258" i="69"/>
  <c r="I257" i="69"/>
  <c r="A257" i="69"/>
  <c r="I256" i="69"/>
  <c r="A256" i="69"/>
  <c r="I255" i="69"/>
  <c r="A255" i="69"/>
  <c r="I254" i="69"/>
  <c r="A254" i="69"/>
  <c r="I253" i="69"/>
  <c r="A253" i="69"/>
  <c r="I252" i="69"/>
  <c r="A252" i="69"/>
  <c r="I251" i="69"/>
  <c r="A251" i="69"/>
  <c r="I250" i="69"/>
  <c r="A250" i="69"/>
  <c r="I249" i="69"/>
  <c r="A249" i="69"/>
  <c r="A248" i="69"/>
  <c r="A247" i="69"/>
  <c r="A246" i="69"/>
  <c r="A245" i="69"/>
  <c r="A244" i="69"/>
  <c r="I243" i="69"/>
  <c r="A243" i="69"/>
  <c r="I242" i="69"/>
  <c r="A242" i="69"/>
  <c r="I241" i="69"/>
  <c r="A241" i="69"/>
  <c r="I240" i="69"/>
  <c r="A240" i="69"/>
  <c r="I239" i="69"/>
  <c r="A239" i="69"/>
  <c r="I238" i="69"/>
  <c r="A238" i="69"/>
  <c r="I237" i="69"/>
  <c r="A237" i="69"/>
  <c r="I236" i="69"/>
  <c r="A236" i="69"/>
  <c r="I235" i="69"/>
  <c r="A235" i="69"/>
  <c r="I234" i="69"/>
  <c r="A234" i="69"/>
  <c r="I233" i="69"/>
  <c r="A233" i="69"/>
  <c r="I232" i="69"/>
  <c r="A232" i="69"/>
  <c r="A231" i="69"/>
  <c r="A230" i="69"/>
  <c r="A229" i="69"/>
  <c r="A228" i="69"/>
  <c r="I227" i="69"/>
  <c r="A227" i="69"/>
  <c r="I226" i="69"/>
  <c r="A226" i="69"/>
  <c r="I225" i="69"/>
  <c r="A225" i="69"/>
  <c r="I224" i="69"/>
  <c r="A224" i="69"/>
  <c r="I223" i="69"/>
  <c r="A223" i="69"/>
  <c r="I222" i="69"/>
  <c r="A222" i="69"/>
  <c r="I221" i="69"/>
  <c r="A221" i="69"/>
  <c r="I220" i="69"/>
  <c r="A220" i="69"/>
  <c r="I219" i="69"/>
  <c r="A219" i="69"/>
  <c r="I218" i="69"/>
  <c r="A218" i="69"/>
  <c r="I217" i="69"/>
  <c r="A217" i="69"/>
  <c r="I216" i="69"/>
  <c r="A216" i="69"/>
  <c r="A215" i="69"/>
  <c r="I214" i="69"/>
  <c r="A214" i="69"/>
  <c r="I213" i="69"/>
  <c r="A213" i="69"/>
  <c r="I212" i="69"/>
  <c r="A212" i="69"/>
  <c r="I211" i="69"/>
  <c r="A211" i="69"/>
  <c r="I210" i="69"/>
  <c r="A210" i="69"/>
  <c r="I209" i="69"/>
  <c r="A209" i="69"/>
  <c r="I208" i="69"/>
  <c r="A208" i="69"/>
  <c r="A207" i="69"/>
  <c r="I206" i="69"/>
  <c r="A206" i="69"/>
  <c r="A205" i="69"/>
  <c r="A204" i="69"/>
  <c r="A203" i="69"/>
  <c r="A202" i="69"/>
  <c r="A201" i="69"/>
  <c r="A200" i="69"/>
  <c r="I199" i="69"/>
  <c r="A199" i="69"/>
  <c r="I198" i="69"/>
  <c r="A198" i="69"/>
  <c r="I197" i="69"/>
  <c r="A197" i="69"/>
  <c r="I196" i="69"/>
  <c r="A196" i="69"/>
  <c r="I195" i="69"/>
  <c r="A195" i="69"/>
  <c r="I194" i="69"/>
  <c r="A194" i="69"/>
  <c r="I193" i="69"/>
  <c r="A193" i="69"/>
  <c r="I192" i="69"/>
  <c r="A192" i="69"/>
  <c r="I191" i="69"/>
  <c r="A191" i="69"/>
  <c r="I190" i="69"/>
  <c r="A190" i="69"/>
  <c r="A189" i="69"/>
  <c r="A188" i="69"/>
  <c r="A187" i="69"/>
  <c r="A186" i="69"/>
  <c r="I185" i="69"/>
  <c r="A185" i="69"/>
  <c r="I184" i="69"/>
  <c r="A184" i="69"/>
  <c r="I183" i="69"/>
  <c r="A183" i="69"/>
  <c r="I182" i="69"/>
  <c r="A182" i="69"/>
  <c r="I181" i="69"/>
  <c r="A181" i="69"/>
  <c r="I180" i="69"/>
  <c r="A180" i="69"/>
  <c r="I179" i="69"/>
  <c r="A179" i="69"/>
  <c r="I178" i="69"/>
  <c r="A178" i="69"/>
  <c r="I177" i="69"/>
  <c r="A177" i="69"/>
  <c r="I176" i="69"/>
  <c r="A176" i="69"/>
  <c r="I175" i="69"/>
  <c r="A175" i="69"/>
  <c r="A174" i="69"/>
  <c r="I163" i="69"/>
  <c r="A138" i="69"/>
  <c r="A137" i="69"/>
  <c r="A132" i="69"/>
  <c r="A131" i="69"/>
  <c r="A130" i="69"/>
  <c r="A129" i="69"/>
  <c r="A128" i="69"/>
  <c r="A127" i="69"/>
  <c r="A126" i="69"/>
  <c r="A125" i="69"/>
  <c r="I124" i="69"/>
  <c r="A124" i="69"/>
  <c r="I123" i="69"/>
  <c r="A123" i="69"/>
  <c r="I122" i="69"/>
  <c r="A122" i="69"/>
  <c r="I121" i="69"/>
  <c r="A121" i="69"/>
  <c r="I120" i="69"/>
  <c r="A120" i="69"/>
  <c r="I119" i="69"/>
  <c r="A119" i="69"/>
  <c r="I118" i="69"/>
  <c r="A118" i="69"/>
  <c r="A115" i="69"/>
  <c r="A114" i="69"/>
  <c r="A108" i="69"/>
  <c r="A107" i="69"/>
  <c r="A106" i="69"/>
  <c r="A105" i="69"/>
  <c r="A104" i="69"/>
  <c r="A103" i="69"/>
  <c r="A102" i="69"/>
  <c r="A101" i="69"/>
  <c r="A98" i="69"/>
  <c r="A97" i="69"/>
  <c r="A96" i="69"/>
  <c r="A95" i="69"/>
  <c r="A94" i="69"/>
  <c r="A93" i="69"/>
  <c r="A92" i="69"/>
  <c r="A91" i="69"/>
  <c r="A90" i="69"/>
  <c r="A87" i="69"/>
  <c r="A86" i="69"/>
  <c r="A75" i="69"/>
  <c r="A74" i="69"/>
  <c r="A73" i="69"/>
  <c r="A72" i="69"/>
  <c r="A71" i="69"/>
  <c r="A70" i="69"/>
  <c r="A69" i="69"/>
  <c r="A68" i="69"/>
  <c r="A67" i="69"/>
  <c r="A66" i="69"/>
  <c r="A65" i="69"/>
  <c r="I60" i="69"/>
  <c r="A60" i="69"/>
  <c r="I59" i="69"/>
  <c r="A59" i="69"/>
  <c r="I58" i="69"/>
  <c r="A58" i="69"/>
  <c r="I57" i="69"/>
  <c r="A57" i="69"/>
  <c r="A56" i="69"/>
  <c r="A55" i="69"/>
  <c r="A54" i="69"/>
  <c r="A53" i="69"/>
  <c r="A52" i="69"/>
  <c r="A51" i="69"/>
  <c r="A50" i="69"/>
  <c r="A47" i="69"/>
  <c r="A46" i="69"/>
  <c r="I45" i="69"/>
  <c r="A45" i="69"/>
  <c r="A44" i="69"/>
  <c r="I43" i="69"/>
  <c r="A43" i="69"/>
  <c r="A42" i="69"/>
  <c r="A41" i="69"/>
  <c r="A40" i="69"/>
  <c r="A39" i="69"/>
  <c r="A38" i="69"/>
  <c r="A37" i="69"/>
  <c r="I36" i="69"/>
  <c r="A36" i="69"/>
  <c r="I35" i="69"/>
  <c r="A35" i="69"/>
  <c r="A34" i="69"/>
  <c r="A33" i="69"/>
  <c r="A32" i="69"/>
  <c r="A31" i="69"/>
  <c r="A30" i="69"/>
  <c r="A29" i="69"/>
  <c r="A28" i="69"/>
  <c r="A27" i="69"/>
  <c r="A26" i="69"/>
  <c r="A25" i="69"/>
  <c r="A22" i="69"/>
  <c r="A21" i="69"/>
  <c r="A20" i="69"/>
  <c r="A19" i="69"/>
  <c r="I18" i="69"/>
  <c r="A18" i="69"/>
  <c r="I17" i="69"/>
  <c r="A17" i="69"/>
  <c r="A14" i="69"/>
  <c r="A13" i="69"/>
  <c r="C4" i="69"/>
  <c r="F14" i="39" l="1"/>
  <c r="J16" i="44"/>
  <c r="F53" i="39"/>
  <c r="J36" i="44"/>
  <c r="L274" i="69"/>
  <c r="M274" i="69"/>
  <c r="L373" i="69"/>
  <c r="M373" i="69"/>
  <c r="L512" i="69"/>
  <c r="M512" i="69"/>
  <c r="M546" i="69"/>
  <c r="L546" i="69"/>
  <c r="L580" i="69"/>
  <c r="M580" i="69"/>
  <c r="L614" i="69"/>
  <c r="M614" i="69"/>
  <c r="L651" i="69"/>
  <c r="M651" i="69"/>
  <c r="L684" i="69"/>
  <c r="M684" i="69"/>
  <c r="L237" i="69"/>
  <c r="M237" i="69"/>
  <c r="M514" i="69"/>
  <c r="L514" i="69"/>
  <c r="M547" i="69"/>
  <c r="L547" i="69"/>
  <c r="L581" i="69"/>
  <c r="M581" i="69"/>
  <c r="L615" i="69"/>
  <c r="M615" i="69"/>
  <c r="L652" i="69"/>
  <c r="M652" i="69"/>
  <c r="L685" i="69"/>
  <c r="M685" i="69"/>
  <c r="M515" i="69"/>
  <c r="L515" i="69"/>
  <c r="L549" i="69"/>
  <c r="M549" i="69"/>
  <c r="L582" i="69"/>
  <c r="M582" i="69"/>
  <c r="L616" i="69"/>
  <c r="M616" i="69"/>
  <c r="L653" i="69"/>
  <c r="M653" i="69"/>
  <c r="L686" i="69"/>
  <c r="M686" i="69"/>
  <c r="M416" i="69"/>
  <c r="L416" i="69"/>
  <c r="L433" i="69"/>
  <c r="M433" i="69"/>
  <c r="M475" i="69"/>
  <c r="L475" i="69"/>
  <c r="L516" i="69"/>
  <c r="M516" i="69"/>
  <c r="L550" i="69"/>
  <c r="M550" i="69"/>
  <c r="L583" i="69"/>
  <c r="M583" i="69"/>
  <c r="L617" i="69"/>
  <c r="M617" i="69"/>
  <c r="L654" i="69"/>
  <c r="M654" i="69"/>
  <c r="L687" i="69"/>
  <c r="M687" i="69"/>
  <c r="L312" i="69"/>
  <c r="M312" i="69"/>
  <c r="M219" i="69"/>
  <c r="L219" i="69"/>
  <c r="L398" i="69"/>
  <c r="M398" i="69"/>
  <c r="M476" i="69"/>
  <c r="L476" i="69"/>
  <c r="L517" i="69"/>
  <c r="M517" i="69"/>
  <c r="L551" i="69"/>
  <c r="M551" i="69"/>
  <c r="L584" i="69"/>
  <c r="M584" i="69"/>
  <c r="L618" i="69"/>
  <c r="M618" i="69"/>
  <c r="L655" i="69"/>
  <c r="M655" i="69"/>
  <c r="L688" i="69"/>
  <c r="M688" i="69"/>
  <c r="M417" i="69"/>
  <c r="L417" i="69"/>
  <c r="L434" i="69"/>
  <c r="M434" i="69"/>
  <c r="M477" i="69"/>
  <c r="L477" i="69"/>
  <c r="L518" i="69"/>
  <c r="M518" i="69"/>
  <c r="L552" i="69"/>
  <c r="M552" i="69"/>
  <c r="L585" i="69"/>
  <c r="M585" i="69"/>
  <c r="L619" i="69"/>
  <c r="M619" i="69"/>
  <c r="L656" i="69"/>
  <c r="M656" i="69"/>
  <c r="L689" i="69"/>
  <c r="M689" i="69"/>
  <c r="M374" i="69"/>
  <c r="L374" i="69"/>
  <c r="L357" i="69"/>
  <c r="M357" i="69"/>
  <c r="L519" i="69"/>
  <c r="M519" i="69"/>
  <c r="L553" i="69"/>
  <c r="M553" i="69"/>
  <c r="L587" i="69"/>
  <c r="M587" i="69"/>
  <c r="L620" i="69"/>
  <c r="M620" i="69"/>
  <c r="L657" i="69"/>
  <c r="M657" i="69"/>
  <c r="L690" i="69"/>
  <c r="M690" i="69"/>
  <c r="L257" i="69"/>
  <c r="M257" i="69"/>
  <c r="L184" i="69"/>
  <c r="M184" i="69"/>
  <c r="L520" i="69"/>
  <c r="M520" i="69"/>
  <c r="L658" i="69"/>
  <c r="M658" i="69"/>
  <c r="L691" i="69"/>
  <c r="M691" i="69"/>
  <c r="M419" i="69"/>
  <c r="L419" i="69"/>
  <c r="L436" i="69"/>
  <c r="M436" i="69"/>
  <c r="M482" i="69"/>
  <c r="L482" i="69"/>
  <c r="L522" i="69"/>
  <c r="M522" i="69"/>
  <c r="L556" i="69"/>
  <c r="M556" i="69"/>
  <c r="L590" i="69"/>
  <c r="M590" i="69"/>
  <c r="L624" i="69"/>
  <c r="M624" i="69"/>
  <c r="L660" i="69"/>
  <c r="M660" i="69"/>
  <c r="L693" i="69"/>
  <c r="M693" i="69"/>
  <c r="M122" i="69"/>
  <c r="L122" i="69"/>
  <c r="M483" i="69"/>
  <c r="L483" i="69"/>
  <c r="L523" i="69"/>
  <c r="M523" i="69"/>
  <c r="L557" i="69"/>
  <c r="M557" i="69"/>
  <c r="L591" i="69"/>
  <c r="M591" i="69"/>
  <c r="L625" i="69"/>
  <c r="M625" i="69"/>
  <c r="L661" i="69"/>
  <c r="M661" i="69"/>
  <c r="L694" i="69"/>
  <c r="M694" i="69"/>
  <c r="L294" i="69"/>
  <c r="M294" i="69"/>
  <c r="L332" i="69"/>
  <c r="M332" i="69"/>
  <c r="M240" i="69"/>
  <c r="L240" i="69"/>
  <c r="L484" i="69"/>
  <c r="M484" i="69"/>
  <c r="L524" i="69"/>
  <c r="M524" i="69"/>
  <c r="L558" i="69"/>
  <c r="M558" i="69"/>
  <c r="L592" i="69"/>
  <c r="M592" i="69"/>
  <c r="L626" i="69"/>
  <c r="M626" i="69"/>
  <c r="L662" i="69"/>
  <c r="M662" i="69"/>
  <c r="M695" i="69"/>
  <c r="L695" i="69"/>
  <c r="L121" i="69"/>
  <c r="M121" i="69"/>
  <c r="M220" i="69"/>
  <c r="L220" i="69"/>
  <c r="L239" i="69"/>
  <c r="M239" i="69"/>
  <c r="L360" i="69"/>
  <c r="M360" i="69"/>
  <c r="M696" i="69"/>
  <c r="L696" i="69"/>
  <c r="M478" i="69"/>
  <c r="L478" i="69"/>
  <c r="L555" i="69"/>
  <c r="M555" i="69"/>
  <c r="M185" i="69"/>
  <c r="L185" i="69"/>
  <c r="L396" i="69"/>
  <c r="M396" i="69"/>
  <c r="L181" i="69"/>
  <c r="M181" i="69"/>
  <c r="M221" i="69"/>
  <c r="L221" i="69"/>
  <c r="L17" i="69"/>
  <c r="M17" i="69"/>
  <c r="M223" i="69"/>
  <c r="L223" i="69"/>
  <c r="M420" i="69"/>
  <c r="L420" i="69"/>
  <c r="L302" i="69"/>
  <c r="M302" i="69"/>
  <c r="L489" i="69"/>
  <c r="M489" i="69"/>
  <c r="L226" i="69"/>
  <c r="M226" i="69"/>
  <c r="L406" i="69"/>
  <c r="M406" i="69"/>
  <c r="L422" i="69"/>
  <c r="M422" i="69"/>
  <c r="L439" i="69"/>
  <c r="M439" i="69"/>
  <c r="L491" i="69"/>
  <c r="M491" i="69"/>
  <c r="L528" i="69"/>
  <c r="M528" i="69"/>
  <c r="L562" i="69"/>
  <c r="M562" i="69"/>
  <c r="L596" i="69"/>
  <c r="M596" i="69"/>
  <c r="L630" i="69"/>
  <c r="M630" i="69"/>
  <c r="M666" i="69"/>
  <c r="L666" i="69"/>
  <c r="L699" i="69"/>
  <c r="M699" i="69"/>
  <c r="L199" i="69"/>
  <c r="M199" i="69"/>
  <c r="M256" i="69"/>
  <c r="L256" i="69"/>
  <c r="M314" i="69"/>
  <c r="L314" i="69"/>
  <c r="L43" i="69"/>
  <c r="M43" i="69"/>
  <c r="L277" i="69"/>
  <c r="M277" i="69"/>
  <c r="L593" i="69"/>
  <c r="M593" i="69"/>
  <c r="L339" i="69"/>
  <c r="M339" i="69"/>
  <c r="L561" i="69"/>
  <c r="M561" i="69"/>
  <c r="M388" i="69"/>
  <c r="L388" i="69"/>
  <c r="L492" i="69"/>
  <c r="M492" i="69"/>
  <c r="L530" i="69"/>
  <c r="M530" i="69"/>
  <c r="L563" i="69"/>
  <c r="M563" i="69"/>
  <c r="L597" i="69"/>
  <c r="M597" i="69"/>
  <c r="M631" i="69"/>
  <c r="L631" i="69"/>
  <c r="L667" i="69"/>
  <c r="M667" i="69"/>
  <c r="M700" i="69"/>
  <c r="L700" i="69"/>
  <c r="M480" i="69"/>
  <c r="L480" i="69"/>
  <c r="L259" i="69"/>
  <c r="M259" i="69"/>
  <c r="M381" i="69"/>
  <c r="L381" i="69"/>
  <c r="M318" i="69"/>
  <c r="L318" i="69"/>
  <c r="L560" i="69"/>
  <c r="M560" i="69"/>
  <c r="M227" i="69"/>
  <c r="L227" i="69"/>
  <c r="L407" i="69"/>
  <c r="M407" i="69"/>
  <c r="L423" i="69"/>
  <c r="M423" i="69"/>
  <c r="M440" i="69"/>
  <c r="L440" i="69"/>
  <c r="L493" i="69"/>
  <c r="M493" i="69"/>
  <c r="L531" i="69"/>
  <c r="M531" i="69"/>
  <c r="L564" i="69"/>
  <c r="M564" i="69"/>
  <c r="L598" i="69"/>
  <c r="M598" i="69"/>
  <c r="M632" i="69"/>
  <c r="L632" i="69"/>
  <c r="M668" i="69"/>
  <c r="L668" i="69"/>
  <c r="M701" i="69"/>
  <c r="L701" i="69"/>
  <c r="L295" i="69"/>
  <c r="M295" i="69"/>
  <c r="L435" i="69"/>
  <c r="M435" i="69"/>
  <c r="L45" i="69"/>
  <c r="M45" i="69"/>
  <c r="L628" i="69"/>
  <c r="M628" i="69"/>
  <c r="L320" i="69"/>
  <c r="M320" i="69"/>
  <c r="L494" i="69"/>
  <c r="M494" i="69"/>
  <c r="L532" i="69"/>
  <c r="M532" i="69"/>
  <c r="L565" i="69"/>
  <c r="M565" i="69"/>
  <c r="M599" i="69"/>
  <c r="L599" i="69"/>
  <c r="M633" i="69"/>
  <c r="L633" i="69"/>
  <c r="M670" i="69"/>
  <c r="L670" i="69"/>
  <c r="M702" i="69"/>
  <c r="L702" i="69"/>
  <c r="L397" i="69"/>
  <c r="M397" i="69"/>
  <c r="L627" i="69"/>
  <c r="M627" i="69"/>
  <c r="M665" i="69"/>
  <c r="L665" i="69"/>
  <c r="M286" i="69"/>
  <c r="L286" i="69"/>
  <c r="M441" i="69"/>
  <c r="L441" i="69"/>
  <c r="L495" i="69"/>
  <c r="M495" i="69"/>
  <c r="L533" i="69"/>
  <c r="M533" i="69"/>
  <c r="M567" i="69"/>
  <c r="L567" i="69"/>
  <c r="M600" i="69"/>
  <c r="L600" i="69"/>
  <c r="M634" i="69"/>
  <c r="L634" i="69"/>
  <c r="M671" i="69"/>
  <c r="L671" i="69"/>
  <c r="M703" i="69"/>
  <c r="L703" i="69"/>
  <c r="M313" i="69"/>
  <c r="L313" i="69"/>
  <c r="M124" i="69"/>
  <c r="L124" i="69"/>
  <c r="L588" i="69"/>
  <c r="M588" i="69"/>
  <c r="M316" i="69"/>
  <c r="L316" i="69"/>
  <c r="L18" i="69"/>
  <c r="M18" i="69"/>
  <c r="M224" i="69"/>
  <c r="L224" i="69"/>
  <c r="L438" i="69"/>
  <c r="M438" i="69"/>
  <c r="L362" i="69"/>
  <c r="M362" i="69"/>
  <c r="M287" i="69"/>
  <c r="L287" i="69"/>
  <c r="M249" i="69"/>
  <c r="L249" i="69"/>
  <c r="L390" i="69"/>
  <c r="M390" i="69"/>
  <c r="L425" i="69"/>
  <c r="M425" i="69"/>
  <c r="L498" i="69"/>
  <c r="M498" i="69"/>
  <c r="L534" i="69"/>
  <c r="M534" i="69"/>
  <c r="M568" i="69"/>
  <c r="L568" i="69"/>
  <c r="M601" i="69"/>
  <c r="L601" i="69"/>
  <c r="M635" i="69"/>
  <c r="L635" i="69"/>
  <c r="M672" i="69"/>
  <c r="L672" i="69"/>
  <c r="L296" i="69"/>
  <c r="M296" i="69"/>
  <c r="L399" i="69"/>
  <c r="M399" i="69"/>
  <c r="L659" i="69"/>
  <c r="M659" i="69"/>
  <c r="M206" i="69"/>
  <c r="L206" i="69"/>
  <c r="M317" i="69"/>
  <c r="L317" i="69"/>
  <c r="L404" i="69"/>
  <c r="M404" i="69"/>
  <c r="M408" i="69"/>
  <c r="L408" i="69"/>
  <c r="M193" i="69"/>
  <c r="L193" i="69"/>
  <c r="M323" i="69"/>
  <c r="L323" i="69"/>
  <c r="M344" i="69"/>
  <c r="L344" i="69"/>
  <c r="M409" i="69"/>
  <c r="L409" i="69"/>
  <c r="M442" i="69"/>
  <c r="L442" i="69"/>
  <c r="L499" i="69"/>
  <c r="M499" i="69"/>
  <c r="M535" i="69"/>
  <c r="L535" i="69"/>
  <c r="M569" i="69"/>
  <c r="L569" i="69"/>
  <c r="M602" i="69"/>
  <c r="L602" i="69"/>
  <c r="M636" i="69"/>
  <c r="L636" i="69"/>
  <c r="M673" i="69"/>
  <c r="L673" i="69"/>
  <c r="L238" i="69"/>
  <c r="M238" i="69"/>
  <c r="L623" i="69"/>
  <c r="M623" i="69"/>
  <c r="L338" i="69"/>
  <c r="M338" i="69"/>
  <c r="M208" i="69"/>
  <c r="L208" i="69"/>
  <c r="L526" i="69"/>
  <c r="M526" i="69"/>
  <c r="L426" i="69"/>
  <c r="M426" i="69"/>
  <c r="L502" i="69"/>
  <c r="M502" i="69"/>
  <c r="M536" i="69"/>
  <c r="L536" i="69"/>
  <c r="M570" i="69"/>
  <c r="L570" i="69"/>
  <c r="M603" i="69"/>
  <c r="L603" i="69"/>
  <c r="M637" i="69"/>
  <c r="L637" i="69"/>
  <c r="L674" i="69"/>
  <c r="M674" i="69"/>
  <c r="M418" i="69"/>
  <c r="L418" i="69"/>
  <c r="M241" i="69"/>
  <c r="L241" i="69"/>
  <c r="L301" i="69"/>
  <c r="M301" i="69"/>
  <c r="M697" i="69"/>
  <c r="L697" i="69"/>
  <c r="L303" i="69"/>
  <c r="M303" i="69"/>
  <c r="L163" i="69"/>
  <c r="M163" i="69"/>
  <c r="L324" i="69"/>
  <c r="M324" i="69"/>
  <c r="N324" i="69" s="1"/>
  <c r="M345" i="69"/>
  <c r="L345" i="69"/>
  <c r="M410" i="69"/>
  <c r="L410" i="69"/>
  <c r="M443" i="69"/>
  <c r="L443" i="69"/>
  <c r="M503" i="69"/>
  <c r="L503" i="69"/>
  <c r="M537" i="69"/>
  <c r="L537" i="69"/>
  <c r="M571" i="69"/>
  <c r="L571" i="69"/>
  <c r="M605" i="69"/>
  <c r="L605" i="69"/>
  <c r="M639" i="69"/>
  <c r="L639" i="69"/>
  <c r="M675" i="69"/>
  <c r="L675" i="69"/>
  <c r="L432" i="69"/>
  <c r="M432" i="69"/>
  <c r="L278" i="69"/>
  <c r="M278" i="69"/>
  <c r="M382" i="69"/>
  <c r="L382" i="69"/>
  <c r="L594" i="69"/>
  <c r="M594" i="69"/>
  <c r="L267" i="69"/>
  <c r="M267" i="69"/>
  <c r="M288" i="69"/>
  <c r="L288" i="69"/>
  <c r="L269" i="69"/>
  <c r="M269" i="69"/>
  <c r="M251" i="69"/>
  <c r="L251" i="69"/>
  <c r="L270" i="69"/>
  <c r="M270" i="69"/>
  <c r="M290" i="69"/>
  <c r="L290" i="69"/>
  <c r="L308" i="69"/>
  <c r="M308" i="69"/>
  <c r="L368" i="69"/>
  <c r="M368" i="69"/>
  <c r="L392" i="69"/>
  <c r="M392" i="69"/>
  <c r="L427" i="69"/>
  <c r="M427" i="69"/>
  <c r="M504" i="69"/>
  <c r="L504" i="69"/>
  <c r="L538" i="69"/>
  <c r="M538" i="69"/>
  <c r="M572" i="69"/>
  <c r="L572" i="69"/>
  <c r="M606" i="69"/>
  <c r="L606" i="69"/>
  <c r="L640" i="69"/>
  <c r="M640" i="69"/>
  <c r="M676" i="69"/>
  <c r="L676" i="69"/>
  <c r="L123" i="69"/>
  <c r="M123" i="69"/>
  <c r="M315" i="69"/>
  <c r="L315" i="69"/>
  <c r="L589" i="69"/>
  <c r="M589" i="69"/>
  <c r="L359" i="69"/>
  <c r="M359" i="69"/>
  <c r="L490" i="69"/>
  <c r="M490" i="69"/>
  <c r="L341" i="69"/>
  <c r="M341" i="69"/>
  <c r="M342" i="69"/>
  <c r="L342" i="69"/>
  <c r="L325" i="69"/>
  <c r="M325" i="69"/>
  <c r="M346" i="69"/>
  <c r="L346" i="69"/>
  <c r="M411" i="69"/>
  <c r="L411" i="69"/>
  <c r="M444" i="69"/>
  <c r="L444" i="69"/>
  <c r="L505" i="69"/>
  <c r="M505" i="69"/>
  <c r="L539" i="69"/>
  <c r="M539" i="69"/>
  <c r="M573" i="69"/>
  <c r="L573" i="69"/>
  <c r="L607" i="69"/>
  <c r="M607" i="69"/>
  <c r="M641" i="69"/>
  <c r="L641" i="69"/>
  <c r="L677" i="69"/>
  <c r="M677" i="69"/>
  <c r="L358" i="69"/>
  <c r="M358" i="69"/>
  <c r="L525" i="69"/>
  <c r="M525" i="69"/>
  <c r="M243" i="69"/>
  <c r="L243" i="69"/>
  <c r="L421" i="69"/>
  <c r="M421" i="69"/>
  <c r="M209" i="69"/>
  <c r="L209" i="69"/>
  <c r="L527" i="69"/>
  <c r="M527" i="69"/>
  <c r="M210" i="69"/>
  <c r="L210" i="69"/>
  <c r="L304" i="69"/>
  <c r="M304" i="69"/>
  <c r="L363" i="69"/>
  <c r="M363" i="69"/>
  <c r="L268" i="69"/>
  <c r="M268" i="69"/>
  <c r="L59" i="69"/>
  <c r="M59" i="69"/>
  <c r="L232" i="69"/>
  <c r="M232" i="69"/>
  <c r="L214" i="69"/>
  <c r="M214" i="69"/>
  <c r="M177" i="69"/>
  <c r="L177" i="69"/>
  <c r="M252" i="69"/>
  <c r="L252" i="69"/>
  <c r="L271" i="69"/>
  <c r="M271" i="69"/>
  <c r="M291" i="69"/>
  <c r="L291" i="69"/>
  <c r="M309" i="69"/>
  <c r="L309" i="69"/>
  <c r="L369" i="69"/>
  <c r="M369" i="69"/>
  <c r="L393" i="69"/>
  <c r="M393" i="69"/>
  <c r="L428" i="69"/>
  <c r="M428" i="69"/>
  <c r="L506" i="69"/>
  <c r="M506" i="69"/>
  <c r="M540" i="69"/>
  <c r="L540" i="69"/>
  <c r="L574" i="69"/>
  <c r="M574" i="69"/>
  <c r="M608" i="69"/>
  <c r="L608" i="69"/>
  <c r="M642" i="69"/>
  <c r="L642" i="69"/>
  <c r="L678" i="69"/>
  <c r="M678" i="69"/>
  <c r="M255" i="69"/>
  <c r="L255" i="69"/>
  <c r="M275" i="69"/>
  <c r="L275" i="69"/>
  <c r="L182" i="69"/>
  <c r="M182" i="69"/>
  <c r="M258" i="69"/>
  <c r="L258" i="69"/>
  <c r="M222" i="69"/>
  <c r="L222" i="69"/>
  <c r="L554" i="69"/>
  <c r="M554" i="69"/>
  <c r="L242" i="69"/>
  <c r="M242" i="69"/>
  <c r="L437" i="69"/>
  <c r="M437" i="69"/>
  <c r="M322" i="69"/>
  <c r="L322" i="69"/>
  <c r="M212" i="69"/>
  <c r="L212" i="69"/>
  <c r="M175" i="69"/>
  <c r="L175" i="69"/>
  <c r="L307" i="69"/>
  <c r="M307" i="69"/>
  <c r="L194" i="69"/>
  <c r="M194" i="69"/>
  <c r="L195" i="69"/>
  <c r="M195" i="69"/>
  <c r="L35" i="69"/>
  <c r="M35" i="69"/>
  <c r="L118" i="69"/>
  <c r="M118" i="69"/>
  <c r="M178" i="69"/>
  <c r="L178" i="69"/>
  <c r="L196" i="69"/>
  <c r="M196" i="69"/>
  <c r="M216" i="69"/>
  <c r="L216" i="69"/>
  <c r="L234" i="69"/>
  <c r="M234" i="69"/>
  <c r="L326" i="69"/>
  <c r="M326" i="69"/>
  <c r="M347" i="69"/>
  <c r="L347" i="69"/>
  <c r="M412" i="69"/>
  <c r="L412" i="69"/>
  <c r="M445" i="69"/>
  <c r="L445" i="69"/>
  <c r="L507" i="69"/>
  <c r="M507" i="69"/>
  <c r="L541" i="69"/>
  <c r="M541" i="69"/>
  <c r="L575" i="69"/>
  <c r="M575" i="69"/>
  <c r="M609" i="69"/>
  <c r="L609" i="69"/>
  <c r="M643" i="69"/>
  <c r="L643" i="69"/>
  <c r="L679" i="69"/>
  <c r="M679" i="69"/>
  <c r="M276" i="69"/>
  <c r="L276" i="69"/>
  <c r="M183" i="69"/>
  <c r="L183" i="69"/>
  <c r="M481" i="69"/>
  <c r="L481" i="69"/>
  <c r="L559" i="69"/>
  <c r="M559" i="69"/>
  <c r="L595" i="69"/>
  <c r="M595" i="69"/>
  <c r="M250" i="69"/>
  <c r="L250" i="69"/>
  <c r="M253" i="69"/>
  <c r="L253" i="69"/>
  <c r="L272" i="69"/>
  <c r="M272" i="69"/>
  <c r="L292" i="69"/>
  <c r="M292" i="69"/>
  <c r="M310" i="69"/>
  <c r="L310" i="69"/>
  <c r="L394" i="69"/>
  <c r="M394" i="69"/>
  <c r="L429" i="69"/>
  <c r="M429" i="69"/>
  <c r="M508" i="69"/>
  <c r="L508" i="69"/>
  <c r="M542" i="69"/>
  <c r="L542" i="69"/>
  <c r="M576" i="69"/>
  <c r="L576" i="69"/>
  <c r="M610" i="69"/>
  <c r="L610" i="69"/>
  <c r="M644" i="69"/>
  <c r="L644" i="69"/>
  <c r="L680" i="69"/>
  <c r="M680" i="69"/>
  <c r="L521" i="69"/>
  <c r="M521" i="69"/>
  <c r="L260" i="69"/>
  <c r="M260" i="69"/>
  <c r="L488" i="69"/>
  <c r="M488" i="69"/>
  <c r="M698" i="69"/>
  <c r="L698" i="69"/>
  <c r="L389" i="69"/>
  <c r="M389" i="69"/>
  <c r="M192" i="69"/>
  <c r="L192" i="69"/>
  <c r="L306" i="69"/>
  <c r="M306" i="69"/>
  <c r="L391" i="69"/>
  <c r="M391" i="69"/>
  <c r="N391" i="69" s="1"/>
  <c r="M176" i="69"/>
  <c r="L176" i="69"/>
  <c r="L60" i="69"/>
  <c r="M60" i="69"/>
  <c r="L233" i="69"/>
  <c r="M233" i="69"/>
  <c r="L36" i="69"/>
  <c r="M36" i="69"/>
  <c r="N36" i="69" s="1"/>
  <c r="M179" i="69"/>
  <c r="L179" i="69"/>
  <c r="L197" i="69"/>
  <c r="M197" i="69"/>
  <c r="N197" i="69" s="1"/>
  <c r="M217" i="69"/>
  <c r="L217" i="69"/>
  <c r="L235" i="69"/>
  <c r="M235" i="69"/>
  <c r="L327" i="69"/>
  <c r="M327" i="69"/>
  <c r="M348" i="69"/>
  <c r="L348" i="69"/>
  <c r="M413" i="69"/>
  <c r="L413" i="69"/>
  <c r="M446" i="69"/>
  <c r="L446" i="69"/>
  <c r="M509" i="69"/>
  <c r="L509" i="69"/>
  <c r="M543" i="69"/>
  <c r="L543" i="69"/>
  <c r="M577" i="69"/>
  <c r="L577" i="69"/>
  <c r="L611" i="69"/>
  <c r="M611" i="69"/>
  <c r="L647" i="69"/>
  <c r="M647" i="69"/>
  <c r="L681" i="69"/>
  <c r="M681" i="69"/>
  <c r="L415" i="69"/>
  <c r="M415" i="69"/>
  <c r="L333" i="69"/>
  <c r="M333" i="69"/>
  <c r="L621" i="69"/>
  <c r="M621" i="69"/>
  <c r="M225" i="69"/>
  <c r="L225" i="69"/>
  <c r="M664" i="69"/>
  <c r="L664" i="69"/>
  <c r="L361" i="69"/>
  <c r="M361" i="69"/>
  <c r="M191" i="69"/>
  <c r="L191" i="69"/>
  <c r="M321" i="69"/>
  <c r="L321" i="69"/>
  <c r="M211" i="69"/>
  <c r="L211" i="69"/>
  <c r="L57" i="69"/>
  <c r="M57" i="69"/>
  <c r="L58" i="69"/>
  <c r="M58" i="69"/>
  <c r="M213" i="69"/>
  <c r="L213" i="69"/>
  <c r="M289" i="69"/>
  <c r="L289" i="69"/>
  <c r="M119" i="69"/>
  <c r="L119" i="69"/>
  <c r="M254" i="69"/>
  <c r="L254" i="69"/>
  <c r="L273" i="69"/>
  <c r="M273" i="69"/>
  <c r="L293" i="69"/>
  <c r="M293" i="69"/>
  <c r="M311" i="69"/>
  <c r="L311" i="69"/>
  <c r="L372" i="69"/>
  <c r="M372" i="69"/>
  <c r="L395" i="69"/>
  <c r="M395" i="69"/>
  <c r="L430" i="69"/>
  <c r="M430" i="69"/>
  <c r="M510" i="69"/>
  <c r="L510" i="69"/>
  <c r="M544" i="69"/>
  <c r="L544" i="69"/>
  <c r="M578" i="69"/>
  <c r="L578" i="69"/>
  <c r="M612" i="69"/>
  <c r="L612" i="69"/>
  <c r="L648" i="69"/>
  <c r="M648" i="69"/>
  <c r="L682" i="69"/>
  <c r="M682" i="69"/>
  <c r="L692" i="69"/>
  <c r="M692" i="69"/>
  <c r="M663" i="69"/>
  <c r="L663" i="69"/>
  <c r="L629" i="69"/>
  <c r="M629" i="69"/>
  <c r="M190" i="69"/>
  <c r="L190" i="69"/>
  <c r="L305" i="69"/>
  <c r="M305" i="69"/>
  <c r="M120" i="69"/>
  <c r="L120" i="69"/>
  <c r="M180" i="69"/>
  <c r="L180" i="69"/>
  <c r="L198" i="69"/>
  <c r="M198" i="69"/>
  <c r="M218" i="69"/>
  <c r="L218" i="69"/>
  <c r="L236" i="69"/>
  <c r="M236" i="69"/>
  <c r="M349" i="69"/>
  <c r="L349" i="69"/>
  <c r="M414" i="69"/>
  <c r="L414" i="69"/>
  <c r="M511" i="69"/>
  <c r="L511" i="69"/>
  <c r="M545" i="69"/>
  <c r="L545" i="69"/>
  <c r="L579" i="69"/>
  <c r="M579" i="69"/>
  <c r="L613" i="69"/>
  <c r="M613" i="69"/>
  <c r="L649" i="69"/>
  <c r="M649" i="69"/>
  <c r="L683" i="69"/>
  <c r="M683" i="69"/>
  <c r="N163" i="69"/>
  <c r="N208" i="69"/>
  <c r="N645" i="69"/>
  <c r="N646" i="69"/>
  <c r="N267" i="69"/>
  <c r="N613" i="69"/>
  <c r="N398" i="69"/>
  <c r="N274" i="69"/>
  <c r="N580" i="69"/>
  <c r="I340" i="69"/>
  <c r="I207" i="69"/>
  <c r="N415" i="69" l="1"/>
  <c r="N372" i="69"/>
  <c r="N323" i="69"/>
  <c r="N289" i="69"/>
  <c r="N35" i="69"/>
  <c r="N427" i="69"/>
  <c r="N235" i="69"/>
  <c r="N307" i="69"/>
  <c r="N678" i="69"/>
  <c r="N565" i="69"/>
  <c r="N227" i="69"/>
  <c r="N341" i="69"/>
  <c r="N426" i="69"/>
  <c r="N209" i="69"/>
  <c r="N539" i="69"/>
  <c r="N430" i="69"/>
  <c r="N395" i="69"/>
  <c r="N342" i="69"/>
  <c r="N210" i="69"/>
  <c r="N294" i="69"/>
  <c r="N644" i="69"/>
  <c r="N532" i="69"/>
  <c r="N308" i="69"/>
  <c r="N681" i="69"/>
  <c r="N260" i="69"/>
  <c r="N241" i="69"/>
  <c r="N321" i="69"/>
  <c r="N255" i="69"/>
  <c r="N363" i="69"/>
  <c r="M207" i="69"/>
  <c r="L207" i="69"/>
  <c r="M340" i="69"/>
  <c r="L340" i="69"/>
  <c r="N647" i="69"/>
  <c r="N303" i="69"/>
  <c r="N423" i="69"/>
  <c r="N562" i="69"/>
  <c r="N688" i="69"/>
  <c r="N489" i="69"/>
  <c r="N225" i="69"/>
  <c r="N664" i="69"/>
  <c r="N677" i="69"/>
  <c r="N58" i="69"/>
  <c r="N232" i="69"/>
  <c r="N614" i="69"/>
  <c r="N628" i="69"/>
  <c r="N680" i="69"/>
  <c r="N223" i="69"/>
  <c r="N494" i="69"/>
  <c r="N57" i="69"/>
  <c r="N271" i="69"/>
  <c r="N504" i="69"/>
  <c r="N499" i="69"/>
  <c r="N288" i="69"/>
  <c r="N663" i="69"/>
  <c r="N295" i="69"/>
  <c r="N591" i="69"/>
  <c r="N690" i="69"/>
  <c r="N554" i="69"/>
  <c r="N654" i="69"/>
  <c r="N652" i="69"/>
  <c r="N612" i="69"/>
  <c r="N676" i="69"/>
  <c r="N178" i="69"/>
  <c r="N373" i="69"/>
  <c r="N199" i="69"/>
  <c r="N480" i="69"/>
  <c r="N570" i="69"/>
  <c r="N268" i="69"/>
  <c r="N381" i="69"/>
  <c r="N695" i="69"/>
  <c r="N226" i="69"/>
  <c r="N598" i="69"/>
  <c r="N484" i="69"/>
  <c r="N590" i="69"/>
  <c r="N417" i="69"/>
  <c r="N503" i="69"/>
  <c r="N526" i="69"/>
  <c r="N683" i="69"/>
  <c r="N290" i="69"/>
  <c r="N656" i="69"/>
  <c r="N478" i="69"/>
  <c r="N629" i="69"/>
  <c r="N693" i="69"/>
  <c r="N557" i="69"/>
  <c r="N520" i="69"/>
  <c r="N619" i="69"/>
  <c r="N679" i="69"/>
  <c r="N429" i="69"/>
  <c r="N305" i="69"/>
  <c r="N599" i="69"/>
  <c r="N388" i="69"/>
  <c r="N393" i="69"/>
  <c r="N357" i="69"/>
  <c r="N498" i="69"/>
  <c r="N634" i="69"/>
  <c r="N631" i="69"/>
  <c r="N432" i="69"/>
  <c r="N648" i="69"/>
  <c r="N269" i="69"/>
  <c r="N243" i="69"/>
  <c r="N322" i="69"/>
  <c r="N192" i="69"/>
  <c r="N291" i="69"/>
  <c r="N538" i="69"/>
  <c r="N537" i="69"/>
  <c r="N535" i="69"/>
  <c r="N306" i="69"/>
  <c r="N533" i="69"/>
  <c r="N685" i="69"/>
  <c r="N536" i="69"/>
  <c r="N59" i="69"/>
  <c r="N632" i="69"/>
  <c r="N396" i="69"/>
  <c r="N304" i="69"/>
  <c r="N696" i="69"/>
  <c r="N588" i="69"/>
  <c r="N527" i="69"/>
  <c r="N691" i="69"/>
  <c r="N555" i="69"/>
  <c r="N418" i="69"/>
  <c r="N518" i="69"/>
  <c r="N516" i="69"/>
  <c r="N399" i="69"/>
  <c r="N286" i="69"/>
  <c r="N630" i="69"/>
  <c r="N339" i="69"/>
  <c r="N394" i="69"/>
  <c r="N301" i="69"/>
  <c r="N362" i="69"/>
  <c r="N361" i="69"/>
  <c r="N374" i="69"/>
  <c r="N601" i="69"/>
  <c r="N258" i="69"/>
  <c r="N296" i="69"/>
  <c r="N491" i="69"/>
  <c r="N420" i="69"/>
  <c r="N522" i="69"/>
  <c r="N653" i="69"/>
  <c r="N406" i="69"/>
  <c r="N519" i="69"/>
  <c r="N237" i="69"/>
  <c r="N530" i="69"/>
  <c r="N490" i="69"/>
  <c r="N651" i="69"/>
  <c r="N193" i="69"/>
  <c r="N558" i="69"/>
  <c r="N515" i="69"/>
  <c r="N222" i="69"/>
  <c r="N505" i="69"/>
  <c r="N502" i="69"/>
  <c r="N488" i="69"/>
  <c r="N697" i="69"/>
  <c r="N561" i="69"/>
  <c r="N552" i="69"/>
  <c r="N550" i="69"/>
  <c r="N525" i="69"/>
  <c r="N564" i="69"/>
  <c r="N531" i="69"/>
  <c r="N302" i="69"/>
  <c r="N256" i="69"/>
  <c r="N595" i="69"/>
  <c r="N660" i="69"/>
  <c r="N585" i="69"/>
  <c r="N583" i="69"/>
  <c r="N477" i="69"/>
  <c r="N511" i="69"/>
  <c r="N275" i="69"/>
  <c r="N327" i="69"/>
  <c r="N416" i="69"/>
  <c r="N316" i="69"/>
  <c r="N611" i="69"/>
  <c r="N310" i="69"/>
  <c r="N703" i="69"/>
  <c r="N293" i="69"/>
  <c r="N392" i="69"/>
  <c r="N475" i="69"/>
  <c r="N596" i="69"/>
  <c r="N360" i="69"/>
  <c r="N524" i="69"/>
  <c r="N481" i="69"/>
  <c r="N238" i="69"/>
  <c r="N434" i="69"/>
  <c r="N45" i="69"/>
  <c r="N191" i="69"/>
  <c r="N190" i="69"/>
  <c r="N257" i="69"/>
  <c r="N635" i="69"/>
  <c r="N421" i="69"/>
  <c r="N528" i="69"/>
  <c r="N439" i="69"/>
  <c r="N382" i="69"/>
  <c r="N587" i="69"/>
  <c r="N616" i="69"/>
  <c r="N615" i="69"/>
  <c r="N224" i="69"/>
  <c r="N320" i="69"/>
  <c r="N273" i="69"/>
  <c r="N176" i="69"/>
  <c r="N292" i="69"/>
  <c r="N428" i="69"/>
  <c r="N359" i="69"/>
  <c r="N534" i="69"/>
  <c r="N665" i="69"/>
  <c r="N422" i="69"/>
  <c r="N661" i="69"/>
  <c r="N338" i="69"/>
  <c r="N436" i="69"/>
  <c r="N43" i="69"/>
  <c r="N553" i="69"/>
  <c r="N584" i="69"/>
  <c r="N582" i="69"/>
  <c r="N581" i="69"/>
  <c r="N389" i="69"/>
  <c r="N547" i="69"/>
  <c r="N317" i="69"/>
  <c r="N118" i="69"/>
  <c r="N569" i="69"/>
  <c r="N390" i="69"/>
  <c r="N603" i="69"/>
  <c r="N607" i="69"/>
  <c r="N368" i="69"/>
  <c r="N212" i="69"/>
  <c r="N633" i="69"/>
  <c r="N626" i="69"/>
  <c r="N483" i="69"/>
  <c r="N589" i="69"/>
  <c r="N435" i="69"/>
  <c r="N658" i="69"/>
  <c r="N495" i="69"/>
  <c r="N408" i="69"/>
  <c r="N624" i="69"/>
  <c r="N124" i="69"/>
  <c r="N437" i="69"/>
  <c r="N556" i="69"/>
  <c r="N686" i="69"/>
  <c r="N198" i="69"/>
  <c r="N438" i="69"/>
  <c r="N701" i="69"/>
  <c r="N179" i="69"/>
  <c r="N121" i="69"/>
  <c r="N543" i="69"/>
  <c r="N349" i="69"/>
  <c r="N175" i="69"/>
  <c r="N236" i="69"/>
  <c r="N287" i="69"/>
  <c r="N253" i="69"/>
  <c r="N369" i="69"/>
  <c r="N276" i="69"/>
  <c r="N602" i="69"/>
  <c r="N425" i="69"/>
  <c r="N600" i="69"/>
  <c r="N404" i="69"/>
  <c r="N194" i="69"/>
  <c r="N514" i="69"/>
  <c r="N218" i="69"/>
  <c r="N446" i="69"/>
  <c r="N407" i="69"/>
  <c r="N675" i="69"/>
  <c r="N572" i="69"/>
  <c r="N571" i="69"/>
  <c r="N122" i="69"/>
  <c r="N476" i="69"/>
  <c r="N313" i="69"/>
  <c r="N637" i="69"/>
  <c r="N625" i="69"/>
  <c r="N687" i="69"/>
  <c r="N492" i="69"/>
  <c r="N617" i="69"/>
  <c r="N442" i="69"/>
  <c r="N441" i="69"/>
  <c r="N657" i="69"/>
  <c r="N440" i="69"/>
  <c r="N410" i="69"/>
  <c r="N700" i="69"/>
  <c r="N249" i="69"/>
  <c r="N523" i="69"/>
  <c r="N623" i="69"/>
  <c r="N180" i="69"/>
  <c r="N345" i="69"/>
  <c r="N252" i="69"/>
  <c r="N234" i="69"/>
  <c r="N560" i="69"/>
  <c r="N444" i="69"/>
  <c r="N699" i="69"/>
  <c r="N592" i="69"/>
  <c r="N521" i="69"/>
  <c r="N221" i="69"/>
  <c r="N251" i="69"/>
  <c r="N666" i="69"/>
  <c r="N314" i="69"/>
  <c r="N512" i="69"/>
  <c r="N433" i="69"/>
  <c r="N184" i="69"/>
  <c r="N544" i="69"/>
  <c r="N409" i="69"/>
  <c r="N508" i="69"/>
  <c r="N609" i="69"/>
  <c r="N608" i="69"/>
  <c r="N325" i="69"/>
  <c r="N667" i="69"/>
  <c r="N123" i="69"/>
  <c r="N670" i="69"/>
  <c r="N17" i="69"/>
  <c r="N358" i="69"/>
  <c r="N510" i="69"/>
  <c r="N641" i="69"/>
  <c r="N213" i="69"/>
  <c r="N120" i="69"/>
  <c r="N277" i="69"/>
  <c r="N642" i="69"/>
  <c r="N579" i="69"/>
  <c r="N347" i="69"/>
  <c r="N575" i="69"/>
  <c r="N574" i="69"/>
  <c r="N183" i="69"/>
  <c r="N655" i="69"/>
  <c r="N684" i="69"/>
  <c r="N214" i="69"/>
  <c r="N576" i="69"/>
  <c r="N250" i="69"/>
  <c r="N443" i="69"/>
  <c r="N541" i="69"/>
  <c r="N540" i="69"/>
  <c r="N182" i="69"/>
  <c r="N278" i="69"/>
  <c r="N620" i="69"/>
  <c r="N348" i="69"/>
  <c r="N219" i="69"/>
  <c r="N181" i="69"/>
  <c r="N119" i="69"/>
  <c r="N649" i="69"/>
  <c r="N662" i="69"/>
  <c r="N326" i="69"/>
  <c r="N493" i="69"/>
  <c r="N233" i="69"/>
  <c r="N507" i="69"/>
  <c r="N506" i="69"/>
  <c r="N333" i="69"/>
  <c r="N332" i="69"/>
  <c r="N318" i="69"/>
  <c r="N568" i="69"/>
  <c r="N698" i="69"/>
  <c r="N694" i="69"/>
  <c r="N482" i="69"/>
  <c r="N259" i="69"/>
  <c r="N618" i="69"/>
  <c r="N702" i="69"/>
  <c r="N217" i="69"/>
  <c r="N311" i="69"/>
  <c r="N216" i="69"/>
  <c r="N414" i="69"/>
  <c r="N577" i="69"/>
  <c r="N445" i="69"/>
  <c r="N674" i="69"/>
  <c r="N673" i="69"/>
  <c r="N18" i="69"/>
  <c r="N671" i="69"/>
  <c r="N668" i="69"/>
  <c r="N413" i="69"/>
  <c r="N185" i="69"/>
  <c r="N610" i="69"/>
  <c r="N545" i="69"/>
  <c r="N239" i="69"/>
  <c r="N195" i="69"/>
  <c r="N594" i="69"/>
  <c r="N254" i="69"/>
  <c r="N272" i="69"/>
  <c r="N627" i="69"/>
  <c r="N242" i="69"/>
  <c r="N419" i="69"/>
  <c r="N551" i="69"/>
  <c r="N549" i="69"/>
  <c r="N643" i="69"/>
  <c r="N412" i="69"/>
  <c r="N315" i="69"/>
  <c r="N640" i="69"/>
  <c r="N639" i="69"/>
  <c r="N636" i="69"/>
  <c r="N689" i="69"/>
  <c r="N578" i="69"/>
  <c r="N411" i="69"/>
  <c r="N312" i="69"/>
  <c r="N196" i="69"/>
  <c r="N597" i="69"/>
  <c r="N593" i="69"/>
  <c r="N692" i="69"/>
  <c r="N517" i="69"/>
  <c r="N542" i="69"/>
  <c r="N344" i="69"/>
  <c r="N220" i="69"/>
  <c r="N509" i="69"/>
  <c r="N606" i="69"/>
  <c r="N605" i="69"/>
  <c r="N682" i="69"/>
  <c r="N211" i="69"/>
  <c r="N240" i="69"/>
  <c r="N177" i="69"/>
  <c r="N60" i="69"/>
  <c r="N270" i="69"/>
  <c r="N309" i="69"/>
  <c r="N567" i="69"/>
  <c r="N563" i="69"/>
  <c r="N559" i="69"/>
  <c r="N659" i="69"/>
  <c r="N206" i="69"/>
  <c r="N621" i="69"/>
  <c r="N397" i="69"/>
  <c r="N573" i="69"/>
  <c r="N546" i="69"/>
  <c r="N346" i="69"/>
  <c r="N672" i="69"/>
  <c r="I18" i="39"/>
  <c r="F45" i="64"/>
  <c r="J45" i="64" s="1"/>
  <c r="F44" i="64"/>
  <c r="J44" i="64" s="1"/>
  <c r="F43" i="64"/>
  <c r="J43" i="64" s="1"/>
  <c r="F42" i="64"/>
  <c r="J42" i="64" s="1"/>
  <c r="F41" i="64"/>
  <c r="J41" i="64" s="1"/>
  <c r="F40" i="64"/>
  <c r="J40" i="64" s="1"/>
  <c r="F39" i="64"/>
  <c r="J39" i="64" s="1"/>
  <c r="F38" i="64"/>
  <c r="J38" i="64" s="1"/>
  <c r="F37" i="64"/>
  <c r="J37" i="64" s="1"/>
  <c r="F36" i="64"/>
  <c r="J36" i="64" s="1"/>
  <c r="F35" i="64"/>
  <c r="J35" i="64" s="1"/>
  <c r="F34" i="64"/>
  <c r="J34" i="64" s="1"/>
  <c r="F33" i="64"/>
  <c r="J33" i="64" s="1"/>
  <c r="F32" i="64"/>
  <c r="J32" i="64" s="1"/>
  <c r="F31" i="64"/>
  <c r="J31" i="64" s="1"/>
  <c r="F30" i="64"/>
  <c r="J30" i="64" s="1"/>
  <c r="F29" i="64"/>
  <c r="J29" i="64" s="1"/>
  <c r="F28" i="64"/>
  <c r="J28" i="64" s="1"/>
  <c r="F27" i="64"/>
  <c r="J27" i="64" s="1"/>
  <c r="F26" i="64"/>
  <c r="J26" i="64" s="1"/>
  <c r="F25" i="64"/>
  <c r="J25" i="64" s="1"/>
  <c r="F24" i="64"/>
  <c r="J24" i="64" s="1"/>
  <c r="F23" i="64"/>
  <c r="J23" i="64" s="1"/>
  <c r="F22" i="64"/>
  <c r="J22" i="64" s="1"/>
  <c r="F21" i="64"/>
  <c r="J21" i="64" s="1"/>
  <c r="F20" i="64"/>
  <c r="J20" i="64" s="1"/>
  <c r="F19" i="64"/>
  <c r="J19" i="64" s="1"/>
  <c r="F18" i="64"/>
  <c r="J18" i="64" s="1"/>
  <c r="F17" i="64"/>
  <c r="J17" i="64" s="1"/>
  <c r="F78" i="39"/>
  <c r="F77" i="39"/>
  <c r="F76" i="39"/>
  <c r="F75" i="39"/>
  <c r="F74" i="39"/>
  <c r="F73" i="39"/>
  <c r="F72" i="39"/>
  <c r="F71" i="39"/>
  <c r="F70" i="39"/>
  <c r="F69" i="39"/>
  <c r="F68" i="39"/>
  <c r="F67" i="39"/>
  <c r="F66" i="39"/>
  <c r="F65" i="39"/>
  <c r="F64" i="39"/>
  <c r="F54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4" i="39"/>
  <c r="F23" i="39"/>
  <c r="F21" i="39"/>
  <c r="F18" i="39"/>
  <c r="F17" i="39"/>
  <c r="F16" i="39"/>
  <c r="F15" i="39"/>
  <c r="N207" i="69" l="1"/>
  <c r="N340" i="69"/>
  <c r="B4" i="43"/>
  <c r="A16" i="38" s="1"/>
  <c r="H65" i="50"/>
  <c r="G65" i="50"/>
  <c r="H64" i="50"/>
  <c r="G64" i="50"/>
  <c r="H63" i="50"/>
  <c r="G63" i="50"/>
  <c r="H62" i="50"/>
  <c r="G62" i="50"/>
  <c r="H61" i="50"/>
  <c r="G61" i="50"/>
  <c r="H60" i="50"/>
  <c r="G60" i="50"/>
  <c r="H59" i="50"/>
  <c r="G59" i="50"/>
  <c r="H58" i="50"/>
  <c r="G58" i="50"/>
  <c r="H57" i="50"/>
  <c r="G57" i="50"/>
  <c r="H56" i="50"/>
  <c r="G56" i="50"/>
  <c r="H55" i="50"/>
  <c r="G55" i="50"/>
  <c r="H54" i="50"/>
  <c r="G54" i="50"/>
  <c r="H53" i="50"/>
  <c r="G53" i="50"/>
  <c r="H52" i="50"/>
  <c r="G52" i="50"/>
  <c r="H51" i="50"/>
  <c r="G51" i="50"/>
  <c r="H50" i="50"/>
  <c r="G50" i="50"/>
  <c r="H49" i="50"/>
  <c r="G49" i="50"/>
  <c r="H48" i="50"/>
  <c r="G48" i="50"/>
  <c r="H47" i="50"/>
  <c r="G47" i="50"/>
  <c r="H46" i="50"/>
  <c r="G46" i="50"/>
  <c r="H45" i="50"/>
  <c r="G45" i="50"/>
  <c r="H44" i="50"/>
  <c r="G44" i="50"/>
  <c r="H43" i="50"/>
  <c r="G43" i="50"/>
  <c r="H42" i="50"/>
  <c r="G42" i="50"/>
  <c r="H41" i="50"/>
  <c r="G41" i="50"/>
  <c r="H40" i="50"/>
  <c r="G40" i="50"/>
  <c r="H39" i="50"/>
  <c r="G39" i="50"/>
  <c r="H38" i="50"/>
  <c r="G38" i="50"/>
  <c r="M38" i="50" s="1"/>
  <c r="H37" i="50"/>
  <c r="G37" i="50"/>
  <c r="H36" i="50"/>
  <c r="G36" i="50"/>
  <c r="H35" i="50"/>
  <c r="G35" i="50"/>
  <c r="H34" i="50"/>
  <c r="G34" i="50"/>
  <c r="H33" i="50"/>
  <c r="G33" i="50"/>
  <c r="H32" i="50"/>
  <c r="G32" i="50"/>
  <c r="H31" i="50"/>
  <c r="G31" i="50"/>
  <c r="H30" i="50"/>
  <c r="G30" i="50"/>
  <c r="H29" i="50"/>
  <c r="G29" i="50"/>
  <c r="H28" i="50"/>
  <c r="G28" i="50"/>
  <c r="H27" i="50"/>
  <c r="G27" i="50"/>
  <c r="H26" i="50"/>
  <c r="G26" i="50"/>
  <c r="H25" i="50"/>
  <c r="G25" i="50"/>
  <c r="H24" i="50"/>
  <c r="G24" i="50"/>
  <c r="H23" i="50"/>
  <c r="G23" i="50"/>
  <c r="J21" i="50"/>
  <c r="I22" i="50"/>
  <c r="M37" i="50" l="1"/>
  <c r="O37" i="50" s="1"/>
  <c r="N714" i="69"/>
  <c r="J20" i="50"/>
  <c r="J22" i="50"/>
  <c r="O38" i="50"/>
  <c r="I19" i="50"/>
  <c r="I21" i="50"/>
  <c r="J19" i="50"/>
  <c r="I20" i="50"/>
  <c r="L46" i="68" l="1"/>
  <c r="J46" i="68"/>
  <c r="L45" i="68"/>
  <c r="J45" i="68"/>
  <c r="L44" i="68"/>
  <c r="J44" i="68"/>
  <c r="L43" i="68"/>
  <c r="J43" i="68"/>
  <c r="L42" i="68"/>
  <c r="J42" i="68"/>
  <c r="L41" i="68"/>
  <c r="J41" i="68"/>
  <c r="L40" i="68"/>
  <c r="J40" i="68"/>
  <c r="L39" i="68"/>
  <c r="J39" i="68"/>
  <c r="L38" i="68"/>
  <c r="J38" i="68"/>
  <c r="L37" i="68"/>
  <c r="J37" i="68"/>
  <c r="L36" i="68"/>
  <c r="J36" i="68"/>
  <c r="L35" i="68"/>
  <c r="J35" i="68"/>
  <c r="L34" i="68"/>
  <c r="J34" i="68"/>
  <c r="L33" i="68"/>
  <c r="J33" i="68"/>
  <c r="H50" i="39"/>
  <c r="D50" i="39"/>
  <c r="H49" i="39"/>
  <c r="D49" i="39"/>
  <c r="H48" i="39"/>
  <c r="D48" i="39"/>
  <c r="H47" i="39"/>
  <c r="D47" i="39"/>
  <c r="H46" i="39"/>
  <c r="D46" i="39"/>
  <c r="H45" i="39"/>
  <c r="D45" i="39"/>
  <c r="H44" i="39"/>
  <c r="D44" i="39"/>
  <c r="H43" i="39"/>
  <c r="D43" i="39"/>
  <c r="C43" i="44" l="1"/>
  <c r="C42" i="44"/>
  <c r="C41" i="44"/>
  <c r="C40" i="44"/>
  <c r="C39" i="44"/>
  <c r="C38" i="44"/>
  <c r="C37" i="44"/>
  <c r="C35" i="44"/>
  <c r="C34" i="44"/>
  <c r="C33" i="44"/>
  <c r="C32" i="44"/>
  <c r="C31" i="44"/>
  <c r="C30" i="44"/>
  <c r="C29" i="44"/>
  <c r="C28" i="44"/>
  <c r="C27" i="44"/>
  <c r="C26" i="44"/>
  <c r="C25" i="44"/>
  <c r="C24" i="44"/>
  <c r="C22" i="44"/>
  <c r="C21" i="44"/>
  <c r="C20" i="44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0" i="43"/>
  <c r="C21" i="43"/>
  <c r="C19" i="43"/>
  <c r="D4" i="2"/>
  <c r="K78" i="39" l="1"/>
  <c r="H78" i="39"/>
  <c r="D78" i="39"/>
  <c r="K77" i="39"/>
  <c r="H77" i="39"/>
  <c r="D77" i="39"/>
  <c r="K76" i="39"/>
  <c r="H76" i="39"/>
  <c r="D76" i="39"/>
  <c r="K75" i="39"/>
  <c r="H75" i="39"/>
  <c r="D75" i="39"/>
  <c r="K74" i="39"/>
  <c r="H74" i="39"/>
  <c r="D74" i="39"/>
  <c r="K73" i="39"/>
  <c r="H73" i="39"/>
  <c r="D73" i="39"/>
  <c r="K72" i="39"/>
  <c r="H72" i="39"/>
  <c r="D72" i="39"/>
  <c r="K71" i="39"/>
  <c r="H71" i="39"/>
  <c r="D71" i="39"/>
  <c r="K70" i="39"/>
  <c r="H70" i="39"/>
  <c r="D70" i="39"/>
  <c r="K69" i="39"/>
  <c r="H69" i="39"/>
  <c r="D69" i="39"/>
  <c r="K68" i="39"/>
  <c r="H68" i="39"/>
  <c r="D68" i="39"/>
  <c r="K67" i="39"/>
  <c r="H67" i="39"/>
  <c r="D67" i="39"/>
  <c r="K66" i="39"/>
  <c r="H66" i="39"/>
  <c r="D66" i="39"/>
  <c r="K65" i="39"/>
  <c r="H65" i="39"/>
  <c r="D65" i="39"/>
  <c r="D64" i="39"/>
  <c r="H62" i="39"/>
  <c r="D62" i="39"/>
  <c r="D61" i="39"/>
  <c r="D60" i="39"/>
  <c r="D59" i="39"/>
  <c r="D58" i="39"/>
  <c r="D57" i="39"/>
  <c r="D56" i="39"/>
  <c r="D55" i="39"/>
  <c r="H54" i="39"/>
  <c r="D54" i="39"/>
  <c r="H52" i="39"/>
  <c r="D52" i="39"/>
  <c r="D51" i="39"/>
  <c r="H42" i="39"/>
  <c r="H41" i="39"/>
  <c r="H40" i="39"/>
  <c r="H39" i="39"/>
  <c r="H38" i="39"/>
  <c r="H37" i="39"/>
  <c r="D37" i="39"/>
  <c r="H36" i="39"/>
  <c r="D36" i="39"/>
  <c r="D42" i="39"/>
  <c r="D41" i="39"/>
  <c r="D40" i="39"/>
  <c r="D39" i="39"/>
  <c r="D38" i="39"/>
  <c r="K54" i="39" l="1"/>
  <c r="L77" i="68"/>
  <c r="J77" i="68"/>
  <c r="L76" i="68"/>
  <c r="J76" i="68"/>
  <c r="L73" i="68"/>
  <c r="J73" i="68"/>
  <c r="L72" i="68"/>
  <c r="J72" i="68"/>
  <c r="L71" i="68"/>
  <c r="J71" i="68"/>
  <c r="L70" i="68"/>
  <c r="J70" i="68"/>
  <c r="L69" i="68"/>
  <c r="J69" i="68"/>
  <c r="L68" i="68"/>
  <c r="J68" i="68"/>
  <c r="L67" i="68"/>
  <c r="J67" i="68"/>
  <c r="L66" i="68"/>
  <c r="J66" i="68"/>
  <c r="L65" i="68"/>
  <c r="J65" i="68"/>
  <c r="L64" i="68"/>
  <c r="J64" i="68"/>
  <c r="L63" i="68"/>
  <c r="J63" i="68"/>
  <c r="L62" i="68"/>
  <c r="J62" i="68"/>
  <c r="L61" i="68"/>
  <c r="J61" i="68"/>
  <c r="L60" i="68"/>
  <c r="J60" i="68"/>
  <c r="L59" i="68"/>
  <c r="J59" i="68"/>
  <c r="L57" i="68"/>
  <c r="J57" i="68"/>
  <c r="L56" i="68"/>
  <c r="J56" i="68"/>
  <c r="L55" i="68"/>
  <c r="J55" i="68"/>
  <c r="L54" i="68"/>
  <c r="J54" i="68"/>
  <c r="L53" i="68"/>
  <c r="J53" i="68"/>
  <c r="L52" i="68"/>
  <c r="J52" i="68"/>
  <c r="L51" i="68"/>
  <c r="J51" i="68"/>
  <c r="L50" i="68"/>
  <c r="J50" i="68"/>
  <c r="L48" i="68"/>
  <c r="J48" i="68"/>
  <c r="L47" i="68"/>
  <c r="J47" i="68"/>
  <c r="L32" i="68"/>
  <c r="J32" i="68"/>
  <c r="A77" i="68"/>
  <c r="A76" i="68"/>
  <c r="A73" i="68"/>
  <c r="A72" i="68"/>
  <c r="A71" i="68"/>
  <c r="A70" i="68"/>
  <c r="A69" i="68"/>
  <c r="A68" i="68"/>
  <c r="A67" i="68"/>
  <c r="A66" i="68"/>
  <c r="A65" i="68"/>
  <c r="A64" i="68"/>
  <c r="A63" i="68"/>
  <c r="A62" i="68"/>
  <c r="A61" i="68"/>
  <c r="A60" i="68"/>
  <c r="A59" i="68"/>
  <c r="A57" i="68"/>
  <c r="A56" i="68"/>
  <c r="A55" i="68"/>
  <c r="A54" i="68"/>
  <c r="A53" i="68"/>
  <c r="A52" i="68"/>
  <c r="A51" i="68"/>
  <c r="A50" i="68"/>
  <c r="A48" i="68"/>
  <c r="A47" i="68"/>
  <c r="A39" i="68"/>
  <c r="A38" i="68"/>
  <c r="A37" i="68"/>
  <c r="A36" i="68"/>
  <c r="A35" i="68"/>
  <c r="A34" i="68"/>
  <c r="A33" i="68"/>
  <c r="A32" i="68"/>
  <c r="H64" i="39"/>
  <c r="H61" i="39"/>
  <c r="H60" i="39"/>
  <c r="H59" i="39"/>
  <c r="H58" i="39"/>
  <c r="H57" i="39"/>
  <c r="H56" i="39"/>
  <c r="H55" i="39"/>
  <c r="H51" i="39"/>
  <c r="I47" i="44" l="1"/>
  <c r="I43" i="44"/>
  <c r="J43" i="44" s="1"/>
  <c r="I42" i="44"/>
  <c r="J42" i="44" s="1"/>
  <c r="I41" i="44"/>
  <c r="J41" i="44" s="1"/>
  <c r="I40" i="44"/>
  <c r="J40" i="44" s="1"/>
  <c r="I39" i="44"/>
  <c r="J39" i="44" s="1"/>
  <c r="I38" i="44"/>
  <c r="J38" i="44" s="1"/>
  <c r="I37" i="44"/>
  <c r="J37" i="44" s="1"/>
  <c r="I35" i="44"/>
  <c r="J35" i="44" s="1"/>
  <c r="I40" i="43"/>
  <c r="I39" i="43"/>
  <c r="J39" i="43" s="1"/>
  <c r="I38" i="43"/>
  <c r="J38" i="43" s="1"/>
  <c r="I37" i="43"/>
  <c r="J37" i="43" s="1"/>
  <c r="F82" i="39" l="1"/>
  <c r="J47" i="44"/>
  <c r="F52" i="39"/>
  <c r="F58" i="39"/>
  <c r="F56" i="39"/>
  <c r="F57" i="39"/>
  <c r="F60" i="39"/>
  <c r="F61" i="39"/>
  <c r="F62" i="39"/>
  <c r="F55" i="39"/>
  <c r="F59" i="39"/>
  <c r="J40" i="43"/>
  <c r="K40" i="43" l="1"/>
  <c r="M40" i="43" s="1"/>
  <c r="N40" i="43" s="1"/>
  <c r="K37" i="43"/>
  <c r="M37" i="43" s="1"/>
  <c r="N37" i="43" s="1"/>
  <c r="K38" i="43"/>
  <c r="M38" i="43" s="1"/>
  <c r="N38" i="43" s="1"/>
  <c r="K39" i="43"/>
  <c r="M39" i="43" s="1"/>
  <c r="N39" i="43" s="1"/>
  <c r="H35" i="39" l="1"/>
  <c r="H34" i="39"/>
  <c r="H28" i="39"/>
  <c r="H25" i="39"/>
  <c r="H24" i="39"/>
  <c r="H23" i="39"/>
  <c r="H22" i="39"/>
  <c r="K21" i="39"/>
  <c r="H21" i="39"/>
  <c r="H19" i="39"/>
  <c r="K18" i="39"/>
  <c r="H18" i="39"/>
  <c r="B9" i="70" l="1"/>
  <c r="B8" i="70"/>
  <c r="B7" i="70"/>
  <c r="B6" i="70"/>
  <c r="B3" i="70"/>
  <c r="B4" i="70"/>
  <c r="H32" i="39" l="1"/>
  <c r="H30" i="39"/>
  <c r="H29" i="39"/>
  <c r="H14" i="39" l="1"/>
  <c r="H17" i="39"/>
  <c r="H33" i="39"/>
  <c r="H20" i="39"/>
  <c r="H27" i="39"/>
  <c r="H16" i="39"/>
  <c r="H26" i="39" l="1"/>
  <c r="H15" i="39"/>
  <c r="H31" i="39"/>
  <c r="J46" i="64"/>
  <c r="H22" i="38" s="1"/>
  <c r="H85" i="39" l="1"/>
  <c r="C9" i="69" l="1"/>
  <c r="C8" i="69"/>
  <c r="C7" i="69"/>
  <c r="C6" i="69"/>
  <c r="C5" i="69"/>
  <c r="C3" i="69"/>
  <c r="D9" i="68"/>
  <c r="D8" i="68"/>
  <c r="D7" i="68"/>
  <c r="D6" i="68"/>
  <c r="D5" i="68"/>
  <c r="D3" i="68"/>
  <c r="L31" i="68"/>
  <c r="J31" i="68"/>
  <c r="A31" i="68"/>
  <c r="L30" i="68"/>
  <c r="J30" i="68"/>
  <c r="A30" i="68"/>
  <c r="L29" i="68"/>
  <c r="J29" i="68"/>
  <c r="A29" i="68"/>
  <c r="L28" i="68"/>
  <c r="J28" i="68"/>
  <c r="A28" i="68"/>
  <c r="L27" i="68"/>
  <c r="J27" i="68"/>
  <c r="A27" i="68"/>
  <c r="L26" i="68"/>
  <c r="J26" i="68"/>
  <c r="A26" i="68"/>
  <c r="L25" i="68"/>
  <c r="J25" i="68"/>
  <c r="A25" i="68"/>
  <c r="L24" i="68"/>
  <c r="J24" i="68"/>
  <c r="A24" i="68"/>
  <c r="L23" i="68"/>
  <c r="J23" i="68"/>
  <c r="A23" i="68"/>
  <c r="L22" i="68"/>
  <c r="J22" i="68"/>
  <c r="A22" i="68"/>
  <c r="L21" i="68"/>
  <c r="J21" i="68"/>
  <c r="A21" i="68"/>
  <c r="L20" i="68"/>
  <c r="J20" i="68"/>
  <c r="A20" i="68"/>
  <c r="L19" i="68"/>
  <c r="J19" i="68"/>
  <c r="A19" i="68"/>
  <c r="L18" i="68"/>
  <c r="J18" i="68"/>
  <c r="A18" i="68"/>
  <c r="L17" i="68"/>
  <c r="J17" i="68"/>
  <c r="A17" i="68"/>
  <c r="L16" i="68"/>
  <c r="J16" i="68"/>
  <c r="A16" i="68"/>
  <c r="A15" i="68"/>
  <c r="A14" i="68"/>
  <c r="A13" i="68"/>
  <c r="D4" i="68"/>
  <c r="A24" i="38" s="1"/>
  <c r="F74" i="68" l="1"/>
  <c r="G74" i="68"/>
  <c r="M74" i="68" s="1"/>
  <c r="E74" i="68"/>
  <c r="E75" i="68"/>
  <c r="G75" i="68"/>
  <c r="M75" i="68" s="1"/>
  <c r="F75" i="68"/>
  <c r="E58" i="68"/>
  <c r="E49" i="68"/>
  <c r="F58" i="68"/>
  <c r="F49" i="68"/>
  <c r="G58" i="68"/>
  <c r="M58" i="68" s="1"/>
  <c r="K64" i="50" s="1"/>
  <c r="M64" i="50" s="1"/>
  <c r="G49" i="68"/>
  <c r="M49" i="68" s="1"/>
  <c r="F46" i="68"/>
  <c r="F44" i="68"/>
  <c r="F42" i="68"/>
  <c r="F40" i="68"/>
  <c r="F38" i="68"/>
  <c r="F36" i="68"/>
  <c r="F34" i="68"/>
  <c r="E43" i="68"/>
  <c r="G36" i="68"/>
  <c r="M36" i="68" s="1"/>
  <c r="K43" i="50" s="1"/>
  <c r="M43" i="50" s="1"/>
  <c r="E46" i="68"/>
  <c r="G45" i="68"/>
  <c r="M45" i="68" s="1"/>
  <c r="K52" i="50" s="1"/>
  <c r="M52" i="50" s="1"/>
  <c r="E44" i="68"/>
  <c r="G43" i="68"/>
  <c r="M43" i="68" s="1"/>
  <c r="K50" i="50" s="1"/>
  <c r="M50" i="50" s="1"/>
  <c r="E42" i="68"/>
  <c r="G41" i="68"/>
  <c r="M41" i="68" s="1"/>
  <c r="K48" i="50" s="1"/>
  <c r="M48" i="50" s="1"/>
  <c r="E40" i="68"/>
  <c r="G39" i="68"/>
  <c r="M39" i="68" s="1"/>
  <c r="K46" i="50" s="1"/>
  <c r="M46" i="50" s="1"/>
  <c r="E38" i="68"/>
  <c r="G37" i="68"/>
  <c r="M37" i="68" s="1"/>
  <c r="K44" i="50" s="1"/>
  <c r="M44" i="50" s="1"/>
  <c r="E36" i="68"/>
  <c r="G35" i="68"/>
  <c r="M35" i="68" s="1"/>
  <c r="K42" i="50" s="1"/>
  <c r="M42" i="50" s="1"/>
  <c r="E34" i="68"/>
  <c r="G33" i="68"/>
  <c r="M33" i="68" s="1"/>
  <c r="K40" i="50" s="1"/>
  <c r="M40" i="50" s="1"/>
  <c r="G42" i="68"/>
  <c r="M42" i="68" s="1"/>
  <c r="K49" i="50" s="1"/>
  <c r="M49" i="50" s="1"/>
  <c r="E39" i="68"/>
  <c r="E37" i="68"/>
  <c r="G34" i="68"/>
  <c r="M34" i="68" s="1"/>
  <c r="K41" i="50" s="1"/>
  <c r="M41" i="50" s="1"/>
  <c r="F45" i="68"/>
  <c r="F43" i="68"/>
  <c r="F41" i="68"/>
  <c r="F39" i="68"/>
  <c r="F37" i="68"/>
  <c r="F35" i="68"/>
  <c r="F33" i="68"/>
  <c r="G46" i="68"/>
  <c r="M46" i="68" s="1"/>
  <c r="K53" i="50" s="1"/>
  <c r="M53" i="50" s="1"/>
  <c r="E45" i="68"/>
  <c r="G44" i="68"/>
  <c r="M44" i="68" s="1"/>
  <c r="K51" i="50" s="1"/>
  <c r="M51" i="50" s="1"/>
  <c r="E41" i="68"/>
  <c r="G40" i="68"/>
  <c r="M40" i="68" s="1"/>
  <c r="K47" i="50" s="1"/>
  <c r="M47" i="50" s="1"/>
  <c r="G38" i="68"/>
  <c r="M38" i="68" s="1"/>
  <c r="K45" i="50" s="1"/>
  <c r="M45" i="50" s="1"/>
  <c r="E35" i="68"/>
  <c r="E33" i="68"/>
  <c r="F77" i="68"/>
  <c r="F73" i="68"/>
  <c r="F71" i="68"/>
  <c r="F69" i="68"/>
  <c r="F67" i="68"/>
  <c r="F65" i="68"/>
  <c r="F63" i="68"/>
  <c r="F61" i="68"/>
  <c r="F59" i="68"/>
  <c r="F56" i="68"/>
  <c r="F54" i="68"/>
  <c r="F52" i="68"/>
  <c r="F50" i="68"/>
  <c r="F47" i="68"/>
  <c r="F32" i="68"/>
  <c r="F70" i="68"/>
  <c r="F68" i="68"/>
  <c r="F66" i="68"/>
  <c r="F64" i="68"/>
  <c r="F62" i="68"/>
  <c r="F60" i="68"/>
  <c r="F57" i="68"/>
  <c r="F55" i="68"/>
  <c r="F53" i="68"/>
  <c r="F51" i="68"/>
  <c r="G63" i="68"/>
  <c r="M63" i="68" s="1"/>
  <c r="E60" i="68"/>
  <c r="G56" i="68"/>
  <c r="M56" i="68" s="1"/>
  <c r="K62" i="50" s="1"/>
  <c r="M62" i="50" s="1"/>
  <c r="G54" i="68"/>
  <c r="M54" i="68" s="1"/>
  <c r="K60" i="50" s="1"/>
  <c r="M60" i="50" s="1"/>
  <c r="E53" i="68"/>
  <c r="E51" i="68"/>
  <c r="G47" i="68"/>
  <c r="M47" i="68" s="1"/>
  <c r="K54" i="50" s="1"/>
  <c r="M54" i="50" s="1"/>
  <c r="G32" i="68"/>
  <c r="M32" i="68" s="1"/>
  <c r="K39" i="50" s="1"/>
  <c r="M39" i="50" s="1"/>
  <c r="E77" i="68"/>
  <c r="G76" i="68"/>
  <c r="M76" i="68" s="1"/>
  <c r="I34" i="39" s="1"/>
  <c r="E73" i="68"/>
  <c r="G72" i="68"/>
  <c r="M72" i="68" s="1"/>
  <c r="E71" i="68"/>
  <c r="G70" i="68"/>
  <c r="M70" i="68" s="1"/>
  <c r="E69" i="68"/>
  <c r="G68" i="68"/>
  <c r="M68" i="68" s="1"/>
  <c r="E67" i="68"/>
  <c r="G66" i="68"/>
  <c r="M66" i="68" s="1"/>
  <c r="E65" i="68"/>
  <c r="G64" i="68"/>
  <c r="M64" i="68" s="1"/>
  <c r="E63" i="68"/>
  <c r="G62" i="68"/>
  <c r="M62" i="68" s="1"/>
  <c r="E61" i="68"/>
  <c r="G60" i="68"/>
  <c r="M60" i="68" s="1"/>
  <c r="E59" i="68"/>
  <c r="G57" i="68"/>
  <c r="M57" i="68" s="1"/>
  <c r="K63" i="50" s="1"/>
  <c r="M63" i="50" s="1"/>
  <c r="E56" i="68"/>
  <c r="G55" i="68"/>
  <c r="M55" i="68" s="1"/>
  <c r="E54" i="68"/>
  <c r="G53" i="68"/>
  <c r="M53" i="68" s="1"/>
  <c r="E52" i="68"/>
  <c r="G51" i="68"/>
  <c r="M51" i="68" s="1"/>
  <c r="K57" i="50" s="1"/>
  <c r="M57" i="50" s="1"/>
  <c r="E50" i="68"/>
  <c r="G48" i="68"/>
  <c r="M48" i="68" s="1"/>
  <c r="K55" i="50" s="1"/>
  <c r="M55" i="50" s="1"/>
  <c r="E47" i="68"/>
  <c r="E32" i="68"/>
  <c r="F76" i="68"/>
  <c r="F72" i="68"/>
  <c r="F48" i="68"/>
  <c r="G77" i="68"/>
  <c r="M77" i="68" s="1"/>
  <c r="E76" i="68"/>
  <c r="E72" i="68"/>
  <c r="E70" i="68"/>
  <c r="E68" i="68"/>
  <c r="E66" i="68"/>
  <c r="E64" i="68"/>
  <c r="E62" i="68"/>
  <c r="G61" i="68"/>
  <c r="M61" i="68" s="1"/>
  <c r="G59" i="68"/>
  <c r="M59" i="68" s="1"/>
  <c r="E57" i="68"/>
  <c r="E55" i="68"/>
  <c r="G52" i="68"/>
  <c r="M52" i="68" s="1"/>
  <c r="K58" i="50" s="1"/>
  <c r="M58" i="50" s="1"/>
  <c r="G50" i="68"/>
  <c r="M50" i="68" s="1"/>
  <c r="E48" i="68"/>
  <c r="G73" i="68"/>
  <c r="M73" i="68" s="1"/>
  <c r="G71" i="68"/>
  <c r="M71" i="68" s="1"/>
  <c r="G69" i="68"/>
  <c r="M69" i="68" s="1"/>
  <c r="K56" i="50" s="1"/>
  <c r="M56" i="50" s="1"/>
  <c r="G67" i="68"/>
  <c r="M67" i="68" s="1"/>
  <c r="G65" i="68"/>
  <c r="M65" i="68" s="1"/>
  <c r="F30" i="68"/>
  <c r="E29" i="68"/>
  <c r="F26" i="68"/>
  <c r="F18" i="68"/>
  <c r="E17" i="68"/>
  <c r="E22" i="68"/>
  <c r="E18" i="68"/>
  <c r="F15" i="68"/>
  <c r="E14" i="68"/>
  <c r="E31" i="68"/>
  <c r="G18" i="68"/>
  <c r="F17" i="68"/>
  <c r="E16" i="68"/>
  <c r="E30" i="68"/>
  <c r="E26" i="68"/>
  <c r="F28" i="68"/>
  <c r="E27" i="68"/>
  <c r="E23" i="68"/>
  <c r="E19" i="68"/>
  <c r="F16" i="68"/>
  <c r="E15" i="68"/>
  <c r="E28" i="68"/>
  <c r="E24" i="68"/>
  <c r="E20" i="68"/>
  <c r="E13" i="68"/>
  <c r="G19" i="68"/>
  <c r="E21" i="68"/>
  <c r="E25" i="68"/>
  <c r="I79" i="39" l="1"/>
  <c r="I35" i="39"/>
  <c r="K62" i="39"/>
  <c r="O64" i="50"/>
  <c r="K61" i="50"/>
  <c r="K59" i="50"/>
  <c r="K61" i="39"/>
  <c r="O63" i="50"/>
  <c r="O56" i="50"/>
  <c r="K53" i="39"/>
  <c r="K65" i="50"/>
  <c r="M65" i="50" s="1"/>
  <c r="O41" i="50"/>
  <c r="K38" i="39"/>
  <c r="O49" i="50"/>
  <c r="K46" i="39"/>
  <c r="O40" i="50"/>
  <c r="K37" i="39"/>
  <c r="O58" i="50"/>
  <c r="K56" i="39"/>
  <c r="O57" i="50"/>
  <c r="K55" i="39"/>
  <c r="O42" i="50"/>
  <c r="K39" i="39"/>
  <c r="K52" i="39"/>
  <c r="O55" i="50"/>
  <c r="O51" i="50"/>
  <c r="K48" i="39"/>
  <c r="O44" i="50"/>
  <c r="K41" i="39"/>
  <c r="O46" i="50"/>
  <c r="K43" i="39"/>
  <c r="O48" i="50"/>
  <c r="K45" i="39"/>
  <c r="O50" i="50"/>
  <c r="K47" i="39"/>
  <c r="O39" i="50"/>
  <c r="K36" i="39"/>
  <c r="O52" i="50"/>
  <c r="K49" i="39"/>
  <c r="O54" i="50"/>
  <c r="K51" i="39"/>
  <c r="O43" i="50"/>
  <c r="K40" i="39"/>
  <c r="O45" i="50"/>
  <c r="K42" i="39"/>
  <c r="O60" i="50"/>
  <c r="K58" i="39"/>
  <c r="O47" i="50"/>
  <c r="K44" i="39"/>
  <c r="K60" i="39"/>
  <c r="O62" i="50"/>
  <c r="O53" i="50"/>
  <c r="K50" i="39"/>
  <c r="I53" i="39"/>
  <c r="I63" i="39"/>
  <c r="I59" i="39"/>
  <c r="I69" i="39"/>
  <c r="I71" i="39"/>
  <c r="I61" i="39"/>
  <c r="I75" i="39"/>
  <c r="I64" i="39"/>
  <c r="I38" i="39"/>
  <c r="I77" i="39"/>
  <c r="I66" i="39"/>
  <c r="I68" i="39"/>
  <c r="I37" i="39"/>
  <c r="I56" i="39"/>
  <c r="I70" i="39"/>
  <c r="I39" i="39"/>
  <c r="I62" i="39"/>
  <c r="I65" i="39"/>
  <c r="I72" i="39"/>
  <c r="I41" i="39"/>
  <c r="I46" i="39"/>
  <c r="I73" i="39"/>
  <c r="I74" i="39"/>
  <c r="I43" i="39"/>
  <c r="I54" i="39"/>
  <c r="I76" i="39"/>
  <c r="I45" i="39"/>
  <c r="I78" i="39"/>
  <c r="I47" i="39"/>
  <c r="I49" i="39"/>
  <c r="I51" i="39"/>
  <c r="I40" i="39"/>
  <c r="I42" i="39"/>
  <c r="I58" i="39"/>
  <c r="I44" i="39"/>
  <c r="I60" i="39"/>
  <c r="I48" i="39"/>
  <c r="I52" i="39"/>
  <c r="I67" i="39"/>
  <c r="I55" i="39"/>
  <c r="I50" i="39"/>
  <c r="I36" i="39"/>
  <c r="I57" i="39"/>
  <c r="G30" i="68"/>
  <c r="G14" i="68"/>
  <c r="G27" i="68"/>
  <c r="G24" i="68"/>
  <c r="G28" i="68"/>
  <c r="G13" i="68"/>
  <c r="G15" i="68"/>
  <c r="G17" i="68"/>
  <c r="G20" i="68"/>
  <c r="G26" i="68"/>
  <c r="G23" i="68"/>
  <c r="G22" i="68"/>
  <c r="G16" i="68"/>
  <c r="F13" i="68"/>
  <c r="G29" i="68"/>
  <c r="G31" i="68"/>
  <c r="F14" i="68"/>
  <c r="F27" i="68"/>
  <c r="F20" i="68"/>
  <c r="F23" i="68"/>
  <c r="F19" i="68"/>
  <c r="F22" i="68"/>
  <c r="F24" i="68"/>
  <c r="F29" i="68"/>
  <c r="F31" i="68"/>
  <c r="M18" i="68"/>
  <c r="K24" i="50" s="1"/>
  <c r="M19" i="68"/>
  <c r="M24" i="50" l="1"/>
  <c r="O24" i="50" s="1"/>
  <c r="M59" i="50"/>
  <c r="O59" i="50" s="1"/>
  <c r="M61" i="50"/>
  <c r="O61" i="50" s="1"/>
  <c r="O65" i="50"/>
  <c r="K64" i="39"/>
  <c r="I21" i="39"/>
  <c r="I20" i="39"/>
  <c r="M13" i="68"/>
  <c r="G25" i="68"/>
  <c r="M25" i="68" s="1"/>
  <c r="K30" i="50" s="1"/>
  <c r="F25" i="68"/>
  <c r="G21" i="68"/>
  <c r="M21" i="68" s="1"/>
  <c r="K26" i="50" s="1"/>
  <c r="F21" i="68"/>
  <c r="M27" i="68"/>
  <c r="K32" i="50" s="1"/>
  <c r="M28" i="68"/>
  <c r="K33" i="50" s="1"/>
  <c r="M22" i="68"/>
  <c r="K27" i="50" s="1"/>
  <c r="M31" i="68"/>
  <c r="K36" i="50" s="1"/>
  <c r="M29" i="68"/>
  <c r="K34" i="50" s="1"/>
  <c r="M23" i="68"/>
  <c r="K28" i="50" s="1"/>
  <c r="M24" i="68"/>
  <c r="K29" i="50" s="1"/>
  <c r="M14" i="68"/>
  <c r="K20" i="50" s="1"/>
  <c r="M15" i="68"/>
  <c r="K21" i="50" s="1"/>
  <c r="M26" i="68"/>
  <c r="K31" i="50" s="1"/>
  <c r="M30" i="68"/>
  <c r="K35" i="50" s="1"/>
  <c r="M16" i="68"/>
  <c r="K22" i="50" s="1"/>
  <c r="M17" i="68"/>
  <c r="K23" i="50" s="1"/>
  <c r="M20" i="68"/>
  <c r="K25" i="50" s="1"/>
  <c r="K59" i="39" l="1"/>
  <c r="K57" i="39"/>
  <c r="M23" i="50"/>
  <c r="O23" i="50" s="1"/>
  <c r="M22" i="50"/>
  <c r="O22" i="50" s="1"/>
  <c r="M21" i="50"/>
  <c r="O21" i="50" s="1"/>
  <c r="M20" i="50"/>
  <c r="O20" i="50" s="1"/>
  <c r="M28" i="50"/>
  <c r="O28" i="50" s="1"/>
  <c r="M34" i="50"/>
  <c r="O34" i="50" s="1"/>
  <c r="M27" i="50"/>
  <c r="O27" i="50" s="1"/>
  <c r="M32" i="50"/>
  <c r="O32" i="50" s="1"/>
  <c r="M25" i="50"/>
  <c r="O25" i="50" s="1"/>
  <c r="M26" i="50"/>
  <c r="O26" i="50" s="1"/>
  <c r="M30" i="50"/>
  <c r="O30" i="50" s="1"/>
  <c r="M29" i="50"/>
  <c r="O29" i="50" s="1"/>
  <c r="M31" i="50"/>
  <c r="O31" i="50" s="1"/>
  <c r="M35" i="50"/>
  <c r="O35" i="50" s="1"/>
  <c r="M36" i="50"/>
  <c r="O36" i="50" s="1"/>
  <c r="M33" i="50"/>
  <c r="O33" i="50" s="1"/>
  <c r="I22" i="39"/>
  <c r="I32" i="39"/>
  <c r="I16" i="39"/>
  <c r="I26" i="39"/>
  <c r="I30" i="39"/>
  <c r="I17" i="39"/>
  <c r="I28" i="39"/>
  <c r="I15" i="39"/>
  <c r="I31" i="39"/>
  <c r="I33" i="39"/>
  <c r="I24" i="39"/>
  <c r="I29" i="39"/>
  <c r="I19" i="39"/>
  <c r="I25" i="39"/>
  <c r="I23" i="39"/>
  <c r="I27" i="39"/>
  <c r="I14" i="39"/>
  <c r="M78" i="68"/>
  <c r="H24" i="38" s="1"/>
  <c r="G78" i="68"/>
  <c r="B7" i="64"/>
  <c r="G66" i="76" l="1"/>
  <c r="K19" i="50"/>
  <c r="I85" i="39"/>
  <c r="M19" i="50" l="1"/>
  <c r="O19" i="50" s="1"/>
  <c r="F24" i="67" l="1"/>
  <c r="H24" i="67" s="1"/>
  <c r="F23" i="67"/>
  <c r="H23" i="67" s="1"/>
  <c r="F22" i="67"/>
  <c r="H22" i="67" s="1"/>
  <c r="F21" i="67"/>
  <c r="H21" i="67" s="1"/>
  <c r="F28" i="49"/>
  <c r="H28" i="49" s="1"/>
  <c r="F27" i="49"/>
  <c r="H27" i="49" s="1"/>
  <c r="F26" i="49"/>
  <c r="H26" i="49" s="1"/>
  <c r="F25" i="49"/>
  <c r="H25" i="49" s="1"/>
  <c r="F23" i="49"/>
  <c r="H23" i="49" s="1"/>
  <c r="F22" i="49"/>
  <c r="H22" i="49" s="1"/>
  <c r="F25" i="67" l="1"/>
  <c r="H25" i="67" s="1"/>
  <c r="A4" i="43" l="1"/>
  <c r="A5" i="43"/>
  <c r="A6" i="43"/>
  <c r="A7" i="43"/>
  <c r="A8" i="43"/>
  <c r="A9" i="43"/>
  <c r="A3" i="43"/>
  <c r="E79" i="39" l="1"/>
  <c r="E80" i="39"/>
  <c r="E63" i="39"/>
  <c r="E53" i="39"/>
  <c r="E50" i="39"/>
  <c r="E46" i="39"/>
  <c r="E49" i="39"/>
  <c r="E45" i="39"/>
  <c r="E48" i="39"/>
  <c r="E44" i="39"/>
  <c r="E43" i="39"/>
  <c r="E47" i="39"/>
  <c r="E77" i="39"/>
  <c r="E76" i="39"/>
  <c r="E74" i="39"/>
  <c r="E72" i="39"/>
  <c r="E68" i="39"/>
  <c r="E67" i="39"/>
  <c r="E66" i="39"/>
  <c r="E60" i="39"/>
  <c r="E36" i="39"/>
  <c r="E71" i="39"/>
  <c r="E65" i="39"/>
  <c r="E54" i="39"/>
  <c r="E52" i="39"/>
  <c r="E51" i="39"/>
  <c r="E75" i="39"/>
  <c r="E73" i="39"/>
  <c r="E64" i="39"/>
  <c r="E62" i="39"/>
  <c r="E61" i="39"/>
  <c r="E59" i="39"/>
  <c r="E58" i="39"/>
  <c r="E57" i="39"/>
  <c r="E40" i="39"/>
  <c r="E78" i="39"/>
  <c r="E70" i="39"/>
  <c r="E69" i="39"/>
  <c r="E56" i="39"/>
  <c r="E55" i="39"/>
  <c r="E42" i="39"/>
  <c r="E41" i="39"/>
  <c r="E39" i="39"/>
  <c r="E38" i="39"/>
  <c r="E37" i="39"/>
  <c r="E18" i="39"/>
  <c r="E35" i="39"/>
  <c r="E34" i="39"/>
  <c r="E21" i="39"/>
  <c r="H41" i="49" l="1"/>
  <c r="H40" i="49"/>
  <c r="H39" i="49"/>
  <c r="H38" i="49"/>
  <c r="H37" i="49"/>
  <c r="H36" i="49"/>
  <c r="H32" i="49"/>
  <c r="H33" i="49"/>
  <c r="H31" i="49"/>
  <c r="H29" i="67"/>
  <c r="H30" i="67"/>
  <c r="H31" i="67"/>
  <c r="H32" i="67"/>
  <c r="H33" i="67"/>
  <c r="H28" i="67"/>
  <c r="H38" i="67" l="1"/>
  <c r="H46" i="49"/>
  <c r="B9" i="67"/>
  <c r="B8" i="67"/>
  <c r="B7" i="67"/>
  <c r="B6" i="67"/>
  <c r="B5" i="67"/>
  <c r="B4" i="67"/>
  <c r="A4" i="67"/>
  <c r="B3" i="67"/>
  <c r="A3" i="67"/>
  <c r="I22" i="43" l="1"/>
  <c r="I20" i="43"/>
  <c r="I21" i="43"/>
  <c r="I19" i="43"/>
  <c r="J22" i="43" l="1"/>
  <c r="J19" i="43"/>
  <c r="J20" i="43"/>
  <c r="J21" i="43"/>
  <c r="I29" i="43" l="1"/>
  <c r="I30" i="43"/>
  <c r="I31" i="43"/>
  <c r="I32" i="43"/>
  <c r="I33" i="43"/>
  <c r="I34" i="43"/>
  <c r="I35" i="43"/>
  <c r="I36" i="43"/>
  <c r="C3" i="39" l="1"/>
  <c r="C4" i="39"/>
  <c r="C5" i="39"/>
  <c r="C6" i="39"/>
  <c r="C7" i="39"/>
  <c r="C8" i="39"/>
  <c r="C9" i="39"/>
  <c r="D18" i="39"/>
  <c r="D19" i="39"/>
  <c r="D20" i="39"/>
  <c r="D21" i="39"/>
  <c r="D22" i="39"/>
  <c r="D25" i="39"/>
  <c r="D26" i="39"/>
  <c r="D28" i="39"/>
  <c r="D29" i="39"/>
  <c r="D30" i="39"/>
  <c r="D31" i="39"/>
  <c r="D32" i="39"/>
  <c r="D33" i="39"/>
  <c r="D34" i="39"/>
  <c r="C6" i="50"/>
  <c r="B6" i="49"/>
  <c r="B6" i="48"/>
  <c r="B6" i="46"/>
  <c r="D6" i="2"/>
  <c r="C7" i="44"/>
  <c r="C7" i="50"/>
  <c r="B9" i="64" l="1"/>
  <c r="B8" i="64"/>
  <c r="B6" i="64"/>
  <c r="B5" i="64"/>
  <c r="B4" i="64"/>
  <c r="A22" i="38" s="1"/>
  <c r="B3" i="64"/>
  <c r="C4" i="44" l="1"/>
  <c r="D9" i="2" l="1"/>
  <c r="D8" i="2"/>
  <c r="D7" i="2"/>
  <c r="D3" i="2"/>
  <c r="D5" i="2"/>
  <c r="B9" i="43"/>
  <c r="B8" i="43"/>
  <c r="B7" i="43"/>
  <c r="B5" i="43"/>
  <c r="C6" i="44" l="1"/>
  <c r="C5" i="44"/>
  <c r="C9" i="44"/>
  <c r="C8" i="44"/>
  <c r="C3" i="44"/>
  <c r="I1228" i="2" l="1"/>
  <c r="Q1218" i="2"/>
  <c r="Q1217" i="2"/>
  <c r="Q1215" i="2"/>
  <c r="Q1214" i="2"/>
  <c r="Q1213" i="2"/>
  <c r="Q1212" i="2"/>
  <c r="Q1211" i="2"/>
  <c r="R1210" i="2"/>
  <c r="Q1209" i="2"/>
  <c r="R1208" i="2"/>
  <c r="R1207" i="2"/>
  <c r="Q1206" i="2"/>
  <c r="P1205" i="2"/>
  <c r="Q1204" i="2"/>
  <c r="P1203" i="2"/>
  <c r="P1202" i="2"/>
  <c r="P1201" i="2"/>
  <c r="P1200" i="2"/>
  <c r="P1199" i="2"/>
  <c r="Q1198" i="2"/>
  <c r="Q1197" i="2"/>
  <c r="Q1196" i="2"/>
  <c r="Q1195" i="2"/>
  <c r="Q1194" i="2"/>
  <c r="Q1193" i="2"/>
  <c r="P1192" i="2"/>
  <c r="Q1191" i="2"/>
  <c r="Q1184" i="2"/>
  <c r="Q1183" i="2"/>
  <c r="P1182" i="2"/>
  <c r="Q1181" i="2"/>
  <c r="P1180" i="2"/>
  <c r="P1179" i="2"/>
  <c r="P1178" i="2"/>
  <c r="R1177" i="2"/>
  <c r="P1176" i="2"/>
  <c r="P1175" i="2"/>
  <c r="P1174" i="2"/>
  <c r="P1173" i="2"/>
  <c r="P1172" i="2"/>
  <c r="P1171" i="2"/>
  <c r="P1170" i="2"/>
  <c r="P1169" i="2"/>
  <c r="Q1168" i="2"/>
  <c r="P1167" i="2"/>
  <c r="Q1166" i="2"/>
  <c r="P1165" i="2"/>
  <c r="P1163" i="2"/>
  <c r="R1162" i="2"/>
  <c r="R1161" i="2"/>
  <c r="Q1160" i="2"/>
  <c r="Q1159" i="2"/>
  <c r="R1158" i="2"/>
  <c r="R1157" i="2"/>
  <c r="R1156" i="2"/>
  <c r="R1155" i="2"/>
  <c r="R1154" i="2"/>
  <c r="R1153" i="2"/>
  <c r="Q1152" i="2"/>
  <c r="P1151" i="2"/>
  <c r="P1150" i="2"/>
  <c r="Q1149" i="2"/>
  <c r="P1148" i="2"/>
  <c r="R1147" i="2"/>
  <c r="R1146" i="2"/>
  <c r="Q1146" i="2"/>
  <c r="R1145" i="2"/>
  <c r="Q1144" i="2"/>
  <c r="Q1143" i="2"/>
  <c r="Q1142" i="2"/>
  <c r="P1140" i="2"/>
  <c r="Q1139" i="2"/>
  <c r="R1138" i="2"/>
  <c r="Q1137" i="2"/>
  <c r="R1136" i="2"/>
  <c r="R1135" i="2"/>
  <c r="P1134" i="2"/>
  <c r="P1133" i="2"/>
  <c r="P1132" i="2"/>
  <c r="Q1131" i="2"/>
  <c r="Q1130" i="2"/>
  <c r="Q1129" i="2"/>
  <c r="P1128" i="2"/>
  <c r="P1127" i="2"/>
  <c r="P1126" i="2"/>
  <c r="P1125" i="2"/>
  <c r="P1124" i="2"/>
  <c r="Q1123" i="2"/>
  <c r="Q1122" i="2"/>
  <c r="Q1121" i="2"/>
  <c r="Q1120" i="2"/>
  <c r="Q1119" i="2"/>
  <c r="Q1118" i="2"/>
  <c r="R1117" i="2"/>
  <c r="R1116" i="2"/>
  <c r="P1114" i="2"/>
  <c r="P1113" i="2"/>
  <c r="P1112" i="2"/>
  <c r="Q1111" i="2"/>
  <c r="Q1110" i="2"/>
  <c r="Q1109" i="2"/>
  <c r="R1108" i="2"/>
  <c r="Q1107" i="2"/>
  <c r="Q1106" i="2"/>
  <c r="P1105" i="2"/>
  <c r="P1104" i="2"/>
  <c r="P1103" i="2"/>
  <c r="Q1102" i="2"/>
  <c r="P1101" i="2"/>
  <c r="Q1100" i="2"/>
  <c r="Q1099" i="2"/>
  <c r="R1098" i="2"/>
  <c r="R1097" i="2"/>
  <c r="Q1096" i="2"/>
  <c r="Q1095" i="2"/>
  <c r="P1094" i="2"/>
  <c r="Q1093" i="2"/>
  <c r="P1092" i="2"/>
  <c r="Q1091" i="2"/>
  <c r="Q1090" i="2"/>
  <c r="Q1089" i="2"/>
  <c r="P1088" i="2"/>
  <c r="P1087" i="2"/>
  <c r="P1086" i="2"/>
  <c r="P1085" i="2"/>
  <c r="Q1084" i="2"/>
  <c r="Q1083" i="2"/>
  <c r="Q1082" i="2"/>
  <c r="Q1081" i="2"/>
  <c r="P1080" i="2"/>
  <c r="P1079" i="2"/>
  <c r="P1078" i="2"/>
  <c r="Q1077" i="2"/>
  <c r="Q1076" i="2"/>
  <c r="Q1075" i="2"/>
  <c r="P1074" i="2"/>
  <c r="Q1073" i="2"/>
  <c r="P1071" i="2"/>
  <c r="P1070" i="2"/>
  <c r="P1069" i="2"/>
  <c r="Q1068" i="2"/>
  <c r="Q1067" i="2"/>
  <c r="Q1066" i="2"/>
  <c r="P1065" i="2"/>
  <c r="Q1064" i="2"/>
  <c r="Q1063" i="2"/>
  <c r="P1062" i="2"/>
  <c r="R1061" i="2"/>
  <c r="Q1060" i="2"/>
  <c r="R1059" i="2"/>
  <c r="R1058" i="2"/>
  <c r="Q1057" i="2"/>
  <c r="Q1056" i="2"/>
  <c r="P1055" i="2"/>
  <c r="P1054" i="2"/>
  <c r="Q1053" i="2"/>
  <c r="P1052" i="2"/>
  <c r="Q1051" i="2"/>
  <c r="Q1050" i="2"/>
  <c r="P1049" i="2"/>
  <c r="P1048" i="2"/>
  <c r="P1047" i="2"/>
  <c r="P1046" i="2"/>
  <c r="P1045" i="2"/>
  <c r="P1044" i="2"/>
  <c r="Q1043" i="2"/>
  <c r="Q1042" i="2"/>
  <c r="R1041" i="2"/>
  <c r="R1040" i="2"/>
  <c r="Q1039" i="2"/>
  <c r="Q1036" i="2"/>
  <c r="Q1034" i="2"/>
  <c r="I1032" i="2"/>
  <c r="Q1031" i="2"/>
  <c r="P1030" i="2"/>
  <c r="P1029" i="2"/>
  <c r="P1028" i="2"/>
  <c r="P1027" i="2"/>
  <c r="P1026" i="2"/>
  <c r="P1025" i="2"/>
  <c r="P1024" i="2"/>
  <c r="Q1023" i="2"/>
  <c r="Q1022" i="2"/>
  <c r="R1021" i="2"/>
  <c r="R1020" i="2"/>
  <c r="Q1019" i="2"/>
  <c r="P1018" i="2"/>
  <c r="P1017" i="2"/>
  <c r="P1016" i="2"/>
  <c r="P1015" i="2"/>
  <c r="P1014" i="2"/>
  <c r="P1013" i="2"/>
  <c r="Q1012" i="2"/>
  <c r="P1011" i="2"/>
  <c r="P1010" i="2"/>
  <c r="P1009" i="2"/>
  <c r="Q1008" i="2"/>
  <c r="Q1007" i="2"/>
  <c r="Q1006" i="2"/>
  <c r="Q1005" i="2"/>
  <c r="Q1004" i="2"/>
  <c r="O1003" i="2"/>
  <c r="P1001" i="2"/>
  <c r="Q996" i="2"/>
  <c r="Q995" i="2"/>
  <c r="O994" i="2"/>
  <c r="P993" i="2"/>
  <c r="Q992" i="2"/>
  <c r="R991" i="2"/>
  <c r="Q990" i="2"/>
  <c r="Q989" i="2"/>
  <c r="P988" i="2"/>
  <c r="Q987" i="2"/>
  <c r="R986" i="2"/>
  <c r="P985" i="2"/>
  <c r="P984" i="2"/>
  <c r="R983" i="2"/>
  <c r="P982" i="2"/>
  <c r="P981" i="2"/>
  <c r="R980" i="2"/>
  <c r="R979" i="2"/>
  <c r="P978" i="2"/>
  <c r="P977" i="2"/>
  <c r="P976" i="2"/>
  <c r="Q975" i="2"/>
  <c r="P974" i="2"/>
  <c r="Q973" i="2"/>
  <c r="P970" i="2"/>
  <c r="P969" i="2"/>
  <c r="P968" i="2"/>
  <c r="P967" i="2"/>
  <c r="R966" i="2"/>
  <c r="P965" i="2"/>
  <c r="R964" i="2"/>
  <c r="J964" i="2"/>
  <c r="Q961" i="2"/>
  <c r="Q960" i="2"/>
  <c r="P958" i="2"/>
  <c r="P957" i="2"/>
  <c r="P956" i="2"/>
  <c r="P954" i="2"/>
  <c r="R953" i="2"/>
  <c r="Q952" i="2"/>
  <c r="R949" i="2"/>
  <c r="R948" i="2"/>
  <c r="P944" i="2"/>
  <c r="P943" i="2"/>
  <c r="P942" i="2"/>
  <c r="P938" i="2"/>
  <c r="Q936" i="2"/>
  <c r="Q935" i="2"/>
  <c r="O930" i="2"/>
  <c r="I929" i="2"/>
  <c r="I928" i="2"/>
  <c r="O925" i="2"/>
  <c r="P924" i="2"/>
  <c r="P923" i="2"/>
  <c r="N923" i="2"/>
  <c r="P922" i="2"/>
  <c r="P921" i="2"/>
  <c r="N921" i="2"/>
  <c r="O920" i="2"/>
  <c r="N920" i="2"/>
  <c r="P919" i="2"/>
  <c r="N919" i="2"/>
  <c r="P918" i="2"/>
  <c r="P917" i="2"/>
  <c r="N917" i="2"/>
  <c r="O916" i="2"/>
  <c r="O915" i="2"/>
  <c r="L915" i="2"/>
  <c r="O913" i="2"/>
  <c r="Q912" i="2"/>
  <c r="P911" i="2"/>
  <c r="P910" i="2"/>
  <c r="P909" i="2"/>
  <c r="Q908" i="2"/>
  <c r="J908" i="2"/>
  <c r="Q907" i="2"/>
  <c r="J907" i="2"/>
  <c r="O906" i="2"/>
  <c r="L906" i="2"/>
  <c r="P905" i="2"/>
  <c r="N905" i="2"/>
  <c r="O904" i="2"/>
  <c r="O903" i="2"/>
  <c r="L903" i="2"/>
  <c r="O902" i="2"/>
  <c r="L902" i="2"/>
  <c r="O901" i="2"/>
  <c r="L901" i="2"/>
  <c r="P900" i="2"/>
  <c r="L900" i="2"/>
  <c r="P899" i="2"/>
  <c r="N899" i="2"/>
  <c r="O898" i="2"/>
  <c r="N898" i="2"/>
  <c r="P897" i="2"/>
  <c r="N897" i="2"/>
  <c r="O896" i="2"/>
  <c r="N896" i="2"/>
  <c r="O895" i="2"/>
  <c r="L895" i="2"/>
  <c r="P894" i="2"/>
  <c r="N894" i="2"/>
  <c r="N889" i="2"/>
  <c r="I889" i="2"/>
  <c r="M888" i="2"/>
  <c r="I888" i="2"/>
  <c r="I887" i="2"/>
  <c r="I886" i="2"/>
  <c r="I885" i="2"/>
  <c r="P883" i="2"/>
  <c r="N883" i="2"/>
  <c r="P882" i="2"/>
  <c r="P879" i="2"/>
  <c r="P878" i="2"/>
  <c r="P877" i="2"/>
  <c r="N877" i="2"/>
  <c r="P876" i="2"/>
  <c r="N876" i="2"/>
  <c r="P875" i="2"/>
  <c r="N875" i="2"/>
  <c r="P874" i="2"/>
  <c r="N874" i="2"/>
  <c r="P873" i="2"/>
  <c r="N873" i="2"/>
  <c r="P872" i="2"/>
  <c r="N871" i="2"/>
  <c r="I871" i="2"/>
  <c r="N870" i="2"/>
  <c r="Q866" i="2"/>
  <c r="Q865" i="2"/>
  <c r="P863" i="2"/>
  <c r="P862" i="2"/>
  <c r="P861" i="2"/>
  <c r="P859" i="2"/>
  <c r="R858" i="2"/>
  <c r="Q857" i="2"/>
  <c r="R854" i="2"/>
  <c r="R853" i="2"/>
  <c r="P849" i="2"/>
  <c r="P848" i="2"/>
  <c r="P847" i="2"/>
  <c r="P843" i="2"/>
  <c r="Q841" i="2"/>
  <c r="Q840" i="2"/>
  <c r="O835" i="2"/>
  <c r="P828" i="2"/>
  <c r="P827" i="2"/>
  <c r="Q826" i="2"/>
  <c r="R825" i="2"/>
  <c r="R824" i="2"/>
  <c r="R823" i="2"/>
  <c r="Q822" i="2"/>
  <c r="Q821" i="2"/>
  <c r="Q820" i="2"/>
  <c r="Q819" i="2"/>
  <c r="P818" i="2"/>
  <c r="P817" i="2"/>
  <c r="P816" i="2"/>
  <c r="Q815" i="2"/>
  <c r="Q814" i="2"/>
  <c r="Q813" i="2"/>
  <c r="Q812" i="2"/>
  <c r="R810" i="2"/>
  <c r="R809" i="2"/>
  <c r="Q808" i="2"/>
  <c r="Q807" i="2"/>
  <c r="Q806" i="2"/>
  <c r="Q805" i="2"/>
  <c r="Q804" i="2"/>
  <c r="O799" i="2"/>
  <c r="O798" i="2"/>
  <c r="P797" i="2"/>
  <c r="P796" i="2"/>
  <c r="Q795" i="2"/>
  <c r="P794" i="2"/>
  <c r="P793" i="2"/>
  <c r="P792" i="2"/>
  <c r="Q791" i="2"/>
  <c r="R790" i="2"/>
  <c r="R789" i="2"/>
  <c r="Q788" i="2"/>
  <c r="P787" i="2"/>
  <c r="P786" i="2"/>
  <c r="Q785" i="2"/>
  <c r="P784" i="2"/>
  <c r="P783" i="2"/>
  <c r="Q782" i="2"/>
  <c r="N764" i="2"/>
  <c r="I764" i="2"/>
  <c r="N762" i="2"/>
  <c r="I762" i="2"/>
  <c r="L761" i="2"/>
  <c r="L760" i="2"/>
  <c r="P757" i="2"/>
  <c r="L757" i="2"/>
  <c r="L756" i="2"/>
  <c r="I756" i="2"/>
  <c r="P752" i="2"/>
  <c r="L751" i="2"/>
  <c r="I751" i="2"/>
  <c r="L748" i="2"/>
  <c r="I748" i="2"/>
  <c r="N747" i="2"/>
  <c r="I747" i="2"/>
  <c r="N746" i="2"/>
  <c r="I746" i="2"/>
  <c r="L745" i="2"/>
  <c r="I745" i="2"/>
  <c r="N744" i="2"/>
  <c r="I744" i="2"/>
  <c r="L743" i="2"/>
  <c r="I743" i="2"/>
  <c r="L741" i="2"/>
  <c r="I741" i="2"/>
  <c r="L740" i="2"/>
  <c r="I740" i="2"/>
  <c r="N739" i="2"/>
  <c r="I739" i="2"/>
  <c r="N738" i="2"/>
  <c r="I738" i="2"/>
  <c r="L737" i="2"/>
  <c r="I737" i="2"/>
  <c r="L736" i="2"/>
  <c r="I736" i="2"/>
  <c r="N735" i="2"/>
  <c r="I735" i="2"/>
  <c r="N734" i="2"/>
  <c r="I734" i="2"/>
  <c r="N733" i="2"/>
  <c r="I733" i="2"/>
  <c r="N732" i="2"/>
  <c r="I732" i="2"/>
  <c r="L731" i="2"/>
  <c r="I731" i="2"/>
  <c r="L730" i="2"/>
  <c r="I730" i="2"/>
  <c r="N729" i="2"/>
  <c r="I729" i="2"/>
  <c r="N728" i="2"/>
  <c r="I728" i="2"/>
  <c r="L727" i="2"/>
  <c r="I727" i="2"/>
  <c r="L725" i="2"/>
  <c r="I725" i="2"/>
  <c r="L724" i="2"/>
  <c r="I724" i="2"/>
  <c r="M723" i="2"/>
  <c r="L723" i="2"/>
  <c r="I723" i="2"/>
  <c r="L721" i="2"/>
  <c r="I721" i="2"/>
  <c r="L720" i="2"/>
  <c r="I720" i="2"/>
  <c r="I719" i="2"/>
  <c r="P718" i="2"/>
  <c r="L718" i="2"/>
  <c r="I718" i="2"/>
  <c r="L716" i="2"/>
  <c r="I716" i="2"/>
  <c r="Q713" i="2"/>
  <c r="N713" i="2"/>
  <c r="M713" i="2"/>
  <c r="I713" i="2"/>
  <c r="L709" i="2"/>
  <c r="I709" i="2"/>
  <c r="L708" i="2"/>
  <c r="I708" i="2"/>
  <c r="L705" i="2"/>
  <c r="I705" i="2"/>
  <c r="L698" i="2"/>
  <c r="I698" i="2"/>
  <c r="L697" i="2"/>
  <c r="L696" i="2"/>
  <c r="L695" i="2"/>
  <c r="L693" i="2"/>
  <c r="I693" i="2"/>
  <c r="L692" i="2"/>
  <c r="I692" i="2"/>
  <c r="P689" i="2"/>
  <c r="L689" i="2"/>
  <c r="L688" i="2"/>
  <c r="I688" i="2"/>
  <c r="L687" i="2"/>
  <c r="I687" i="2"/>
  <c r="L686" i="2"/>
  <c r="I686" i="2"/>
  <c r="N685" i="2"/>
  <c r="I685" i="2"/>
  <c r="L684" i="2"/>
  <c r="I684" i="2"/>
  <c r="L683" i="2"/>
  <c r="I683" i="2"/>
  <c r="L681" i="2"/>
  <c r="I681" i="2"/>
  <c r="L680" i="2"/>
  <c r="I680" i="2"/>
  <c r="L678" i="2"/>
  <c r="I678" i="2"/>
  <c r="L677" i="2"/>
  <c r="I677" i="2"/>
  <c r="L676" i="2"/>
  <c r="I676" i="2"/>
  <c r="L673" i="2"/>
  <c r="L671" i="2"/>
  <c r="I671" i="2"/>
  <c r="N670" i="2"/>
  <c r="I670" i="2"/>
  <c r="L669" i="2"/>
  <c r="I669" i="2"/>
  <c r="N668" i="2"/>
  <c r="I668" i="2"/>
  <c r="N667" i="2"/>
  <c r="I667" i="2"/>
  <c r="N666" i="2"/>
  <c r="I666" i="2"/>
  <c r="N665" i="2"/>
  <c r="I665" i="2"/>
  <c r="N664" i="2"/>
  <c r="I664" i="2"/>
  <c r="L663" i="2"/>
  <c r="I663" i="2"/>
  <c r="L662" i="2"/>
  <c r="I662" i="2"/>
  <c r="L661" i="2"/>
  <c r="I661" i="2"/>
  <c r="L660" i="2"/>
  <c r="I660" i="2"/>
  <c r="J659" i="2"/>
  <c r="I659" i="2"/>
  <c r="J658" i="2"/>
  <c r="I658" i="2"/>
  <c r="J657" i="2"/>
  <c r="I657" i="2"/>
  <c r="J656" i="2"/>
  <c r="I656" i="2"/>
  <c r="J655" i="2"/>
  <c r="I655" i="2"/>
  <c r="J654" i="2"/>
  <c r="I654" i="2"/>
  <c r="J653" i="2"/>
  <c r="I653" i="2"/>
  <c r="J652" i="2"/>
  <c r="I652" i="2"/>
  <c r="J651" i="2"/>
  <c r="I651" i="2"/>
  <c r="L650" i="2"/>
  <c r="I650" i="2"/>
  <c r="L649" i="2"/>
  <c r="I649" i="2"/>
  <c r="L648" i="2"/>
  <c r="I648" i="2"/>
  <c r="N647" i="2"/>
  <c r="I647" i="2"/>
  <c r="L646" i="2"/>
  <c r="I646" i="2"/>
  <c r="L645" i="2"/>
  <c r="I645" i="2"/>
  <c r="L644" i="2"/>
  <c r="I644" i="2"/>
  <c r="L643" i="2"/>
  <c r="I643" i="2"/>
  <c r="L642" i="2"/>
  <c r="I642" i="2"/>
  <c r="L640" i="2"/>
  <c r="I640" i="2"/>
  <c r="L639" i="2"/>
  <c r="I639" i="2"/>
  <c r="N635" i="2"/>
  <c r="M635" i="2"/>
  <c r="I635" i="2"/>
  <c r="N633" i="2"/>
  <c r="M633" i="2"/>
  <c r="I633" i="2"/>
  <c r="Q632" i="2"/>
  <c r="N632" i="2"/>
  <c r="M632" i="2"/>
  <c r="I630" i="2"/>
  <c r="I629" i="2"/>
  <c r="N627" i="2"/>
  <c r="M627" i="2"/>
  <c r="I627" i="2"/>
  <c r="P625" i="2"/>
  <c r="N625" i="2"/>
  <c r="M625" i="2"/>
  <c r="N624" i="2"/>
  <c r="M624" i="2"/>
  <c r="I624" i="2"/>
  <c r="I612" i="2"/>
  <c r="I605" i="2"/>
  <c r="I604" i="2"/>
  <c r="I603" i="2"/>
  <c r="I602" i="2"/>
  <c r="I601" i="2"/>
  <c r="I600" i="2"/>
  <c r="L593" i="2"/>
  <c r="I592" i="2"/>
  <c r="I587" i="2"/>
  <c r="I583" i="2"/>
  <c r="I579" i="2"/>
  <c r="I578" i="2"/>
  <c r="I545" i="2"/>
  <c r="I544" i="2"/>
  <c r="I543" i="2"/>
  <c r="I542" i="2"/>
  <c r="I541" i="2"/>
  <c r="I539" i="2"/>
  <c r="I538" i="2"/>
  <c r="L537" i="2"/>
  <c r="L536" i="2"/>
  <c r="L535" i="2"/>
  <c r="I534" i="2"/>
  <c r="I533" i="2"/>
  <c r="I532" i="2"/>
  <c r="I531" i="2"/>
  <c r="I530" i="2"/>
  <c r="I527" i="2"/>
  <c r="M525" i="2"/>
  <c r="L525" i="2"/>
  <c r="I525" i="2"/>
  <c r="L521" i="2"/>
  <c r="L520" i="2"/>
  <c r="I520" i="2"/>
  <c r="I515" i="2"/>
  <c r="L511" i="2"/>
  <c r="I505" i="2"/>
  <c r="I504" i="2"/>
  <c r="I500" i="2"/>
  <c r="I497" i="2"/>
  <c r="I493" i="2"/>
  <c r="I489" i="2"/>
  <c r="I488" i="2"/>
  <c r="I487" i="2"/>
  <c r="I486" i="2"/>
  <c r="I485" i="2"/>
  <c r="I483" i="2"/>
  <c r="I482" i="2"/>
  <c r="I481" i="2"/>
  <c r="I480" i="2"/>
  <c r="I479" i="2"/>
  <c r="I478" i="2"/>
  <c r="I477" i="2"/>
  <c r="I476" i="2"/>
  <c r="I475" i="2"/>
  <c r="I473" i="2"/>
  <c r="I472" i="2"/>
  <c r="I471" i="2"/>
  <c r="I470" i="2"/>
  <c r="I469" i="2"/>
  <c r="I468" i="2"/>
  <c r="I467" i="2"/>
  <c r="I466" i="2"/>
  <c r="I465" i="2"/>
  <c r="I464" i="2"/>
  <c r="I462" i="2"/>
  <c r="I460" i="2"/>
  <c r="I459" i="2"/>
  <c r="I458" i="2"/>
  <c r="I454" i="2"/>
  <c r="I451" i="2"/>
  <c r="I450" i="2"/>
  <c r="I449" i="2"/>
  <c r="I448" i="2"/>
  <c r="I447" i="2"/>
  <c r="L445" i="2"/>
  <c r="I444" i="2"/>
  <c r="I443" i="2"/>
  <c r="I442" i="2"/>
  <c r="I441" i="2"/>
  <c r="I440" i="2"/>
  <c r="I439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08" i="2"/>
  <c r="I407" i="2"/>
  <c r="I404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83" i="2"/>
  <c r="K380" i="2"/>
  <c r="I380" i="2"/>
  <c r="K378" i="2"/>
  <c r="K377" i="2"/>
  <c r="K375" i="2"/>
  <c r="Q374" i="2"/>
  <c r="K374" i="2"/>
  <c r="I374" i="2"/>
  <c r="K373" i="2"/>
  <c r="N346" i="2"/>
  <c r="I346" i="2"/>
  <c r="N344" i="2"/>
  <c r="I344" i="2"/>
  <c r="I332" i="2"/>
  <c r="N331" i="2"/>
  <c r="I331" i="2"/>
  <c r="L330" i="2"/>
  <c r="I330" i="2"/>
  <c r="N329" i="2"/>
  <c r="I329" i="2"/>
  <c r="N328" i="2"/>
  <c r="I328" i="2"/>
  <c r="N327" i="2"/>
  <c r="I327" i="2"/>
  <c r="N326" i="2"/>
  <c r="I326" i="2"/>
  <c r="L325" i="2"/>
  <c r="I325" i="2"/>
  <c r="N323" i="2"/>
  <c r="I323" i="2"/>
  <c r="L321" i="2"/>
  <c r="I321" i="2"/>
  <c r="L320" i="2"/>
  <c r="I320" i="2"/>
  <c r="L319" i="2"/>
  <c r="I319" i="2"/>
  <c r="L318" i="2"/>
  <c r="I318" i="2"/>
  <c r="N317" i="2"/>
  <c r="I317" i="2"/>
  <c r="I316" i="2"/>
  <c r="L315" i="2"/>
  <c r="I315" i="2"/>
  <c r="Q311" i="2"/>
  <c r="L311" i="2"/>
  <c r="I311" i="2"/>
  <c r="Q310" i="2"/>
  <c r="L310" i="2"/>
  <c r="I310" i="2"/>
  <c r="Q305" i="2"/>
  <c r="N305" i="2"/>
  <c r="M305" i="2"/>
  <c r="J305" i="2"/>
  <c r="I305" i="2"/>
  <c r="N301" i="2"/>
  <c r="Q301" i="2" s="1"/>
  <c r="I301" i="2"/>
  <c r="N299" i="2"/>
  <c r="L298" i="2"/>
  <c r="I298" i="2"/>
  <c r="L297" i="2"/>
  <c r="I297" i="2"/>
  <c r="L291" i="2"/>
  <c r="I291" i="2"/>
  <c r="L283" i="2"/>
  <c r="I283" i="2"/>
  <c r="N282" i="2"/>
  <c r="I282" i="2"/>
  <c r="N281" i="2"/>
  <c r="L280" i="2"/>
  <c r="I280" i="2"/>
  <c r="L278" i="2"/>
  <c r="I278" i="2"/>
  <c r="N275" i="2"/>
  <c r="I275" i="2"/>
  <c r="N274" i="2"/>
  <c r="I274" i="2"/>
  <c r="L273" i="2"/>
  <c r="I273" i="2"/>
  <c r="L255" i="2"/>
  <c r="I255" i="2"/>
  <c r="J254" i="2"/>
  <c r="I254" i="2"/>
  <c r="J253" i="2"/>
  <c r="I253" i="2"/>
  <c r="J252" i="2"/>
  <c r="I252" i="2"/>
  <c r="J251" i="2"/>
  <c r="I251" i="2"/>
  <c r="J250" i="2"/>
  <c r="I250" i="2"/>
  <c r="J249" i="2"/>
  <c r="I249" i="2"/>
  <c r="J248" i="2"/>
  <c r="I248" i="2"/>
  <c r="J247" i="2"/>
  <c r="I247" i="2"/>
  <c r="L231" i="2"/>
  <c r="I231" i="2"/>
  <c r="N230" i="2"/>
  <c r="I230" i="2"/>
  <c r="N229" i="2"/>
  <c r="I229" i="2"/>
  <c r="L224" i="2"/>
  <c r="I224" i="2"/>
  <c r="N221" i="2"/>
  <c r="N219" i="2"/>
  <c r="I219" i="2"/>
  <c r="N215" i="2"/>
  <c r="I215" i="2"/>
  <c r="N214" i="2"/>
  <c r="I214" i="2"/>
  <c r="N209" i="2"/>
  <c r="I209" i="2"/>
  <c r="I205" i="2"/>
  <c r="I203" i="2"/>
  <c r="N201" i="2"/>
  <c r="M201" i="2"/>
  <c r="M192" i="2"/>
  <c r="J192" i="2"/>
  <c r="K24" i="2"/>
  <c r="Q22" i="2"/>
  <c r="K22" i="2"/>
  <c r="I22" i="2"/>
  <c r="K21" i="2"/>
  <c r="I21" i="2"/>
  <c r="D14" i="39" l="1"/>
  <c r="J201" i="2"/>
  <c r="D24" i="39"/>
  <c r="D27" i="39"/>
  <c r="D17" i="39"/>
  <c r="P639" i="2"/>
  <c r="D23" i="39"/>
  <c r="D35" i="39"/>
  <c r="D16" i="39"/>
  <c r="D15" i="39"/>
  <c r="P654" i="2"/>
  <c r="P643" i="2"/>
  <c r="P676" i="2"/>
  <c r="P684" i="2"/>
  <c r="P692" i="2"/>
  <c r="P727" i="2"/>
  <c r="Q733" i="2"/>
  <c r="Q739" i="2"/>
  <c r="Q746" i="2"/>
  <c r="Q255" i="2"/>
  <c r="P661" i="2"/>
  <c r="Q667" i="2"/>
  <c r="Q660" i="2"/>
  <c r="P677" i="2"/>
  <c r="P685" i="2"/>
  <c r="P693" i="2"/>
  <c r="Q728" i="2"/>
  <c r="Q734" i="2"/>
  <c r="P740" i="2"/>
  <c r="Q747" i="2"/>
  <c r="R249" i="2"/>
  <c r="Q321" i="2"/>
  <c r="Q666" i="2"/>
  <c r="Q317" i="2"/>
  <c r="P650" i="2"/>
  <c r="P656" i="2"/>
  <c r="P662" i="2"/>
  <c r="P668" i="2"/>
  <c r="Q762" i="2"/>
  <c r="P315" i="2"/>
  <c r="P330" i="2"/>
  <c r="Q729" i="2"/>
  <c r="Q735" i="2"/>
  <c r="P741" i="2"/>
  <c r="P651" i="2"/>
  <c r="Q329" i="2"/>
  <c r="Q323" i="2"/>
  <c r="Q230" i="2"/>
  <c r="Q275" i="2"/>
  <c r="Q215" i="2"/>
  <c r="P297" i="2"/>
  <c r="P344" i="2"/>
  <c r="P680" i="2"/>
  <c r="P687" i="2"/>
  <c r="P730" i="2"/>
  <c r="Q736" i="2"/>
  <c r="P743" i="2"/>
  <c r="R250" i="2"/>
  <c r="Q331" i="2"/>
  <c r="Q644" i="2"/>
  <c r="Q764" i="2"/>
  <c r="R247" i="2"/>
  <c r="P278" i="2"/>
  <c r="P319" i="2"/>
  <c r="Q327" i="2"/>
  <c r="P646" i="2"/>
  <c r="P652" i="2"/>
  <c r="P658" i="2"/>
  <c r="Q664" i="2"/>
  <c r="P716" i="2"/>
  <c r="Q633" i="2"/>
  <c r="P273" i="2"/>
  <c r="P649" i="2"/>
  <c r="Q635" i="2"/>
  <c r="Q274" i="2"/>
  <c r="Q325" i="2"/>
  <c r="P291" i="2"/>
  <c r="P678" i="2"/>
  <c r="Q326" i="2"/>
  <c r="Q645" i="2"/>
  <c r="P298" i="2"/>
  <c r="P346" i="2"/>
  <c r="Q624" i="2"/>
  <c r="P640" i="2"/>
  <c r="P681" i="2"/>
  <c r="P724" i="2"/>
  <c r="P731" i="2"/>
  <c r="P737" i="2"/>
  <c r="Q744" i="2"/>
  <c r="P648" i="2"/>
  <c r="P686" i="2"/>
  <c r="Q231" i="2"/>
  <c r="Q318" i="2"/>
  <c r="Q627" i="2"/>
  <c r="P657" i="2"/>
  <c r="Q320" i="2"/>
  <c r="P647" i="2"/>
  <c r="P653" i="2"/>
  <c r="P659" i="2"/>
  <c r="Q665" i="2"/>
  <c r="P671" i="2"/>
  <c r="P756" i="2"/>
  <c r="Q229" i="2"/>
  <c r="P655" i="2"/>
  <c r="P663" i="2"/>
  <c r="R248" i="2"/>
  <c r="P280" i="2"/>
  <c r="P642" i="2"/>
  <c r="P683" i="2"/>
  <c r="P725" i="2"/>
  <c r="Q732" i="2"/>
  <c r="Q738" i="2"/>
  <c r="Q745" i="2"/>
  <c r="P889" i="2"/>
  <c r="D85" i="39" l="1"/>
  <c r="A18" i="38"/>
  <c r="O39" i="46"/>
  <c r="K35" i="46"/>
  <c r="J35" i="46"/>
  <c r="I35" i="46"/>
  <c r="H35" i="46"/>
  <c r="E35" i="46"/>
  <c r="K34" i="46"/>
  <c r="J34" i="46"/>
  <c r="I34" i="46"/>
  <c r="H34" i="46"/>
  <c r="E34" i="46"/>
  <c r="K33" i="46"/>
  <c r="J33" i="46"/>
  <c r="I33" i="46"/>
  <c r="H33" i="46"/>
  <c r="E33" i="46"/>
  <c r="K32" i="46"/>
  <c r="J32" i="46"/>
  <c r="I32" i="46"/>
  <c r="H32" i="46"/>
  <c r="E32" i="46"/>
  <c r="K31" i="46"/>
  <c r="J31" i="46"/>
  <c r="I31" i="46"/>
  <c r="H31" i="46"/>
  <c r="E31" i="46"/>
  <c r="K30" i="46"/>
  <c r="J30" i="46"/>
  <c r="I30" i="46"/>
  <c r="H30" i="46"/>
  <c r="E30" i="46"/>
  <c r="K29" i="46"/>
  <c r="J29" i="46"/>
  <c r="I29" i="46"/>
  <c r="H29" i="46"/>
  <c r="E29" i="46"/>
  <c r="K28" i="46"/>
  <c r="J28" i="46"/>
  <c r="I28" i="46"/>
  <c r="H28" i="46"/>
  <c r="E28" i="46"/>
  <c r="K27" i="46"/>
  <c r="J27" i="46"/>
  <c r="I27" i="46"/>
  <c r="H27" i="46"/>
  <c r="E27" i="46"/>
  <c r="K26" i="46"/>
  <c r="J26" i="46"/>
  <c r="I26" i="46"/>
  <c r="H26" i="46"/>
  <c r="E26" i="46"/>
  <c r="K25" i="46"/>
  <c r="J25" i="46"/>
  <c r="I25" i="46"/>
  <c r="H25" i="46"/>
  <c r="E25" i="46"/>
  <c r="K24" i="46"/>
  <c r="J24" i="46"/>
  <c r="I24" i="46"/>
  <c r="H24" i="46"/>
  <c r="E24" i="46"/>
  <c r="K23" i="46"/>
  <c r="J23" i="46"/>
  <c r="I23" i="46"/>
  <c r="H23" i="46"/>
  <c r="E23" i="46"/>
  <c r="K22" i="46"/>
  <c r="J22" i="46"/>
  <c r="I22" i="46"/>
  <c r="H22" i="46"/>
  <c r="E22" i="46"/>
  <c r="K21" i="46"/>
  <c r="J21" i="46"/>
  <c r="I21" i="46"/>
  <c r="H21" i="46"/>
  <c r="E21" i="46"/>
  <c r="K20" i="46"/>
  <c r="J20" i="46"/>
  <c r="I20" i="46"/>
  <c r="H20" i="46"/>
  <c r="E20" i="46"/>
  <c r="K19" i="46"/>
  <c r="J19" i="46"/>
  <c r="I19" i="46"/>
  <c r="H19" i="46"/>
  <c r="E19" i="46"/>
  <c r="K18" i="46"/>
  <c r="J18" i="46"/>
  <c r="I18" i="46"/>
  <c r="H18" i="46"/>
  <c r="E18" i="46"/>
  <c r="K17" i="46"/>
  <c r="J17" i="46"/>
  <c r="I17" i="46"/>
  <c r="H17" i="46"/>
  <c r="E17" i="46"/>
  <c r="K16" i="46"/>
  <c r="J16" i="46"/>
  <c r="I16" i="46"/>
  <c r="H16" i="46"/>
  <c r="E16" i="46"/>
  <c r="K15" i="46"/>
  <c r="J15" i="46"/>
  <c r="I15" i="46"/>
  <c r="E15" i="46"/>
  <c r="H15" i="46" s="1"/>
  <c r="M21" i="46" l="1"/>
  <c r="P21" i="46" s="1"/>
  <c r="M25" i="46"/>
  <c r="P25" i="46" s="1"/>
  <c r="M28" i="46"/>
  <c r="P28" i="46" s="1"/>
  <c r="M31" i="46"/>
  <c r="P31" i="46" s="1"/>
  <c r="M24" i="46"/>
  <c r="P24" i="46" s="1"/>
  <c r="M33" i="46"/>
  <c r="P33" i="46" s="1"/>
  <c r="M20" i="46"/>
  <c r="P20" i="46" s="1"/>
  <c r="M26" i="46"/>
  <c r="P26" i="46" s="1"/>
  <c r="M16" i="46"/>
  <c r="P16" i="46" s="1"/>
  <c r="M18" i="46"/>
  <c r="P18" i="46" s="1"/>
  <c r="M15" i="46"/>
  <c r="P15" i="46" s="1"/>
  <c r="M29" i="46"/>
  <c r="P29" i="46" s="1"/>
  <c r="M22" i="46"/>
  <c r="P22" i="46" s="1"/>
  <c r="M34" i="46"/>
  <c r="P34" i="46" s="1"/>
  <c r="M19" i="46"/>
  <c r="P19" i="46" s="1"/>
  <c r="M27" i="46"/>
  <c r="P27" i="46" s="1"/>
  <c r="M23" i="46"/>
  <c r="P23" i="46" s="1"/>
  <c r="M30" i="46"/>
  <c r="P30" i="46" s="1"/>
  <c r="M17" i="46"/>
  <c r="P17" i="46" s="1"/>
  <c r="M32" i="46"/>
  <c r="P32" i="46" s="1"/>
  <c r="M35" i="46"/>
  <c r="P35" i="46" s="1"/>
  <c r="B9" i="49" l="1"/>
  <c r="B8" i="49"/>
  <c r="B7" i="49"/>
  <c r="B5" i="49"/>
  <c r="A4" i="49"/>
  <c r="B3" i="49"/>
  <c r="A3" i="49"/>
  <c r="B9" i="46"/>
  <c r="B8" i="46"/>
  <c r="B7" i="46"/>
  <c r="C9" i="50"/>
  <c r="B9" i="48"/>
  <c r="B8" i="48"/>
  <c r="B7" i="48"/>
  <c r="C5" i="50" l="1"/>
  <c r="C8" i="50"/>
  <c r="C3" i="50"/>
  <c r="C4" i="50"/>
  <c r="A28" i="38" s="1"/>
  <c r="B3" i="48" l="1"/>
  <c r="B3" i="46" s="1"/>
  <c r="B4" i="48"/>
  <c r="B4" i="46"/>
  <c r="A26" i="38" s="1"/>
  <c r="A6" i="46" l="1"/>
  <c r="A7" i="46"/>
  <c r="A8" i="46"/>
  <c r="A9" i="46"/>
  <c r="A5" i="46"/>
  <c r="B5" i="46"/>
  <c r="B4" i="49"/>
  <c r="K37" i="46"/>
  <c r="J37" i="46"/>
  <c r="I37" i="46"/>
  <c r="E37" i="46"/>
  <c r="H37" i="46"/>
  <c r="K36" i="46"/>
  <c r="J36" i="46"/>
  <c r="I36" i="46"/>
  <c r="E36" i="46"/>
  <c r="H36" i="46"/>
  <c r="K14" i="46"/>
  <c r="J14" i="46"/>
  <c r="I14" i="46"/>
  <c r="E14" i="46"/>
  <c r="H14" i="46" s="1"/>
  <c r="B4" i="38"/>
  <c r="I24" i="43"/>
  <c r="I25" i="43"/>
  <c r="J25" i="43" s="1"/>
  <c r="I26" i="43"/>
  <c r="I27" i="43"/>
  <c r="J27" i="43" s="1"/>
  <c r="I28" i="43"/>
  <c r="J28" i="43" s="1"/>
  <c r="J29" i="43"/>
  <c r="J30" i="43"/>
  <c r="J31" i="43"/>
  <c r="J32" i="43"/>
  <c r="J33" i="43"/>
  <c r="J34" i="43"/>
  <c r="J36" i="43"/>
  <c r="I23" i="43"/>
  <c r="J23" i="43" s="1"/>
  <c r="A8" i="48" l="1"/>
  <c r="A8" i="67" s="1"/>
  <c r="A8" i="77"/>
  <c r="B5" i="48"/>
  <c r="B5" i="77"/>
  <c r="A9" i="48"/>
  <c r="A9" i="67" s="1"/>
  <c r="A9" i="77"/>
  <c r="A7" i="48"/>
  <c r="A7" i="67" s="1"/>
  <c r="A7" i="77"/>
  <c r="A5" i="48"/>
  <c r="A5" i="67" s="1"/>
  <c r="A5" i="77"/>
  <c r="A6" i="48"/>
  <c r="A6" i="67" s="1"/>
  <c r="A6" i="77"/>
  <c r="M37" i="46"/>
  <c r="P37" i="46" s="1"/>
  <c r="J35" i="43"/>
  <c r="J24" i="43"/>
  <c r="J26" i="43"/>
  <c r="M14" i="46"/>
  <c r="P14" i="46" s="1"/>
  <c r="M36" i="46"/>
  <c r="P36" i="46" s="1"/>
  <c r="A9" i="49"/>
  <c r="A5" i="49"/>
  <c r="A7" i="49"/>
  <c r="A6" i="49" l="1"/>
  <c r="A8" i="49"/>
  <c r="P39" i="46"/>
  <c r="J82" i="39" l="1"/>
  <c r="O82" i="39" s="1"/>
  <c r="J81" i="39"/>
  <c r="O81" i="39" s="1"/>
  <c r="J80" i="39"/>
  <c r="O80" i="39" s="1"/>
  <c r="J53" i="39"/>
  <c r="O53" i="39" s="1"/>
  <c r="J79" i="39"/>
  <c r="O79" i="39" s="1"/>
  <c r="J63" i="39"/>
  <c r="O63" i="39" s="1"/>
  <c r="J43" i="39"/>
  <c r="O43" i="39" s="1"/>
  <c r="J44" i="39"/>
  <c r="O44" i="39" s="1"/>
  <c r="J47" i="39"/>
  <c r="O47" i="39" s="1"/>
  <c r="J45" i="39"/>
  <c r="O45" i="39" s="1"/>
  <c r="J49" i="39"/>
  <c r="O49" i="39" s="1"/>
  <c r="J50" i="39"/>
  <c r="O50" i="39" s="1"/>
  <c r="J48" i="39"/>
  <c r="O48" i="39" s="1"/>
  <c r="J46" i="39"/>
  <c r="O46" i="39" s="1"/>
  <c r="O83" i="39"/>
  <c r="J78" i="39"/>
  <c r="O78" i="39" s="1"/>
  <c r="J77" i="39"/>
  <c r="O77" i="39" s="1"/>
  <c r="J76" i="39"/>
  <c r="O76" i="39" s="1"/>
  <c r="J75" i="39"/>
  <c r="O75" i="39" s="1"/>
  <c r="J74" i="39"/>
  <c r="O74" i="39" s="1"/>
  <c r="J73" i="39"/>
  <c r="O73" i="39" s="1"/>
  <c r="J72" i="39"/>
  <c r="O72" i="39" s="1"/>
  <c r="J71" i="39"/>
  <c r="O71" i="39" s="1"/>
  <c r="J70" i="39"/>
  <c r="O70" i="39" s="1"/>
  <c r="J69" i="39"/>
  <c r="O69" i="39" s="1"/>
  <c r="J65" i="39"/>
  <c r="O65" i="39" s="1"/>
  <c r="J64" i="39"/>
  <c r="O64" i="39" s="1"/>
  <c r="J62" i="39"/>
  <c r="O62" i="39" s="1"/>
  <c r="J61" i="39"/>
  <c r="O61" i="39" s="1"/>
  <c r="J60" i="39"/>
  <c r="O60" i="39" s="1"/>
  <c r="J59" i="39"/>
  <c r="O59" i="39" s="1"/>
  <c r="J58" i="39"/>
  <c r="O58" i="39" s="1"/>
  <c r="J57" i="39"/>
  <c r="O57" i="39" s="1"/>
  <c r="J56" i="39"/>
  <c r="O56" i="39" s="1"/>
  <c r="J55" i="39"/>
  <c r="O55" i="39" s="1"/>
  <c r="J54" i="39"/>
  <c r="O54" i="39" s="1"/>
  <c r="J52" i="39"/>
  <c r="O52" i="39" s="1"/>
  <c r="J51" i="39"/>
  <c r="O51" i="39" s="1"/>
  <c r="J67" i="39"/>
  <c r="O67" i="39" s="1"/>
  <c r="J66" i="39"/>
  <c r="O66" i="39" s="1"/>
  <c r="J42" i="39"/>
  <c r="O42" i="39" s="1"/>
  <c r="J41" i="39"/>
  <c r="O41" i="39" s="1"/>
  <c r="J40" i="39"/>
  <c r="O40" i="39" s="1"/>
  <c r="J39" i="39"/>
  <c r="O39" i="39" s="1"/>
  <c r="J38" i="39"/>
  <c r="O38" i="39" s="1"/>
  <c r="J37" i="39"/>
  <c r="O37" i="39" s="1"/>
  <c r="J68" i="39"/>
  <c r="O68" i="39" s="1"/>
  <c r="J36" i="39"/>
  <c r="O36" i="39" s="1"/>
  <c r="H26" i="38"/>
  <c r="J32" i="39"/>
  <c r="J28" i="39"/>
  <c r="J24" i="39"/>
  <c r="J25" i="39"/>
  <c r="J20" i="39"/>
  <c r="J17" i="39"/>
  <c r="J21" i="39"/>
  <c r="J18" i="39"/>
  <c r="J14" i="39"/>
  <c r="J34" i="39"/>
  <c r="J31" i="39"/>
  <c r="J27" i="39"/>
  <c r="J23" i="39"/>
  <c r="J19" i="39"/>
  <c r="J16" i="39"/>
  <c r="J30" i="39"/>
  <c r="J26" i="39"/>
  <c r="J22" i="39"/>
  <c r="J33" i="39"/>
  <c r="J29" i="39"/>
  <c r="J15" i="39"/>
  <c r="J35" i="39"/>
  <c r="J85" i="39" l="1"/>
  <c r="K24" i="43" l="1"/>
  <c r="M24" i="43" s="1"/>
  <c r="N24" i="43" s="1"/>
  <c r="E20" i="39" s="1"/>
  <c r="I34" i="44" l="1"/>
  <c r="J34" i="44" s="1"/>
  <c r="K29" i="43"/>
  <c r="M29" i="43" s="1"/>
  <c r="N29" i="43" s="1"/>
  <c r="E26" i="39" s="1"/>
  <c r="K35" i="43"/>
  <c r="M35" i="43" s="1"/>
  <c r="N35" i="43" s="1"/>
  <c r="E32" i="39" s="1"/>
  <c r="K30" i="43"/>
  <c r="M30" i="43" s="1"/>
  <c r="N30" i="43" s="1"/>
  <c r="E27" i="39" s="1"/>
  <c r="K33" i="43"/>
  <c r="M33" i="43" s="1"/>
  <c r="N33" i="43" s="1"/>
  <c r="E30" i="39" s="1"/>
  <c r="K31" i="43"/>
  <c r="M31" i="43" s="1"/>
  <c r="N31" i="43" s="1"/>
  <c r="E28" i="39" s="1"/>
  <c r="K36" i="43"/>
  <c r="M36" i="43" s="1"/>
  <c r="N36" i="43" s="1"/>
  <c r="E33" i="39" s="1"/>
  <c r="K27" i="43"/>
  <c r="M27" i="43" s="1"/>
  <c r="N27" i="43" s="1"/>
  <c r="E24" i="39" s="1"/>
  <c r="K25" i="43"/>
  <c r="M25" i="43" s="1"/>
  <c r="N25" i="43" s="1"/>
  <c r="E22" i="39" s="1"/>
  <c r="K32" i="43"/>
  <c r="M32" i="43" s="1"/>
  <c r="N32" i="43" s="1"/>
  <c r="E29" i="39" s="1"/>
  <c r="K23" i="43"/>
  <c r="M23" i="43" s="1"/>
  <c r="N23" i="43" s="1"/>
  <c r="E19" i="39" s="1"/>
  <c r="K34" i="43"/>
  <c r="M34" i="43" s="1"/>
  <c r="N34" i="43" s="1"/>
  <c r="E31" i="39" s="1"/>
  <c r="K28" i="43"/>
  <c r="M28" i="43" s="1"/>
  <c r="N28" i="43" s="1"/>
  <c r="E25" i="39" s="1"/>
  <c r="K26" i="43"/>
  <c r="M26" i="43" s="1"/>
  <c r="N26" i="43" s="1"/>
  <c r="E23" i="39" s="1"/>
  <c r="F35" i="39" l="1"/>
  <c r="K17" i="39"/>
  <c r="I30" i="44"/>
  <c r="J30" i="44" s="1"/>
  <c r="I22" i="44"/>
  <c r="J22" i="44" s="1"/>
  <c r="I21" i="44"/>
  <c r="J21" i="44" s="1"/>
  <c r="I25" i="44"/>
  <c r="J25" i="44" s="1"/>
  <c r="L22" i="43"/>
  <c r="M22" i="43" s="1"/>
  <c r="N22" i="43" s="1"/>
  <c r="E17" i="39" s="1"/>
  <c r="I33" i="44"/>
  <c r="J33" i="44" s="1"/>
  <c r="I27" i="44"/>
  <c r="J27" i="44" s="1"/>
  <c r="I28" i="44"/>
  <c r="J28" i="44" s="1"/>
  <c r="I31" i="44"/>
  <c r="J31" i="44" s="1"/>
  <c r="I20" i="44"/>
  <c r="J20" i="44" s="1"/>
  <c r="I26" i="44"/>
  <c r="J26" i="44" s="1"/>
  <c r="I29" i="44"/>
  <c r="J29" i="44" s="1"/>
  <c r="I32" i="44"/>
  <c r="J32" i="44" s="1"/>
  <c r="I24" i="44"/>
  <c r="J24" i="44" s="1"/>
  <c r="F24" i="39" l="1"/>
  <c r="F32" i="39"/>
  <c r="F29" i="39"/>
  <c r="F26" i="39"/>
  <c r="F19" i="39"/>
  <c r="F31" i="39"/>
  <c r="F28" i="39"/>
  <c r="F27" i="39"/>
  <c r="F33" i="39"/>
  <c r="F25" i="39"/>
  <c r="F20" i="39"/>
  <c r="F22" i="39"/>
  <c r="F30" i="39"/>
  <c r="L20" i="43"/>
  <c r="M20" i="43" s="1"/>
  <c r="N20" i="43" s="1"/>
  <c r="E16" i="39" s="1"/>
  <c r="K32" i="39"/>
  <c r="K24" i="39"/>
  <c r="K25" i="39"/>
  <c r="K34" i="39"/>
  <c r="O34" i="39" s="1"/>
  <c r="K31" i="39"/>
  <c r="K26" i="39"/>
  <c r="K23" i="39"/>
  <c r="K33" i="39"/>
  <c r="K16" i="39"/>
  <c r="L21" i="43"/>
  <c r="M21" i="43" s="1"/>
  <c r="N21" i="43" s="1"/>
  <c r="E15" i="39" s="1"/>
  <c r="L19" i="43"/>
  <c r="K27" i="39"/>
  <c r="K28" i="39"/>
  <c r="K20" i="39"/>
  <c r="K15" i="39"/>
  <c r="K22" i="39"/>
  <c r="K35" i="39"/>
  <c r="O35" i="39" s="1"/>
  <c r="K19" i="39"/>
  <c r="K29" i="39"/>
  <c r="K30" i="39"/>
  <c r="J48" i="44" l="1"/>
  <c r="M19" i="43"/>
  <c r="N19" i="43" s="1"/>
  <c r="K14" i="39"/>
  <c r="M67" i="50"/>
  <c r="H18" i="38"/>
  <c r="E14" i="39" l="1"/>
  <c r="E85" i="39" s="1"/>
  <c r="N41" i="43"/>
  <c r="H16" i="38" s="1"/>
  <c r="F85" i="39"/>
  <c r="K85" i="39"/>
  <c r="H28" i="38"/>
  <c r="O19" i="39"/>
  <c r="O15" i="39"/>
  <c r="O29" i="39"/>
  <c r="H36" i="38" l="1"/>
  <c r="O14" i="39"/>
  <c r="O16" i="39"/>
  <c r="O31" i="39"/>
  <c r="O20" i="39"/>
  <c r="O18" i="39"/>
  <c r="O23" i="39"/>
  <c r="O33" i="39"/>
  <c r="O32" i="39"/>
  <c r="O28" i="39"/>
  <c r="O30" i="39"/>
  <c r="O17" i="39"/>
  <c r="O26" i="39" l="1"/>
  <c r="O25" i="39"/>
  <c r="O21" i="39"/>
  <c r="O22" i="39"/>
  <c r="O24" i="39"/>
  <c r="O27" i="39"/>
  <c r="O85" i="39" l="1"/>
  <c r="H37" i="38" l="1"/>
  <c r="H38" i="38" s="1"/>
</calcChain>
</file>

<file path=xl/sharedStrings.xml><?xml version="1.0" encoding="utf-8"?>
<sst xmlns="http://schemas.openxmlformats.org/spreadsheetml/2006/main" count="20797" uniqueCount="2150">
  <si>
    <t>Perceel</t>
  </si>
  <si>
    <t>lift</t>
  </si>
  <si>
    <t>Invoervelden</t>
  </si>
  <si>
    <t>Naam opdrachtgever</t>
  </si>
  <si>
    <t>Gebouw/plaats</t>
  </si>
  <si>
    <t>Totaal</t>
  </si>
  <si>
    <t>Naam leverancier</t>
  </si>
  <si>
    <t>Prijspeil</t>
  </si>
  <si>
    <t>Calculatie onderdeel</t>
  </si>
  <si>
    <t>Besteknummer</t>
  </si>
  <si>
    <t>Freq</t>
  </si>
  <si>
    <t>OPMERKING/ AANDACHTSPUNT</t>
  </si>
  <si>
    <t>beton</t>
  </si>
  <si>
    <t>Lijn</t>
  </si>
  <si>
    <t>0 1001</t>
  </si>
  <si>
    <t>1 0102</t>
  </si>
  <si>
    <t>0 0201</t>
  </si>
  <si>
    <t>berging</t>
  </si>
  <si>
    <t>roltrap</t>
  </si>
  <si>
    <t>Beton</t>
  </si>
  <si>
    <t>gang</t>
  </si>
  <si>
    <t>Reigersbos</t>
  </si>
  <si>
    <t>Oostlijn bovengronds</t>
  </si>
  <si>
    <t>hal oost</t>
  </si>
  <si>
    <t>oost</t>
  </si>
  <si>
    <t>hal west</t>
  </si>
  <si>
    <t>west</t>
  </si>
  <si>
    <t>voorruimte toilet</t>
  </si>
  <si>
    <t>toegang kelder</t>
  </si>
  <si>
    <t>Steeg No</t>
  </si>
  <si>
    <t>Steeg Zo</t>
  </si>
  <si>
    <t>Telecomruimte</t>
  </si>
  <si>
    <t>UPS Ruimte</t>
  </si>
  <si>
    <t>Ook met nr: 0.05.201</t>
  </si>
  <si>
    <t>Telecomruimte/ BMK</t>
  </si>
  <si>
    <t>Laagspannings/ hoofdverdeelruimte</t>
  </si>
  <si>
    <t>Laagspanningsverdeelruimte</t>
  </si>
  <si>
    <t>Traforuimte</t>
  </si>
  <si>
    <t>Kantoor Schoonmaak (Pantry)</t>
  </si>
  <si>
    <t>Kantoor Schoonmaak</t>
  </si>
  <si>
    <t>Containerruimte</t>
  </si>
  <si>
    <t>Schoonmaakruimte</t>
  </si>
  <si>
    <t>Toilet (MIVA)</t>
  </si>
  <si>
    <t>Installatieruimte luchtbehandeling</t>
  </si>
  <si>
    <t>Coating</t>
  </si>
  <si>
    <t>Liftmachinekamer 34</t>
  </si>
  <si>
    <t>Lift 34</t>
  </si>
  <si>
    <t>Roltrapserviceruimte entree 34</t>
  </si>
  <si>
    <t>Ventilatieruimte</t>
  </si>
  <si>
    <t>Roltrapserviceruimte entree 31</t>
  </si>
  <si>
    <t>Liftmachinekamer 31</t>
  </si>
  <si>
    <t>Lift 31</t>
  </si>
  <si>
    <t>Roltrapserviceruimte boven 34</t>
  </si>
  <si>
    <t>Opslag (SB)</t>
  </si>
  <si>
    <t>Perron</t>
  </si>
  <si>
    <t>Roltrapserviceruimte 31</t>
  </si>
  <si>
    <t>Roltrapserviceruimte onder 34</t>
  </si>
  <si>
    <t>Trap oost</t>
  </si>
  <si>
    <t>?</t>
  </si>
  <si>
    <t>niet op plattegrond, m2 uit oud calculatiebestand</t>
  </si>
  <si>
    <t>Trap west</t>
  </si>
  <si>
    <t>Roltrap oost</t>
  </si>
  <si>
    <t>Roltrap west</t>
  </si>
  <si>
    <t>0 0101</t>
  </si>
  <si>
    <t>Trap</t>
  </si>
  <si>
    <t>liftmachinekamer</t>
  </si>
  <si>
    <t>0 1002</t>
  </si>
  <si>
    <t>perron</t>
  </si>
  <si>
    <t>steen</t>
  </si>
  <si>
    <t>telecomruimte</t>
  </si>
  <si>
    <t>schoonmaakruimte</t>
  </si>
  <si>
    <t>hal</t>
  </si>
  <si>
    <t>linoleum</t>
  </si>
  <si>
    <t>Gein</t>
  </si>
  <si>
    <t>Oostlijn Bovengronds</t>
  </si>
  <si>
    <t>nvt</t>
  </si>
  <si>
    <t>garderobe</t>
  </si>
  <si>
    <t>hoofd</t>
  </si>
  <si>
    <t>accuruimte S en T</t>
  </si>
  <si>
    <t>relaisruimte</t>
  </si>
  <si>
    <t>rekenmachinekamer</t>
  </si>
  <si>
    <t>gelijkrichtersruimte</t>
  </si>
  <si>
    <t>laagspanningsverdeelruimte</t>
  </si>
  <si>
    <t>traforuimte</t>
  </si>
  <si>
    <t>vuilopslag</t>
  </si>
  <si>
    <t>berging exploitatie</t>
  </si>
  <si>
    <t>toilet heren</t>
  </si>
  <si>
    <t>toilet dames</t>
  </si>
  <si>
    <t>roltrap serviceruimte</t>
  </si>
  <si>
    <t>ruimte werktuigen</t>
  </si>
  <si>
    <t>luchtbehandelingsruimte</t>
  </si>
  <si>
    <t>Berging werktuigen</t>
  </si>
  <si>
    <t>Berging exploitatie 2</t>
  </si>
  <si>
    <t>Sektie Schakelruimte E.I.</t>
  </si>
  <si>
    <t>werkplaats S en T</t>
  </si>
  <si>
    <t>pvr</t>
  </si>
  <si>
    <t>trap naar perron</t>
  </si>
  <si>
    <t>Trappen</t>
  </si>
  <si>
    <t>roltrap naar perron</t>
  </si>
  <si>
    <t>lift 31</t>
  </si>
  <si>
    <t>lift 34</t>
  </si>
  <si>
    <t>34</t>
  </si>
  <si>
    <t>niet op plattegrond, m2 uit MJOB</t>
  </si>
  <si>
    <t>Strandvliet</t>
  </si>
  <si>
    <t>Trap noordzijde</t>
  </si>
  <si>
    <t>Trap zuidzijde</t>
  </si>
  <si>
    <t>Roltrap noordzijde</t>
  </si>
  <si>
    <t>Roltrap zuidzijde</t>
  </si>
  <si>
    <t>Hal zuid</t>
  </si>
  <si>
    <t>Tegels</t>
  </si>
  <si>
    <t>Hal noord</t>
  </si>
  <si>
    <t>Gang</t>
  </si>
  <si>
    <t>Voorportaal E.I.</t>
  </si>
  <si>
    <t>Beton (coating)</t>
  </si>
  <si>
    <t>Signaleringsruimte + UPS</t>
  </si>
  <si>
    <t>Telecommunicatieruimte</t>
  </si>
  <si>
    <t>Accuruimte E.I.</t>
  </si>
  <si>
    <t>Laagspanningsverdeeltuimte 1</t>
  </si>
  <si>
    <t>Laagspanningsverdeeltuimte 2</t>
  </si>
  <si>
    <t>Vuilopslag</t>
  </si>
  <si>
    <t>Toilet dames</t>
  </si>
  <si>
    <t>Toilet heren</t>
  </si>
  <si>
    <t>Toegang roltrapserviceruimte</t>
  </si>
  <si>
    <t>Liftmachinekamer</t>
  </si>
  <si>
    <t xml:space="preserve">Lift </t>
  </si>
  <si>
    <t>Lift</t>
  </si>
  <si>
    <t>Magazijn E.I.</t>
  </si>
  <si>
    <t>Berging SB</t>
  </si>
  <si>
    <t>Berging</t>
  </si>
  <si>
    <t>Personeelsverblijfruimte</t>
  </si>
  <si>
    <t>Bovenste roltrapserviceruimte</t>
  </si>
  <si>
    <t>Onderste roltrapserviceruimte</t>
  </si>
  <si>
    <t>Noord</t>
  </si>
  <si>
    <t>Zuid</t>
  </si>
  <si>
    <t xml:space="preserve">Zuid Er staat ook nog 48m2 metselwerk in de MJOB, al het metselwerk is geschilderd. </t>
  </si>
  <si>
    <t>Zuid, staat vol lichtbakken? Staan geen accu's</t>
  </si>
  <si>
    <t>Zuid. Er staat een afwijkend nummer op de deur 348?</t>
  </si>
  <si>
    <t xml:space="preserve">LMK is er wel, maar er is geen lift aan deze zijde. Geen apparatuur of afwerking in deze ruimte.  </t>
  </si>
  <si>
    <t xml:space="preserve">Noord, geen lift aanwezig. </t>
  </si>
  <si>
    <t xml:space="preserve">Zuid. Er staat 0.1301 op de plattegrond. Betreft een accuruimte. </t>
  </si>
  <si>
    <t>Bullewijk</t>
  </si>
  <si>
    <t xml:space="preserve">Onderste roltrapservice ruimte </t>
  </si>
  <si>
    <t>beton (coating)</t>
  </si>
  <si>
    <t>Hal</t>
  </si>
  <si>
    <t>Garderobe</t>
  </si>
  <si>
    <t>Voorportaal</t>
  </si>
  <si>
    <t>Telecommunicatie ruimte</t>
  </si>
  <si>
    <t>Gelijkrichter ruimte</t>
  </si>
  <si>
    <t>epoxy</t>
  </si>
  <si>
    <t>Roltrapserviceruimte (voorportaal)</t>
  </si>
  <si>
    <t>Liftmachinekamer (leeg, geen lift)</t>
  </si>
  <si>
    <t>Lift (geen lift aanwezig)</t>
  </si>
  <si>
    <t>Personeelsverblijf</t>
  </si>
  <si>
    <t>leeg (ruimte bij entree)</t>
  </si>
  <si>
    <t>Voorportaal S en T 3</t>
  </si>
  <si>
    <t>Accuruimte S en T</t>
  </si>
  <si>
    <t>Relaisruimte</t>
  </si>
  <si>
    <t>Bovenste roltrapserviceruimte 1</t>
  </si>
  <si>
    <t>Bovenste roltrapserviceruimte 2</t>
  </si>
  <si>
    <t>Luchtbehandelingsruimte</t>
  </si>
  <si>
    <t>coating</t>
  </si>
  <si>
    <t>Trap noord</t>
  </si>
  <si>
    <t>Trap zuid</t>
  </si>
  <si>
    <t xml:space="preserve">Roltrap </t>
  </si>
  <si>
    <t>Roltrap</t>
  </si>
  <si>
    <t>Weesperplein</t>
  </si>
  <si>
    <t>Staal (rooster)</t>
  </si>
  <si>
    <t>Vluchtweg</t>
  </si>
  <si>
    <t>Roltrapserviceruimte</t>
  </si>
  <si>
    <t>geen</t>
  </si>
  <si>
    <t>1-1901</t>
  </si>
  <si>
    <t>1-1902</t>
  </si>
  <si>
    <t>1-1903</t>
  </si>
  <si>
    <t>1-1904</t>
  </si>
  <si>
    <t>Geen</t>
  </si>
  <si>
    <t>Dienstgang</t>
  </si>
  <si>
    <t>Marmoleum</t>
  </si>
  <si>
    <t>Laagspanningsruimte</t>
  </si>
  <si>
    <t>Gelijkrichtersruimte</t>
  </si>
  <si>
    <t>Stations deel</t>
  </si>
  <si>
    <t>Oostlijn ondergronds</t>
  </si>
  <si>
    <t>Gaasperplas</t>
  </si>
  <si>
    <t>0 0202</t>
  </si>
  <si>
    <t>0 0203</t>
  </si>
  <si>
    <t>Accuruimte</t>
  </si>
  <si>
    <t>Laagspanning onderverdeelruimte</t>
  </si>
  <si>
    <t>Sektie schakelruimte</t>
  </si>
  <si>
    <t>Berging schoonmaak</t>
  </si>
  <si>
    <t>0 0802</t>
  </si>
  <si>
    <t>Roltrap ruimte</t>
  </si>
  <si>
    <t>Liftmachine ruimte</t>
  </si>
  <si>
    <t>0 1004</t>
  </si>
  <si>
    <t>Werkplaats E.I.</t>
  </si>
  <si>
    <t>Personeelsverblijf ruimte</t>
  </si>
  <si>
    <t>0 1901</t>
  </si>
  <si>
    <t>Opslag S&amp;C</t>
  </si>
  <si>
    <t>0 1905</t>
  </si>
  <si>
    <t>1 0103</t>
  </si>
  <si>
    <t>Verrijn Stuartweg</t>
  </si>
  <si>
    <t>Liftmachineruimte</t>
  </si>
  <si>
    <t>1-1001</t>
  </si>
  <si>
    <t>Onderste Roltrapserviceruimte</t>
  </si>
  <si>
    <t>1-1002</t>
  </si>
  <si>
    <t>Accu- en opslagruimte</t>
  </si>
  <si>
    <t>Damestoilet</t>
  </si>
  <si>
    <t>Herentoilet</t>
  </si>
  <si>
    <t>Toegang Roltrapserviceruimten</t>
  </si>
  <si>
    <t>0 1907</t>
  </si>
  <si>
    <t>Werkkast</t>
  </si>
  <si>
    <t>0 1908</t>
  </si>
  <si>
    <t>Trap hal/perron</t>
  </si>
  <si>
    <t>Bovenste Roltrapserviceruimte</t>
  </si>
  <si>
    <t>1-0202</t>
  </si>
  <si>
    <t>Signaleringsruimte</t>
  </si>
  <si>
    <t>Telecom ruimte</t>
  </si>
  <si>
    <t>1-0401</t>
  </si>
  <si>
    <t>1-1003</t>
  </si>
  <si>
    <t>Container opslag</t>
  </si>
  <si>
    <t>Watermeterput</t>
  </si>
  <si>
    <t>Kruipruimte hal</t>
  </si>
  <si>
    <t>Kelder traforuimte</t>
  </si>
  <si>
    <t>Kelder laagspanningsruimte</t>
  </si>
  <si>
    <t>Fietsenstalling</t>
  </si>
  <si>
    <t>0 0102</t>
  </si>
  <si>
    <t>Rekenmachineruimte</t>
  </si>
  <si>
    <t xml:space="preserve">Liftmachineruimte </t>
  </si>
  <si>
    <t>ventilatieruimte</t>
  </si>
  <si>
    <t xml:space="preserve">Roltrapserviceruimte midden </t>
  </si>
  <si>
    <t>Personeelsruimte</t>
  </si>
  <si>
    <t>Bordes</t>
  </si>
  <si>
    <t>0 1906</t>
  </si>
  <si>
    <t>Leeg</t>
  </si>
  <si>
    <t>Opslag S&amp;B</t>
  </si>
  <si>
    <t>Bovenste roltrapmachineruimte</t>
  </si>
  <si>
    <t>Kruipruimte perron</t>
  </si>
  <si>
    <t>Kruipruimte Trap</t>
  </si>
  <si>
    <t>2 0103</t>
  </si>
  <si>
    <t>Venserpolder</t>
  </si>
  <si>
    <t>Kelder 3</t>
  </si>
  <si>
    <t>Kelder 1</t>
  </si>
  <si>
    <t>Kabelschacht 1</t>
  </si>
  <si>
    <t>Kruipruimte onder hal</t>
  </si>
  <si>
    <t>Kelder 4</t>
  </si>
  <si>
    <t>Vuilopslagruimte</t>
  </si>
  <si>
    <t>Heren toilet</t>
  </si>
  <si>
    <t>Dames toilet</t>
  </si>
  <si>
    <t>Kruipruimte 2</t>
  </si>
  <si>
    <t>Trappenhuis</t>
  </si>
  <si>
    <t>Kast</t>
  </si>
  <si>
    <t>Kabelschacht 2</t>
  </si>
  <si>
    <t>Zuid (Plafond geschilderd 5,4 m2)</t>
  </si>
  <si>
    <t>Noord (Plafond geschilderd 13,1m2)</t>
  </si>
  <si>
    <t>Zuid (Plafond geschilderd 13,1m2)</t>
  </si>
  <si>
    <t>Landhoofd</t>
  </si>
  <si>
    <t>Van der Madeweg</t>
  </si>
  <si>
    <t>Perron Oost</t>
  </si>
  <si>
    <t>Perron West</t>
  </si>
  <si>
    <t>Trap Oost</t>
  </si>
  <si>
    <t>Trap West</t>
  </si>
  <si>
    <t>Roltrap Oost</t>
  </si>
  <si>
    <t>Roltrap West</t>
  </si>
  <si>
    <t>Kantine</t>
  </si>
  <si>
    <t>Kaartverkoop</t>
  </si>
  <si>
    <t>Signaleringsruimte 1</t>
  </si>
  <si>
    <t>Sectieschakelruimte</t>
  </si>
  <si>
    <t>Roltrap Serviceruimte</t>
  </si>
  <si>
    <t>Liftpompruimte 1</t>
  </si>
  <si>
    <t>Roltrap Serviceruimte 2</t>
  </si>
  <si>
    <t>Liftpompruimte 2</t>
  </si>
  <si>
    <t>Lift 1</t>
  </si>
  <si>
    <t>Lift 2</t>
  </si>
  <si>
    <t>Lift 3</t>
  </si>
  <si>
    <t>Liftpompruimte 3</t>
  </si>
  <si>
    <t>Opslag Otis</t>
  </si>
  <si>
    <t>Watermeterkast</t>
  </si>
  <si>
    <t>Toegangstrap</t>
  </si>
  <si>
    <t>Luik</t>
  </si>
  <si>
    <t>m2 wand niet nagemeten, uit MJOB.</t>
  </si>
  <si>
    <t>Ruimte is opgesplitst. Bereikbare gedeelte 48,8 m2 vloer en 36,0 m2 wand onbehandeld</t>
  </si>
  <si>
    <t>Perron oost</t>
  </si>
  <si>
    <t>Perron west</t>
  </si>
  <si>
    <t>Vuilopslag/schoonmakersruimte</t>
  </si>
  <si>
    <t>Opslag EV</t>
  </si>
  <si>
    <t>Magazijn SB</t>
  </si>
  <si>
    <t>Kabelschacht</t>
  </si>
  <si>
    <t>Niet makkelijk toegankelijk, doet schoonmaak niks mee</t>
  </si>
  <si>
    <t>m2 wand uit MJOB, compleet?</t>
  </si>
  <si>
    <t>Oude toiletten niet meegerekend enkel voorportaal + ticket. Toilet: V=1,2 m2 lino *2 W=11,5 m2 tegel *2</t>
  </si>
  <si>
    <t>Spaklerweg</t>
  </si>
  <si>
    <t>Station nummer</t>
  </si>
  <si>
    <t>Station</t>
  </si>
  <si>
    <t>dienstgang</t>
  </si>
  <si>
    <t>telecom</t>
  </si>
  <si>
    <t>M2 plafond
kaal</t>
  </si>
  <si>
    <t>M2 plafond
geschilderd</t>
  </si>
  <si>
    <t>M2 perron kap</t>
  </si>
  <si>
    <t>Diemen Zuid</t>
  </si>
  <si>
    <t>31</t>
  </si>
  <si>
    <t>Traanplaat</t>
  </si>
  <si>
    <t>Verbindingstrap roltrapserviceruimte</t>
  </si>
  <si>
    <t>Kraaiennest</t>
  </si>
  <si>
    <t>Noodtrappenhuis</t>
  </si>
  <si>
    <t>Dienstgang (trappenhuis)</t>
  </si>
  <si>
    <t>UPS ruimte</t>
  </si>
  <si>
    <t>Hoogspanningsruimte</t>
  </si>
  <si>
    <t>Schoonmaak ruimte</t>
  </si>
  <si>
    <t>Opslag SB</t>
  </si>
  <si>
    <t>Ventilatie ruimte</t>
  </si>
  <si>
    <t>Toilet</t>
  </si>
  <si>
    <t>3 0102</t>
  </si>
  <si>
    <t>Ganzenhoef</t>
  </si>
  <si>
    <t>Roltrap 14</t>
  </si>
  <si>
    <t>Roltrap 34</t>
  </si>
  <si>
    <t>Roltrap 24</t>
  </si>
  <si>
    <t>Liftmachinekamer 1 (34)</t>
  </si>
  <si>
    <t xml:space="preserve">Ruimte is dichtgezet. </t>
  </si>
  <si>
    <t>wand afwerking zit in gang/hal</t>
  </si>
  <si>
    <t>houten plafond</t>
  </si>
  <si>
    <t>hout</t>
  </si>
  <si>
    <t>leeg</t>
  </si>
  <si>
    <t>Kelder trap en relaisruimte</t>
  </si>
  <si>
    <t>Kelder laagspanningsverdeelruimte</t>
  </si>
  <si>
    <t>Kelder accuruimte</t>
  </si>
  <si>
    <t>Kelder natte ruimte</t>
  </si>
  <si>
    <t>Trap bordes m2 verwerkt in ruimte er onder 1-0201</t>
  </si>
  <si>
    <t>m2 verwerkt in de onder en bovenste roltrapruimte 1-1001 en 1 1005</t>
  </si>
  <si>
    <t>Glas in glasstaat</t>
  </si>
  <si>
    <t>Tussen niveau</t>
  </si>
  <si>
    <t>Vluchttrap tussenniveau - Zuidstuw</t>
  </si>
  <si>
    <t>Vluchttrap maaiveld - Tussenniveau</t>
  </si>
  <si>
    <t>Vluchttrap Tussenniveau - Zuidstuw</t>
  </si>
  <si>
    <t>RWA-Regelkastruimte</t>
  </si>
  <si>
    <t>RWA- Ruimte</t>
  </si>
  <si>
    <t>RWA-Ruimte</t>
  </si>
  <si>
    <t>Fietsenmaker</t>
  </si>
  <si>
    <t>Fietsenmaker (trap)</t>
  </si>
  <si>
    <t>Overig (zaagloods S&amp;B)</t>
  </si>
  <si>
    <t>Overig (zaagloods S&amp;B) toiletruimte 1-1902</t>
  </si>
  <si>
    <t>1-0253</t>
  </si>
  <si>
    <t>1-0254</t>
  </si>
  <si>
    <t>1-0255</t>
  </si>
  <si>
    <t>1-0256</t>
  </si>
  <si>
    <t>1-10.514</t>
  </si>
  <si>
    <t>1-10.515</t>
  </si>
  <si>
    <t>1-10.516</t>
  </si>
  <si>
    <t>1-10.517</t>
  </si>
  <si>
    <t>1-10.518</t>
  </si>
  <si>
    <t>1-10.601</t>
  </si>
  <si>
    <t>1-1701</t>
  </si>
  <si>
    <t>1-1702</t>
  </si>
  <si>
    <t>1-1703</t>
  </si>
  <si>
    <t>1-1704</t>
  </si>
  <si>
    <t>1-1705</t>
  </si>
  <si>
    <t>1-1706</t>
  </si>
  <si>
    <t>roosters als dak</t>
  </si>
  <si>
    <t>geen geboden toegang</t>
  </si>
  <si>
    <t>houten separatiewanden niet opgenomen</t>
  </si>
  <si>
    <t>Hal niveau</t>
  </si>
  <si>
    <t>Publieksroltrap Uitgang Sarphatistraat - Hal</t>
  </si>
  <si>
    <t>2-0101</t>
  </si>
  <si>
    <t>Publiekstrap Uitgang Sarphatistraat - Hal</t>
  </si>
  <si>
    <t>2-0103</t>
  </si>
  <si>
    <t>2-0102</t>
  </si>
  <si>
    <t>Verdeelhal</t>
  </si>
  <si>
    <t>Publiekltrap Uitgang Stadstimmertuin - Hal</t>
  </si>
  <si>
    <t>2-0104</t>
  </si>
  <si>
    <t>2-0105</t>
  </si>
  <si>
    <t>2-0106</t>
  </si>
  <si>
    <t>Publiekstrap Sarphatistraat</t>
  </si>
  <si>
    <t>2-0107</t>
  </si>
  <si>
    <t>2-0108</t>
  </si>
  <si>
    <t>2-0109</t>
  </si>
  <si>
    <t>2-0110</t>
  </si>
  <si>
    <t>Publieksroltrap Hal - Perron</t>
  </si>
  <si>
    <t>2-0111</t>
  </si>
  <si>
    <t>Publiekstrap Hal - Perron</t>
  </si>
  <si>
    <t>2-0112</t>
  </si>
  <si>
    <t>Vluchttrap Hal - Perron</t>
  </si>
  <si>
    <t>2-0113</t>
  </si>
  <si>
    <t>Publiekstroltrap Hal - Perron</t>
  </si>
  <si>
    <t>2-0115</t>
  </si>
  <si>
    <t>2-0116</t>
  </si>
  <si>
    <t>2-0117</t>
  </si>
  <si>
    <t>Lift 02 Uitgang Sarphatistraat - Hal</t>
  </si>
  <si>
    <t>02</t>
  </si>
  <si>
    <t>Lift 13 Hal - Perron</t>
  </si>
  <si>
    <t>13</t>
  </si>
  <si>
    <t>Lift 23 Hal - Perron</t>
  </si>
  <si>
    <t>23</t>
  </si>
  <si>
    <t>2-0202</t>
  </si>
  <si>
    <t>2-0201</t>
  </si>
  <si>
    <t>2-0204</t>
  </si>
  <si>
    <t>2-0203</t>
  </si>
  <si>
    <t>2-0205</t>
  </si>
  <si>
    <t>2-0206</t>
  </si>
  <si>
    <t>Vluchttrap Perron - Noordstuw</t>
  </si>
  <si>
    <t>2-0220</t>
  </si>
  <si>
    <t>2-0207</t>
  </si>
  <si>
    <t>2-0221</t>
  </si>
  <si>
    <t>2-0208</t>
  </si>
  <si>
    <t>2-0222</t>
  </si>
  <si>
    <t>2-1908</t>
  </si>
  <si>
    <t>2-0223</t>
  </si>
  <si>
    <t>Vluchttrap Maaiveld - Noordstuw</t>
  </si>
  <si>
    <t>2-0224</t>
  </si>
  <si>
    <t>2-0225</t>
  </si>
  <si>
    <t>2-0226</t>
  </si>
  <si>
    <t>Vluchttrap Hal - Noordstuw</t>
  </si>
  <si>
    <t>2-0227</t>
  </si>
  <si>
    <t>Dienstrap Noordstuw - Vluchtweg</t>
  </si>
  <si>
    <t>2-0236</t>
  </si>
  <si>
    <t>2-0237</t>
  </si>
  <si>
    <t>Vluchttrap Zuidstuw - Perron</t>
  </si>
  <si>
    <t>2-0251</t>
  </si>
  <si>
    <t>2-0252</t>
  </si>
  <si>
    <t>2-0253</t>
  </si>
  <si>
    <t>2-0256</t>
  </si>
  <si>
    <t>2-0257</t>
  </si>
  <si>
    <t>2-0258</t>
  </si>
  <si>
    <t>Rekenmachinekamer</t>
  </si>
  <si>
    <t>2-03.101</t>
  </si>
  <si>
    <t>2-03.102</t>
  </si>
  <si>
    <t>Telecommunicatie</t>
  </si>
  <si>
    <t>2-04.101</t>
  </si>
  <si>
    <t>Laagspannings- / Hoofdverdeelruimte</t>
  </si>
  <si>
    <t>2-05.101</t>
  </si>
  <si>
    <t>2-05.102</t>
  </si>
  <si>
    <t>UPS</t>
  </si>
  <si>
    <t>2-05.301</t>
  </si>
  <si>
    <t>UPS, accu</t>
  </si>
  <si>
    <t>2-05.302</t>
  </si>
  <si>
    <t>2-05.303</t>
  </si>
  <si>
    <t>2-05.304</t>
  </si>
  <si>
    <t>Voorruimte Traforuimtes</t>
  </si>
  <si>
    <t>2-0601</t>
  </si>
  <si>
    <t>Traforuimte 1</t>
  </si>
  <si>
    <t>2-0602</t>
  </si>
  <si>
    <t>Traforuimte 2</t>
  </si>
  <si>
    <t>2-0603</t>
  </si>
  <si>
    <t>TR2000 Ruimte</t>
  </si>
  <si>
    <t>2-07.201</t>
  </si>
  <si>
    <t>2-0801</t>
  </si>
  <si>
    <t>2-0803</t>
  </si>
  <si>
    <t>2-0802</t>
  </si>
  <si>
    <t>2-0804</t>
  </si>
  <si>
    <t>2-08.101</t>
  </si>
  <si>
    <t>Toiletruimte</t>
  </si>
  <si>
    <t>2-0901</t>
  </si>
  <si>
    <t>2-0902</t>
  </si>
  <si>
    <t>2-0903</t>
  </si>
  <si>
    <t>2-0904</t>
  </si>
  <si>
    <t>2-0905</t>
  </si>
  <si>
    <t>2-0906</t>
  </si>
  <si>
    <t>2-0907</t>
  </si>
  <si>
    <t>2-0908</t>
  </si>
  <si>
    <t>2-1711</t>
  </si>
  <si>
    <t>2-0909</t>
  </si>
  <si>
    <t>2-1712</t>
  </si>
  <si>
    <t>2-0910</t>
  </si>
  <si>
    <t>2-1713</t>
  </si>
  <si>
    <t>2-0911</t>
  </si>
  <si>
    <t>Klimaatruimte</t>
  </si>
  <si>
    <t>2-10.301</t>
  </si>
  <si>
    <t>Waterkerende Schuif</t>
  </si>
  <si>
    <t>2-10.401</t>
  </si>
  <si>
    <t>2-10.402</t>
  </si>
  <si>
    <t>2-10.504</t>
  </si>
  <si>
    <t>2-10.505</t>
  </si>
  <si>
    <t>2-10.602</t>
  </si>
  <si>
    <t>2-1002</t>
  </si>
  <si>
    <t>2-10.603</t>
  </si>
  <si>
    <t>2-10.701</t>
  </si>
  <si>
    <t>2-1003</t>
  </si>
  <si>
    <t>2-10.702</t>
  </si>
  <si>
    <t>Watermeteruimte</t>
  </si>
  <si>
    <t>2-1401</t>
  </si>
  <si>
    <t>Fiestenmaker</t>
  </si>
  <si>
    <t>2-1706</t>
  </si>
  <si>
    <t>Winkelruimte</t>
  </si>
  <si>
    <t>2-1901</t>
  </si>
  <si>
    <t>2-1707</t>
  </si>
  <si>
    <t>2-1703</t>
  </si>
  <si>
    <t>2-1708</t>
  </si>
  <si>
    <t>2-1704</t>
  </si>
  <si>
    <t>2-1709</t>
  </si>
  <si>
    <t>2-1710</t>
  </si>
  <si>
    <t>2-1705</t>
  </si>
  <si>
    <t>2-1714</t>
  </si>
  <si>
    <t>Overig</t>
  </si>
  <si>
    <t>2-1905</t>
  </si>
  <si>
    <t>2-1201</t>
  </si>
  <si>
    <t>2-1906</t>
  </si>
  <si>
    <t>2-1907</t>
  </si>
  <si>
    <t>2-1202</t>
  </si>
  <si>
    <t>2-1909</t>
  </si>
  <si>
    <t>2-1910</t>
  </si>
  <si>
    <t>2-1911</t>
  </si>
  <si>
    <t>2-1912</t>
  </si>
  <si>
    <t>2-1913</t>
  </si>
  <si>
    <t>2-1914</t>
  </si>
  <si>
    <t>2-1915</t>
  </si>
  <si>
    <t>2-1916</t>
  </si>
  <si>
    <t>2-1917</t>
  </si>
  <si>
    <t>2-1918</t>
  </si>
  <si>
    <t>2-1919</t>
  </si>
  <si>
    <t>2-1920</t>
  </si>
  <si>
    <t>2-1921</t>
  </si>
  <si>
    <t>2-1922</t>
  </si>
  <si>
    <t>2-1923</t>
  </si>
  <si>
    <t>2-1924</t>
  </si>
  <si>
    <t>2-1925</t>
  </si>
  <si>
    <t>2-1926</t>
  </si>
  <si>
    <t>2-1904</t>
  </si>
  <si>
    <t>2-1927</t>
  </si>
  <si>
    <t>2-1928</t>
  </si>
  <si>
    <t>2-1949</t>
  </si>
  <si>
    <t>Overig, schacht naast vluchttrap 2-0113</t>
  </si>
  <si>
    <t>Overig, schacht naast vluchttrap 2-0117</t>
  </si>
  <si>
    <t xml:space="preserve">Tegels / beton trap </t>
  </si>
  <si>
    <t xml:space="preserve">Coating </t>
  </si>
  <si>
    <t>? (beveiligd)</t>
  </si>
  <si>
    <t>HWC-plafond</t>
  </si>
  <si>
    <t>opgenomen als trap 1-0253</t>
  </si>
  <si>
    <t>opgenomen als trap 1-0256</t>
  </si>
  <si>
    <t>stuc + saus</t>
  </si>
  <si>
    <t>Volkern plafond</t>
  </si>
  <si>
    <t>HWC-plafond, -wand</t>
  </si>
  <si>
    <t>geen opname</t>
  </si>
  <si>
    <t>opgenomen in 1-1706</t>
  </si>
  <si>
    <t>HWC-en verlaagd plafond</t>
  </si>
  <si>
    <t>Houten plafond</t>
  </si>
  <si>
    <t>HWC-plafond, bezemkast in gang 2-0205</t>
  </si>
  <si>
    <t>HWC-plafond, boven 4-05.103</t>
  </si>
  <si>
    <t>3-0111</t>
  </si>
  <si>
    <t>3-0112</t>
  </si>
  <si>
    <t>3-0113</t>
  </si>
  <si>
    <t>3-0114</t>
  </si>
  <si>
    <t>3-0115</t>
  </si>
  <si>
    <t>3-0116</t>
  </si>
  <si>
    <t>3-0117</t>
  </si>
  <si>
    <t>3-0118</t>
  </si>
  <si>
    <t>3-0211</t>
  </si>
  <si>
    <t>3-0207</t>
  </si>
  <si>
    <t>Diensttrap</t>
  </si>
  <si>
    <t>3-0208</t>
  </si>
  <si>
    <t>3-0209</t>
  </si>
  <si>
    <t>Diensttrap Perron - Kelder</t>
  </si>
  <si>
    <t>3-0210</t>
  </si>
  <si>
    <t>3-0214</t>
  </si>
  <si>
    <t>3-0212</t>
  </si>
  <si>
    <t>3-0217</t>
  </si>
  <si>
    <t>3-0219</t>
  </si>
  <si>
    <t>Vluchttrap Noordstuw - Perron</t>
  </si>
  <si>
    <t>3-0220</t>
  </si>
  <si>
    <t>3-0227</t>
  </si>
  <si>
    <t>Vluchttrap</t>
  </si>
  <si>
    <t>3-0228</t>
  </si>
  <si>
    <t>3-0229</t>
  </si>
  <si>
    <t>3-0230</t>
  </si>
  <si>
    <t>Diensttrap Vluchtweg - Kelder</t>
  </si>
  <si>
    <t>3-0231</t>
  </si>
  <si>
    <t>Diensttrap Noordstuw - Vluchtweg</t>
  </si>
  <si>
    <t>3-0236</t>
  </si>
  <si>
    <t>3-0240</t>
  </si>
  <si>
    <t>3-0241</t>
  </si>
  <si>
    <t>3-0242</t>
  </si>
  <si>
    <t>3-0243</t>
  </si>
  <si>
    <t>3-0244</t>
  </si>
  <si>
    <t>3-0247</t>
  </si>
  <si>
    <t>3-0248</t>
  </si>
  <si>
    <t>3-0249</t>
  </si>
  <si>
    <t>3-0251</t>
  </si>
  <si>
    <t>3-0258</t>
  </si>
  <si>
    <t>3-0259</t>
  </si>
  <si>
    <t>3-0261</t>
  </si>
  <si>
    <t>3-0262</t>
  </si>
  <si>
    <t>Serverruimte</t>
  </si>
  <si>
    <t>3-04.201</t>
  </si>
  <si>
    <t>3-05.103</t>
  </si>
  <si>
    <t>3-05.104</t>
  </si>
  <si>
    <t>3-05.105</t>
  </si>
  <si>
    <t>3-05.106</t>
  </si>
  <si>
    <t>3-05.107</t>
  </si>
  <si>
    <t>Sectie Schakelaarsruimte</t>
  </si>
  <si>
    <t>3-0604</t>
  </si>
  <si>
    <t>3-0605</t>
  </si>
  <si>
    <t>Tractie Traforuimte 1</t>
  </si>
  <si>
    <t>3-0606</t>
  </si>
  <si>
    <t>Tractie Traforuimte 2</t>
  </si>
  <si>
    <t>3-0607</t>
  </si>
  <si>
    <t>Tractie Traforuimte 3</t>
  </si>
  <si>
    <t>3-0608</t>
  </si>
  <si>
    <t>10KV Schakelruimte</t>
  </si>
  <si>
    <t>3-0609</t>
  </si>
  <si>
    <t>SVS-Ruimte</t>
  </si>
  <si>
    <t>3-0610</t>
  </si>
  <si>
    <t>3-07.202</t>
  </si>
  <si>
    <t>Pompenruimte</t>
  </si>
  <si>
    <t>3-10.201</t>
  </si>
  <si>
    <t>3-10.302</t>
  </si>
  <si>
    <t>3-10.303</t>
  </si>
  <si>
    <t>3-10.604</t>
  </si>
  <si>
    <t>3-10.605</t>
  </si>
  <si>
    <t>3-1915</t>
  </si>
  <si>
    <t>3-1954</t>
  </si>
  <si>
    <t>3-1914</t>
  </si>
  <si>
    <t>3-1955</t>
  </si>
  <si>
    <t>Coating / Beton</t>
  </si>
  <si>
    <t>Beton / stalen (rooster)</t>
  </si>
  <si>
    <t>opgenomen als trap 2-0112</t>
  </si>
  <si>
    <t>opgenomen als trap 2-0113</t>
  </si>
  <si>
    <t>opgenomen als trap 2-0116</t>
  </si>
  <si>
    <t>opgenomen als trap 2-0117</t>
  </si>
  <si>
    <t>opgenomen als lift verdeelhal</t>
  </si>
  <si>
    <t>opgenomen als trap 2-0220</t>
  </si>
  <si>
    <t>opgenomen als trap 2-0227</t>
  </si>
  <si>
    <t>vermacel beplating</t>
  </si>
  <si>
    <t>opgenomen als trap 2-0236</t>
  </si>
  <si>
    <t>opgenomen als trap 2-0251</t>
  </si>
  <si>
    <t>opgenomen als trap 2-0258</t>
  </si>
  <si>
    <t>stalen trap l=2,4 m¹</t>
  </si>
  <si>
    <t>Kelder</t>
  </si>
  <si>
    <t>Lift 31 Schacht</t>
  </si>
  <si>
    <t>Lift 23 Schacht</t>
  </si>
  <si>
    <t>4-0211</t>
  </si>
  <si>
    <t>Diensttrap Kelder- SIngellijn</t>
  </si>
  <si>
    <t>4-0212</t>
  </si>
  <si>
    <t>Servicegang Kelder</t>
  </si>
  <si>
    <t>4-0215</t>
  </si>
  <si>
    <t>4-0216</t>
  </si>
  <si>
    <t>Kabelkelder</t>
  </si>
  <si>
    <t>4-0218</t>
  </si>
  <si>
    <t>4-0231</t>
  </si>
  <si>
    <t>4-0232</t>
  </si>
  <si>
    <t>Diensttrap Kelder - Singellijn</t>
  </si>
  <si>
    <t>4-0233</t>
  </si>
  <si>
    <t>4-0238</t>
  </si>
  <si>
    <t>4-0239</t>
  </si>
  <si>
    <t>4-0244</t>
  </si>
  <si>
    <t>4-0245</t>
  </si>
  <si>
    <t>4-0246</t>
  </si>
  <si>
    <t>4-0250</t>
  </si>
  <si>
    <t>4-0260</t>
  </si>
  <si>
    <t>4-05.104</t>
  </si>
  <si>
    <t>Kelder Hoogspanningsruimtes</t>
  </si>
  <si>
    <t>4-0611</t>
  </si>
  <si>
    <t>4-10.201</t>
  </si>
  <si>
    <t>Vuilwaterberging</t>
  </si>
  <si>
    <t>4-10.202</t>
  </si>
  <si>
    <t>4-10.303</t>
  </si>
  <si>
    <t>RWA-Kanaal</t>
  </si>
  <si>
    <t>4-10.501</t>
  </si>
  <si>
    <t>4-10.502</t>
  </si>
  <si>
    <t>4-10.503</t>
  </si>
  <si>
    <t>4-10.511</t>
  </si>
  <si>
    <t>4-10.512</t>
  </si>
  <si>
    <t>4-10.513</t>
  </si>
  <si>
    <t>4-10.604</t>
  </si>
  <si>
    <t>4-10.605</t>
  </si>
  <si>
    <t>Opslag WTB</t>
  </si>
  <si>
    <t>4-13.401</t>
  </si>
  <si>
    <t>4-13.402</t>
  </si>
  <si>
    <t>4-1929</t>
  </si>
  <si>
    <t>4-1948</t>
  </si>
  <si>
    <t>4-1952</t>
  </si>
  <si>
    <t>4-1953</t>
  </si>
  <si>
    <t>4-1954</t>
  </si>
  <si>
    <t>4-1955</t>
  </si>
  <si>
    <t>opgenomen als trap 3-0231</t>
  </si>
  <si>
    <t>opgenomen in ruimte 3-1021</t>
  </si>
  <si>
    <t>opgenomen in ruimte 3-10.604</t>
  </si>
  <si>
    <t>opgenomen in ruimte 3-10.605</t>
  </si>
  <si>
    <t>Singellijn</t>
  </si>
  <si>
    <t>5-0212</t>
  </si>
  <si>
    <t>5-0215</t>
  </si>
  <si>
    <t>5-0213</t>
  </si>
  <si>
    <t>5-0233</t>
  </si>
  <si>
    <t>5-0234</t>
  </si>
  <si>
    <t>5-0235</t>
  </si>
  <si>
    <t>5-0246</t>
  </si>
  <si>
    <t>5-10.203</t>
  </si>
  <si>
    <t>5-10.204</t>
  </si>
  <si>
    <t>5-10.505</t>
  </si>
  <si>
    <t>5-10.506</t>
  </si>
  <si>
    <t>5-10.507</t>
  </si>
  <si>
    <t>5-10.508</t>
  </si>
  <si>
    <t>5-10.510</t>
  </si>
  <si>
    <t>5-10.509</t>
  </si>
  <si>
    <t>5-10.703</t>
  </si>
  <si>
    <t>5-10.704</t>
  </si>
  <si>
    <t>5-1930</t>
  </si>
  <si>
    <t>5-1931</t>
  </si>
  <si>
    <t>5-1932</t>
  </si>
  <si>
    <t>5-1933</t>
  </si>
  <si>
    <t>5-1934</t>
  </si>
  <si>
    <t>5-1935</t>
  </si>
  <si>
    <t>5-1936</t>
  </si>
  <si>
    <t>5-1937</t>
  </si>
  <si>
    <t>5-1938</t>
  </si>
  <si>
    <t>5-1939</t>
  </si>
  <si>
    <t>5-1940</t>
  </si>
  <si>
    <t>5-1941</t>
  </si>
  <si>
    <t>5-1942</t>
  </si>
  <si>
    <t>5-1943</t>
  </si>
  <si>
    <t>5-1944</t>
  </si>
  <si>
    <t>5-1945</t>
  </si>
  <si>
    <t>5-1946</t>
  </si>
  <si>
    <t>5-1947</t>
  </si>
  <si>
    <t>5-1950</t>
  </si>
  <si>
    <t>5-1951</t>
  </si>
  <si>
    <t>5-1954</t>
  </si>
  <si>
    <t>opgenomen als trap 4-0212</t>
  </si>
  <si>
    <t>opgenomen als trap 4-0233</t>
  </si>
  <si>
    <t>opgenomen als trap 4-0246</t>
  </si>
  <si>
    <t>stalen trap l=2,2 m¹</t>
  </si>
  <si>
    <t>isolatieplaten</t>
  </si>
  <si>
    <t>Maaiveld</t>
  </si>
  <si>
    <t>Waterlooplein</t>
  </si>
  <si>
    <t>Publieksroltrap Uitgang Stadhuis - Hal</t>
  </si>
  <si>
    <t>0-0101</t>
  </si>
  <si>
    <t>Publiekstrap Uitgang Stadhuis - Hal</t>
  </si>
  <si>
    <t>0-0102</t>
  </si>
  <si>
    <t>Lift 02 Uitgang Stadhuis - Hal</t>
  </si>
  <si>
    <t>MacBike</t>
  </si>
  <si>
    <t>0-1710</t>
  </si>
  <si>
    <t>0-1719</t>
  </si>
  <si>
    <t>1-1711</t>
  </si>
  <si>
    <t>1-1712</t>
  </si>
  <si>
    <t>Publieksroltrap Uitgang Waterlooplein - Hal</t>
  </si>
  <si>
    <t>Publiekstrap Uitgang Waterlooplein - Hal</t>
  </si>
  <si>
    <t>Publiekstrap Uitgang Hortus Plantsoen - Hal</t>
  </si>
  <si>
    <t>Publiekstrap Uitgang Nieuwe Herengracht - Hal</t>
  </si>
  <si>
    <t>2-0114</t>
  </si>
  <si>
    <t>Lift 31 Hal - Perron</t>
  </si>
  <si>
    <t>1-0204</t>
  </si>
  <si>
    <t>2-0209</t>
  </si>
  <si>
    <t>Diensttrap Hal = Tussenniveau</t>
  </si>
  <si>
    <t>2-0210</t>
  </si>
  <si>
    <t>2-0211</t>
  </si>
  <si>
    <t>2-0219</t>
  </si>
  <si>
    <t>2-07.203</t>
  </si>
  <si>
    <t>1-0801</t>
  </si>
  <si>
    <t>2-0912</t>
  </si>
  <si>
    <t>2-0913</t>
  </si>
  <si>
    <t>2-0914</t>
  </si>
  <si>
    <t>2-0915</t>
  </si>
  <si>
    <t>2-0916</t>
  </si>
  <si>
    <t>2-0917</t>
  </si>
  <si>
    <t>2-0918</t>
  </si>
  <si>
    <t>2-0919</t>
  </si>
  <si>
    <t>2-0920</t>
  </si>
  <si>
    <t>2-0921</t>
  </si>
  <si>
    <t>2-0922</t>
  </si>
  <si>
    <t>2-0923</t>
  </si>
  <si>
    <t>2-10.501</t>
  </si>
  <si>
    <t>2-10.502</t>
  </si>
  <si>
    <t>2-10.503</t>
  </si>
  <si>
    <t>2-10.601</t>
  </si>
  <si>
    <t>Brandmeldcentrale</t>
  </si>
  <si>
    <t>2-11.201</t>
  </si>
  <si>
    <t>2-13.101</t>
  </si>
  <si>
    <t>Opslag EB</t>
  </si>
  <si>
    <t>2-13.201</t>
  </si>
  <si>
    <t>2-1701</t>
  </si>
  <si>
    <t>Magazijn Winkelruimte</t>
  </si>
  <si>
    <t>2-1702</t>
  </si>
  <si>
    <t>2-1715</t>
  </si>
  <si>
    <t>2-1716</t>
  </si>
  <si>
    <t>2-1717</t>
  </si>
  <si>
    <t>2-1718</t>
  </si>
  <si>
    <t>2-1902</t>
  </si>
  <si>
    <t>2-1903</t>
  </si>
  <si>
    <t>opgenomen als roltrap 0-0101</t>
  </si>
  <si>
    <t>opgenomen als trap 0-0102</t>
  </si>
  <si>
    <t>opgenomen bij 3-10.601</t>
  </si>
  <si>
    <t>Fermacell plafond</t>
  </si>
  <si>
    <t>Lift 02 Schacht</t>
  </si>
  <si>
    <t>Diensttrap Hal - Tussenniveau</t>
  </si>
  <si>
    <t>3-0221</t>
  </si>
  <si>
    <t>3-05.301</t>
  </si>
  <si>
    <t>3-05.302</t>
  </si>
  <si>
    <t>3-05.303</t>
  </si>
  <si>
    <t>3-05.304</t>
  </si>
  <si>
    <t>3-10.504</t>
  </si>
  <si>
    <t>3-10.505</t>
  </si>
  <si>
    <t>3-10.506</t>
  </si>
  <si>
    <t>3-10.601</t>
  </si>
  <si>
    <t>3-10.602</t>
  </si>
  <si>
    <t>3-10.701</t>
  </si>
  <si>
    <t>4-0106</t>
  </si>
  <si>
    <t>4-0107</t>
  </si>
  <si>
    <t>4-0108</t>
  </si>
  <si>
    <t>4-0109</t>
  </si>
  <si>
    <t>4-0110</t>
  </si>
  <si>
    <t>4-0111</t>
  </si>
  <si>
    <t>2-0212</t>
  </si>
  <si>
    <t>4-0213</t>
  </si>
  <si>
    <t>2-0213</t>
  </si>
  <si>
    <t>4-0214</t>
  </si>
  <si>
    <t>Diensttrap Perron - Tussenniveau</t>
  </si>
  <si>
    <t>4-0222</t>
  </si>
  <si>
    <t>4-0223</t>
  </si>
  <si>
    <t>4-0224</t>
  </si>
  <si>
    <t>4-0225</t>
  </si>
  <si>
    <t>4-04.102</t>
  </si>
  <si>
    <t>4-05.102</t>
  </si>
  <si>
    <t>4-05.103</t>
  </si>
  <si>
    <t>4-0601</t>
  </si>
  <si>
    <t>4-0602</t>
  </si>
  <si>
    <t>Voorruimte TR2000</t>
  </si>
  <si>
    <t>4-07.201</t>
  </si>
  <si>
    <t>4-07.202</t>
  </si>
  <si>
    <t>4-10.203</t>
  </si>
  <si>
    <t>4-10.301</t>
  </si>
  <si>
    <t>4-10.302</t>
  </si>
  <si>
    <t>4-10.603</t>
  </si>
  <si>
    <t>4-10.702</t>
  </si>
  <si>
    <t>4-1904</t>
  </si>
  <si>
    <t>4-1905</t>
  </si>
  <si>
    <t>4-1906</t>
  </si>
  <si>
    <t>Staal</t>
  </si>
  <si>
    <t>Vloer incl. perron naast spoor</t>
  </si>
  <si>
    <t>opgenomen bij dienstgang 4-0213</t>
  </si>
  <si>
    <t>opgenomen als ruimte 5-10.203</t>
  </si>
  <si>
    <t>Geen plafond afwerking</t>
  </si>
  <si>
    <t>multiplex plafond</t>
  </si>
  <si>
    <t>5-0216</t>
  </si>
  <si>
    <t>3-1921</t>
  </si>
  <si>
    <t>5-0217</t>
  </si>
  <si>
    <t>5-0218</t>
  </si>
  <si>
    <t>5-0225</t>
  </si>
  <si>
    <t>5-0226</t>
  </si>
  <si>
    <t>5-0227</t>
  </si>
  <si>
    <t>Kelder Telecommunicatie</t>
  </si>
  <si>
    <t>5-04.102</t>
  </si>
  <si>
    <t>Kelder Laagspanningsverdeelruimte</t>
  </si>
  <si>
    <t>5-05.103</t>
  </si>
  <si>
    <t>Kelder Traforuimtes</t>
  </si>
  <si>
    <t>5-0603</t>
  </si>
  <si>
    <t>5-10.201</t>
  </si>
  <si>
    <t>5-10.202</t>
  </si>
  <si>
    <t>Kelder Klimaatruimte</t>
  </si>
  <si>
    <t>5-10.302</t>
  </si>
  <si>
    <t>5-10.603</t>
  </si>
  <si>
    <t>5-10.604</t>
  </si>
  <si>
    <t>opgenomen als trap 4-0215</t>
  </si>
  <si>
    <t>opgenomen als trap 4-0225</t>
  </si>
  <si>
    <t>opgenomen als ruimte 4-10.603</t>
  </si>
  <si>
    <t>opgenomen als ruimte 4-10.604</t>
  </si>
  <si>
    <t>Nieuwmarkt</t>
  </si>
  <si>
    <t>Wibautstraat</t>
  </si>
  <si>
    <t>Duivendrecht</t>
  </si>
  <si>
    <t>Bijlmer</t>
  </si>
  <si>
    <t>Holendrecht</t>
  </si>
  <si>
    <t>Halniveau</t>
  </si>
  <si>
    <t>Publieksroltrap Uitgang Nieuwmarkt - Hal</t>
  </si>
  <si>
    <t>0-0104</t>
  </si>
  <si>
    <t>Publiekstrap Uitgang Koffiehuis - Tussenniveau</t>
  </si>
  <si>
    <t>0-0105</t>
  </si>
  <si>
    <t>Publieksroltrap Uitgang Nieuwe Hoogstraat - Hal</t>
  </si>
  <si>
    <t>0-0112</t>
  </si>
  <si>
    <t>Publiekstrap Uitgang Nieuwe Hoogstraat - Hal</t>
  </si>
  <si>
    <t>0-0113</t>
  </si>
  <si>
    <t>0-1001</t>
  </si>
  <si>
    <t>Berging Schuifdeur</t>
  </si>
  <si>
    <t>0-1924</t>
  </si>
  <si>
    <t>Lift 01 Uitgang Nieuwmarkt - Hal</t>
  </si>
  <si>
    <t>01</t>
  </si>
  <si>
    <t>Lift 03 Uitgang Nieuwe Hoogstraat - Hal</t>
  </si>
  <si>
    <t>03</t>
  </si>
  <si>
    <t>Publieksroltrap Uitgang Koningsstraat - Hal</t>
  </si>
  <si>
    <t>Publiekstrap Uitgang Koningsstraat - Hal</t>
  </si>
  <si>
    <t>Publiekstrap Uitgang Nieuwmarkt - Hal</t>
  </si>
  <si>
    <t>Lift 34 Hal - Perron</t>
  </si>
  <si>
    <t>Diensttrap Hal - Perron</t>
  </si>
  <si>
    <t>2-0214</t>
  </si>
  <si>
    <t>2-0228</t>
  </si>
  <si>
    <t>2-0229</t>
  </si>
  <si>
    <t>2-0230</t>
  </si>
  <si>
    <t>2-0231</t>
  </si>
  <si>
    <t>Opstellingsruimte Providers</t>
  </si>
  <si>
    <t>2-04.201</t>
  </si>
  <si>
    <t>Leidingschacht Hoogspanning</t>
  </si>
  <si>
    <t>2-0604</t>
  </si>
  <si>
    <t>Ventilatiekast</t>
  </si>
  <si>
    <t>Werktuig</t>
  </si>
  <si>
    <t>2-10.604</t>
  </si>
  <si>
    <t>Tickets &amp; Info</t>
  </si>
  <si>
    <t>2-1203</t>
  </si>
  <si>
    <t>2-1204</t>
  </si>
  <si>
    <t>Watermeterruimte</t>
  </si>
  <si>
    <t>Winkelruimte (naast 2-1702)</t>
  </si>
  <si>
    <t>Diensttrap Tussenniveau - Perron</t>
  </si>
  <si>
    <t>3-0224</t>
  </si>
  <si>
    <t>3-0225</t>
  </si>
  <si>
    <t>3-0232</t>
  </si>
  <si>
    <t>3-10.503</t>
  </si>
  <si>
    <t>RWA-Regelkastuimte</t>
  </si>
  <si>
    <t>3-10.507</t>
  </si>
  <si>
    <t>3-10.703</t>
  </si>
  <si>
    <t>3-1911</t>
  </si>
  <si>
    <t>3-1912</t>
  </si>
  <si>
    <t>3-1913</t>
  </si>
  <si>
    <t>3-1916</t>
  </si>
  <si>
    <t>4-0217</t>
  </si>
  <si>
    <t>4-0235</t>
  </si>
  <si>
    <t>4-0236</t>
  </si>
  <si>
    <t>4-0237</t>
  </si>
  <si>
    <t>4-05.101</t>
  </si>
  <si>
    <t>4-0605</t>
  </si>
  <si>
    <t>4-0606</t>
  </si>
  <si>
    <t>Tractietraforuimte 3</t>
  </si>
  <si>
    <t>4-0608</t>
  </si>
  <si>
    <t>Tractietraforuimte 2</t>
  </si>
  <si>
    <t>4-0609</t>
  </si>
  <si>
    <t>Tractietraforuimte 1</t>
  </si>
  <si>
    <t>4-0610</t>
  </si>
  <si>
    <t>4-0612</t>
  </si>
  <si>
    <t>4-0613</t>
  </si>
  <si>
    <t>4-10.704</t>
  </si>
  <si>
    <t>4-1907</t>
  </si>
  <si>
    <t>4-1908</t>
  </si>
  <si>
    <t>4-1909</t>
  </si>
  <si>
    <t>4-1910</t>
  </si>
  <si>
    <t>4-1925</t>
  </si>
  <si>
    <t>Lift 34 Schacht</t>
  </si>
  <si>
    <t>5-0219</t>
  </si>
  <si>
    <t>5-0220</t>
  </si>
  <si>
    <t>5-0221</t>
  </si>
  <si>
    <t>5-0222</t>
  </si>
  <si>
    <t>3-1917</t>
  </si>
  <si>
    <t>5-0237</t>
  </si>
  <si>
    <t>5-0238</t>
  </si>
  <si>
    <t>5-0239</t>
  </si>
  <si>
    <t>Kelder Telecommunicatieruimte</t>
  </si>
  <si>
    <t>5-0607</t>
  </si>
  <si>
    <t>Kelder Tractie Traforuimtes</t>
  </si>
  <si>
    <t>5-0611</t>
  </si>
  <si>
    <t>Kelder Sectie Schakelaars- &amp; 10KV Schakelruimte</t>
  </si>
  <si>
    <t>5-0614</t>
  </si>
  <si>
    <t>Kelder TR2000 Ruimte</t>
  </si>
  <si>
    <t>5-07.202</t>
  </si>
  <si>
    <t>(nabij pompenruimte 5-10.201) Noordzijde</t>
  </si>
  <si>
    <t>5-10.303</t>
  </si>
  <si>
    <t>5-10.605</t>
  </si>
  <si>
    <t>Kelder Laagspanningsruimten</t>
  </si>
  <si>
    <t>Coating / Tegels</t>
  </si>
  <si>
    <t>opgenomen als trap 2-0105</t>
  </si>
  <si>
    <t>Hout, beton, HWC en mdf-plafonds</t>
  </si>
  <si>
    <t>HWC- en houten plafond. glazen plafond vide lift 24 m²</t>
  </si>
  <si>
    <t>HWC-plafond, gecoat houten plafond</t>
  </si>
  <si>
    <t>HWC-plafond, betonnen plafond</t>
  </si>
  <si>
    <t>opgenomen in ruimte 2-10.601</t>
  </si>
  <si>
    <t>gedeelte HWC-plafond</t>
  </si>
  <si>
    <t>Isolatie-panelen</t>
  </si>
  <si>
    <t>HWC-plafond / beton geschilderd</t>
  </si>
  <si>
    <t>gedeeltelijk HWC-plafond</t>
  </si>
  <si>
    <t>opgenomen als trap 4-0224</t>
  </si>
  <si>
    <t>opgenomen als trap 2-0231</t>
  </si>
  <si>
    <t>opgenomen in ruimte 2-10.604</t>
  </si>
  <si>
    <t>opgenomen in ruimte 2-10.602</t>
  </si>
  <si>
    <t>opgenomen als trap 2-0107</t>
  </si>
  <si>
    <t>opgenomen als trap 2-0109</t>
  </si>
  <si>
    <t>opgenomen in ruimte 5-0220</t>
  </si>
  <si>
    <t>Stalen plafond</t>
  </si>
  <si>
    <t>opgenomen als trap 4-0218</t>
  </si>
  <si>
    <t>opgenomen als trap 4-0237</t>
  </si>
  <si>
    <t>opgenomen in ruimte 4-10.603</t>
  </si>
  <si>
    <t>opgenomen in ruimte 4-10.605</t>
  </si>
  <si>
    <t>Publieksroltrap Uitgang Vrolikstraat - Hal</t>
  </si>
  <si>
    <t>Publiekstrap Uitgang Vrolikstraat - Hal</t>
  </si>
  <si>
    <t>Publieksroltrap Uitgang Grensstraat - Hal</t>
  </si>
  <si>
    <t>Publiekstrap Uitgang Grensstraat - Hal</t>
  </si>
  <si>
    <t>Publiekstrap Uitgang Platanenweg - Hal</t>
  </si>
  <si>
    <t>Publieksroltrap Uitgang Platanenweg - Hal</t>
  </si>
  <si>
    <t>Publiekstrap Uitgang Gijsbrecht van Aemstelstraat - Hal</t>
  </si>
  <si>
    <t>Publieksroltrap Uitgang Gijsbrecht van Aemstelstraat - Hal</t>
  </si>
  <si>
    <t>Lift 31 Uitgang Vrolikstraat - Hal</t>
  </si>
  <si>
    <t>Lift 02 Hal - Perron</t>
  </si>
  <si>
    <t>2-0216</t>
  </si>
  <si>
    <t>2-0217</t>
  </si>
  <si>
    <t>2-0218</t>
  </si>
  <si>
    <t>2-10.508</t>
  </si>
  <si>
    <t>2-10.509</t>
  </si>
  <si>
    <t>2-10.605</t>
  </si>
  <si>
    <t>2-1929</t>
  </si>
  <si>
    <t>2-1930</t>
  </si>
  <si>
    <t>3-0215</t>
  </si>
  <si>
    <t>3-1918</t>
  </si>
  <si>
    <t>3-1919</t>
  </si>
  <si>
    <t>3-1920</t>
  </si>
  <si>
    <t>3-1922</t>
  </si>
  <si>
    <t>4-0204</t>
  </si>
  <si>
    <t>4-0205</t>
  </si>
  <si>
    <t>4-0206</t>
  </si>
  <si>
    <t>4-0207</t>
  </si>
  <si>
    <t>4-0219</t>
  </si>
  <si>
    <t>4-0220</t>
  </si>
  <si>
    <t>4-0221</t>
  </si>
  <si>
    <t>4-0226</t>
  </si>
  <si>
    <t>4-04.101</t>
  </si>
  <si>
    <t>Laagspanningsverdeelrruimte</t>
  </si>
  <si>
    <t>4-05.301</t>
  </si>
  <si>
    <t>4-05.302</t>
  </si>
  <si>
    <t>4-05.303</t>
  </si>
  <si>
    <t>4-05.304</t>
  </si>
  <si>
    <t>4-0805</t>
  </si>
  <si>
    <t>4-10.606</t>
  </si>
  <si>
    <t>4-10.703</t>
  </si>
  <si>
    <t>4-1913</t>
  </si>
  <si>
    <t>4-1931</t>
  </si>
  <si>
    <t>5-0207</t>
  </si>
  <si>
    <t>5-0208</t>
  </si>
  <si>
    <t>5-0209</t>
  </si>
  <si>
    <t>5-0210</t>
  </si>
  <si>
    <t>5-0211</t>
  </si>
  <si>
    <t>5-0223</t>
  </si>
  <si>
    <t>5-0224</t>
  </si>
  <si>
    <t>5-04.101</t>
  </si>
  <si>
    <t>Kelder UPS Ruimtes</t>
  </si>
  <si>
    <t>5-05.305</t>
  </si>
  <si>
    <t>5-10.606</t>
  </si>
  <si>
    <t>Plafond: HWC</t>
  </si>
  <si>
    <t>Opgenomen bij 2-1907</t>
  </si>
  <si>
    <t>Plafond: 20% HWC</t>
  </si>
  <si>
    <t>Plafond: volkern</t>
  </si>
  <si>
    <t>Dezelfde trap als 2-0107</t>
  </si>
  <si>
    <t>Dezelfde trap als 2-0109</t>
  </si>
  <si>
    <t>Dezelfde trap als 2-0110</t>
  </si>
  <si>
    <t>Dezelfde trap als 4-0207</t>
  </si>
  <si>
    <t>Dezelfde trap als 4-0222</t>
  </si>
  <si>
    <t>opgenomen als trap 2-0106</t>
  </si>
  <si>
    <t>opgenomen als roltrap 2-0109</t>
  </si>
  <si>
    <t>opgenomen als trap 2-0110</t>
  </si>
  <si>
    <t>Amstel</t>
  </si>
  <si>
    <t>signaleringsruimte s en t</t>
  </si>
  <si>
    <t>ruimte voor luchtbehandeling</t>
  </si>
  <si>
    <t>magazijnruimte s en t</t>
  </si>
  <si>
    <t>Bim Huis</t>
  </si>
  <si>
    <t>laagspanning</t>
  </si>
  <si>
    <t>lgsp</t>
  </si>
  <si>
    <t>telecom gvb</t>
  </si>
  <si>
    <t>Ijtram</t>
  </si>
  <si>
    <t>Schoonmaak opslag</t>
  </si>
  <si>
    <t>Voorportaal liftmachinekamer</t>
  </si>
  <si>
    <t>Voorportaal technischeruimte</t>
  </si>
  <si>
    <t>Hoogspanning / tractieruimte</t>
  </si>
  <si>
    <t>Sanitaire ruimte</t>
  </si>
  <si>
    <t>Lege ruimte</t>
  </si>
  <si>
    <t>Roltrap 1</t>
  </si>
  <si>
    <t>Roltrap 2</t>
  </si>
  <si>
    <t>Roltrap 3</t>
  </si>
  <si>
    <t>MER ruimte</t>
  </si>
  <si>
    <t>traanplaat</t>
  </si>
  <si>
    <t>RVS</t>
  </si>
  <si>
    <t>Wanden zijn meegenomen bij de hallen</t>
  </si>
  <si>
    <t>Zuid RVS</t>
  </si>
  <si>
    <t>Wanden meegenomen bij roltrapserviceruimte, kelder niveau</t>
  </si>
  <si>
    <t xml:space="preserve">Ruimte niet betreedbaar. </t>
  </si>
  <si>
    <t>oost RVS</t>
  </si>
  <si>
    <t>west RVS</t>
  </si>
  <si>
    <t>gevel landhoofd</t>
  </si>
  <si>
    <t>gevel westkant</t>
  </si>
  <si>
    <t xml:space="preserve">west </t>
  </si>
  <si>
    <t>west, wordt gebruikt als vuilopslag</t>
  </si>
  <si>
    <t>west, wordt niet gebruikt als vuilopslag</t>
  </si>
  <si>
    <t>oost, Is eigenlijks een gang</t>
  </si>
  <si>
    <t>oost, Hago? Werkkast?</t>
  </si>
  <si>
    <t>oost (m2 wand van kelder tot aan 2 verdiepingen daarboven (1 aaneengesloten ruimte)</t>
  </si>
  <si>
    <t>Rietlandpark</t>
  </si>
  <si>
    <t>Liftmachine</t>
  </si>
  <si>
    <t>opslag</t>
  </si>
  <si>
    <t>Schakelruimte</t>
  </si>
  <si>
    <t>Meterkast</t>
  </si>
  <si>
    <t>nb</t>
  </si>
  <si>
    <t>Buitenzijde stationshal</t>
  </si>
  <si>
    <t>Ruimteomschrijving GVB</t>
  </si>
  <si>
    <t>Vloer soort</t>
  </si>
  <si>
    <t>Diverse</t>
  </si>
  <si>
    <t>Prijs per jaar</t>
  </si>
  <si>
    <t>B.T.W.</t>
  </si>
  <si>
    <t>Totale kosten per jaar inclusief B.T.W.</t>
  </si>
  <si>
    <t>0-100m2</t>
  </si>
  <si>
    <t>101-500m2</t>
  </si>
  <si>
    <t>Kosten per locatie</t>
  </si>
  <si>
    <t>Bijzonderheden</t>
  </si>
  <si>
    <t>m2 vloer</t>
  </si>
  <si>
    <t>Eindtotaal</t>
  </si>
  <si>
    <t>Stations</t>
  </si>
  <si>
    <t>Bewerking</t>
  </si>
  <si>
    <t>Uren per keer</t>
  </si>
  <si>
    <t>Uren per jaar</t>
  </si>
  <si>
    <t>dag 9.00 tot 15.00</t>
  </si>
  <si>
    <t>Omschrijving opdracht</t>
  </si>
  <si>
    <t>Eenheid</t>
  </si>
  <si>
    <t>Aantal</t>
  </si>
  <si>
    <t>Omschrijving</t>
  </si>
  <si>
    <t>Catalogusprijs</t>
  </si>
  <si>
    <t>Korting</t>
  </si>
  <si>
    <t>Netto aanschafprijs</t>
  </si>
  <si>
    <t xml:space="preserve">Afschrijvingstermijn in jaren </t>
  </si>
  <si>
    <t>Restwaarde</t>
  </si>
  <si>
    <t>Afschrijvingskosten per jaar</t>
  </si>
  <si>
    <t xml:space="preserve">Renteverlies per jaar </t>
  </si>
  <si>
    <t xml:space="preserve">Verzekeringskosten per jaar </t>
  </si>
  <si>
    <t>Totaal kosten bij koop per jaar per machine</t>
  </si>
  <si>
    <t>Inzet van het aantal machines [stuks]</t>
  </si>
  <si>
    <t>Totaal kosten bij koop per jaar voor GVB</t>
  </si>
  <si>
    <t>Prijs p/m2  excl. btw</t>
  </si>
  <si>
    <t>Activiteit</t>
  </si>
  <si>
    <t>Toelichting</t>
  </si>
  <si>
    <t>Lino-/marmoleum conserveren</t>
  </si>
  <si>
    <t>2 lagen</t>
  </si>
  <si>
    <t>Lino-/marmoleum sprayen</t>
  </si>
  <si>
    <t>geheel</t>
  </si>
  <si>
    <t>Steen/PVC schrobben</t>
  </si>
  <si>
    <t>Tapijt sproeiextraheren</t>
  </si>
  <si>
    <t>Opmerking:</t>
  </si>
  <si>
    <t>Alle prijzen inclusief materialen en middelen, voorrijkosten en overige bijkomende kosten.</t>
  </si>
  <si>
    <t>Alle prijzen exclusief btw</t>
  </si>
  <si>
    <t>Element</t>
  </si>
  <si>
    <t>Prijs per beurt</t>
  </si>
  <si>
    <t>Prijs per eenheid</t>
  </si>
  <si>
    <t>Stationsgebouw</t>
  </si>
  <si>
    <t>Decoratief opengewerkt RVS Hekwerk buitenzijde</t>
  </si>
  <si>
    <t>m2</t>
  </si>
  <si>
    <t>Decoratief opengewerkt RVS Hekwerk binnenzijde</t>
  </si>
  <si>
    <t>Vlakke RVS beplating</t>
  </si>
  <si>
    <t>Perronoverkapping</t>
  </si>
  <si>
    <t>RVS beplating boeideel spoor 1</t>
  </si>
  <si>
    <t>RVs beplating boeideel spoor 2</t>
  </si>
  <si>
    <t>RVS beplating kopgevel zuidzijde ( bereikbaar steiger)</t>
  </si>
  <si>
    <t>RVS beplating kopgevel noordzijde ( bereikbaar hoogwerker)</t>
  </si>
  <si>
    <t>Inzet spoorweg veiligheid</t>
  </si>
  <si>
    <t>Wand gevel</t>
  </si>
  <si>
    <t>opgenomen als roltrap 0-0104</t>
  </si>
  <si>
    <t>HWC-plafond Wandgevel 27 m2</t>
  </si>
  <si>
    <t>fermacel-plafond</t>
  </si>
  <si>
    <t>opgenomen als trap 2-0211</t>
  </si>
  <si>
    <t>Schacht, geen vloer, - wand</t>
  </si>
  <si>
    <t>Waterkraan</t>
  </si>
  <si>
    <t>valt buiten station</t>
  </si>
  <si>
    <t>valt buiten station, wand gevel</t>
  </si>
  <si>
    <t>Systeemplafond</t>
  </si>
  <si>
    <t>opgenomen als roltrap 2-0106</t>
  </si>
  <si>
    <t>opgenomen als roltrap 2-0110</t>
  </si>
  <si>
    <t>opgenomen als roltrap 2-0111</t>
  </si>
  <si>
    <t>inlc. 80 m2 wand gevel</t>
  </si>
  <si>
    <t>inlc. 108 m2 wand gevel</t>
  </si>
  <si>
    <t>inlc. 31 m2 wand gevel</t>
  </si>
  <si>
    <t>inlc. 78 m2 wand gevel</t>
  </si>
  <si>
    <t>opgenomen als roltrap 2-0115</t>
  </si>
  <si>
    <t>vanaf tekening</t>
  </si>
  <si>
    <t>opgenomen als ruimte 3-10.303</t>
  </si>
  <si>
    <t>Wand:gevel</t>
  </si>
  <si>
    <t>opgenomen in kabelkelder</t>
  </si>
  <si>
    <t>opgenomen als trap 3-0214</t>
  </si>
  <si>
    <t>geen vloer en plafond aanwezig</t>
  </si>
  <si>
    <t>Betton</t>
  </si>
  <si>
    <t>Prijsvorming Regie werkzaamheden  ( Vloeronderhoud is inclusief uit-/inruimen van het meubilair)</t>
  </si>
  <si>
    <t>Buitenglas (gevel/perron)</t>
  </si>
  <si>
    <t>nee</t>
  </si>
  <si>
    <t>Separatieglas</t>
  </si>
  <si>
    <t>Binnenglas (gevel/perron)</t>
  </si>
  <si>
    <t>ja</t>
  </si>
  <si>
    <t>Glas winkels</t>
  </si>
  <si>
    <t xml:space="preserve"> Nieuwmarkt</t>
  </si>
  <si>
    <t>T &amp; I , opkomstruimte, binnenzijde</t>
  </si>
  <si>
    <t>T &amp; I , opkomstruimte, halzijde</t>
  </si>
  <si>
    <t>Binnenglas (dak/kap)</t>
  </si>
  <si>
    <t>Vide voor lift 01</t>
  </si>
  <si>
    <t>Buitenglas (dak/kap)</t>
  </si>
  <si>
    <t>Liftschacht binnenzijde</t>
  </si>
  <si>
    <t>schacht</t>
  </si>
  <si>
    <t>Liftschacht buitenzijde</t>
  </si>
  <si>
    <t>Liftkooi binnenzijde</t>
  </si>
  <si>
    <t>deuren</t>
  </si>
  <si>
    <t>Liftkooi buitenzijde</t>
  </si>
  <si>
    <t>lift 01</t>
  </si>
  <si>
    <t>perroncabine, binnenzijde</t>
  </si>
  <si>
    <t>perroncabine, buitenzijde</t>
  </si>
  <si>
    <t>T &amp; I verdeelhal, binnen</t>
  </si>
  <si>
    <t>T &amp; I verdeelhal, buiten</t>
  </si>
  <si>
    <t>lift 03</t>
  </si>
  <si>
    <t>trap nieuwe Hoogstraat</t>
  </si>
  <si>
    <t xml:space="preserve"> Waterlooplein</t>
  </si>
  <si>
    <t>Binnenzijde boven roltrap</t>
  </si>
  <si>
    <t>Buitenzijde boven roltrap</t>
  </si>
  <si>
    <t>lift 02</t>
  </si>
  <si>
    <t>Buitenzijde van ruimte 1-1703</t>
  </si>
  <si>
    <t>Buitenzijde van ruimte 1-1701</t>
  </si>
  <si>
    <t>Binnenzijde boven roltrap 2-0101</t>
  </si>
  <si>
    <t>Buitenzijde boven roltrap 2-0101</t>
  </si>
  <si>
    <t>Buitenzijde van ruimte 1-1706</t>
  </si>
  <si>
    <t>Buitenzijde van ruimte 1-1712</t>
  </si>
  <si>
    <t>Buitenzijde van ruimte 1-1708</t>
  </si>
  <si>
    <t>Binnenzijde boven trap/roltrap</t>
  </si>
  <si>
    <t>Binnenzijde van ruimte</t>
  </si>
  <si>
    <t>Buitenzijde van ruimte</t>
  </si>
  <si>
    <t xml:space="preserve"> Weesperplein</t>
  </si>
  <si>
    <t>trap Sarphatistraat, buitenzijde</t>
  </si>
  <si>
    <t>trap Sarphatistraat, binnenzijde</t>
  </si>
  <si>
    <t>trap Stadstimmertuin, buitenzijde</t>
  </si>
  <si>
    <t>trap Stadstimmertuin, trapzijde</t>
  </si>
  <si>
    <t>lift 13</t>
  </si>
  <si>
    <t>lift 23</t>
  </si>
  <si>
    <t xml:space="preserve"> Wibautstraat</t>
  </si>
  <si>
    <t>Uitgang boven trap/roltrap "binnenzijde"</t>
  </si>
  <si>
    <t>Buitengevel straatzijde</t>
  </si>
  <si>
    <t>Lift 02</t>
  </si>
  <si>
    <t>vide tussen sporen perron Oost</t>
  </si>
  <si>
    <t>vide tussen sporen perron West</t>
  </si>
  <si>
    <t>Lichtkoepels binnenzijde</t>
  </si>
  <si>
    <t>lichtstraat, plexiglas</t>
  </si>
  <si>
    <t>50% in spoor</t>
  </si>
  <si>
    <t>Lichtkoepels buitenzijde</t>
  </si>
  <si>
    <t>hal, voorzijde schacht</t>
  </si>
  <si>
    <t>liftkooi, deuren</t>
  </si>
  <si>
    <t>Van Der Madeweg</t>
  </si>
  <si>
    <t>Strandvliet / ArenA</t>
  </si>
  <si>
    <t>gevelkozijn, entreehal Noord (begane grond)</t>
  </si>
  <si>
    <t>Glaslamellen</t>
  </si>
  <si>
    <t>boven entree</t>
  </si>
  <si>
    <t>enkelzijdig</t>
  </si>
  <si>
    <t>boven perrondak</t>
  </si>
  <si>
    <t>gevelkozijn, entreehal Noord (vide-spoor)</t>
  </si>
  <si>
    <t>gevelkozijn, entreehal Noord (perron-spoor)</t>
  </si>
  <si>
    <t>lichtstraat boven trappen Noord</t>
  </si>
  <si>
    <t>niet ingemeten, vanaf tekening</t>
  </si>
  <si>
    <t>lichtkoepels in perronkap</t>
  </si>
  <si>
    <t>gevelkozijn, entreehal Zuid (begane grond)</t>
  </si>
  <si>
    <t>gevelkozijn, entreehal Zuid (vide-spoor)</t>
  </si>
  <si>
    <t>gevelkozijn, entreehal Zuid (perron-spoor)</t>
  </si>
  <si>
    <t>lichtstraat boven trappen Zuid</t>
  </si>
  <si>
    <t>geen ruimtenummer bekend</t>
  </si>
  <si>
    <t>balustrade perron - vide vluchttrap</t>
  </si>
  <si>
    <t>perron spoorzijde</t>
  </si>
  <si>
    <t>hal - perron</t>
  </si>
  <si>
    <t>liftkooi</t>
  </si>
  <si>
    <t>gevelkozijn, Ticket &amp; Info begane grond</t>
  </si>
  <si>
    <t>gevelkozijn, personeelsruimte 1e verdieping</t>
  </si>
  <si>
    <t>0 1903</t>
  </si>
  <si>
    <t>toegang tot 0 0202</t>
  </si>
  <si>
    <t>gevelkozijn, entreehal West (begane grond)</t>
  </si>
  <si>
    <t>gevelkozijn, entreehal West (boven entree)</t>
  </si>
  <si>
    <t>gevelkozijn, entreehal West (boven barriers)</t>
  </si>
  <si>
    <t>gevelkozijn, entreehal West (perron-spoor)</t>
  </si>
  <si>
    <t>lichtstraat boven trappen West</t>
  </si>
  <si>
    <t>lichtstraat boven trappen / hal Oost</t>
  </si>
  <si>
    <t>balustrade perron - vide trap hal Oost</t>
  </si>
  <si>
    <t>gevelkozijn, entreehal Oost (roltrap-spoor)</t>
  </si>
  <si>
    <t>gevelkozijn, entreehal Oost (perron-spoor)</t>
  </si>
  <si>
    <t>gevelkozijn, entreehal Oost (vide-spoor)</t>
  </si>
  <si>
    <t>gevelkozijn, entreehal Oost (liftschacht-spoor)</t>
  </si>
  <si>
    <t>liftschacht, entreehal Oost</t>
  </si>
  <si>
    <t>gevelkozijn, entreehal Oost (begane grond)</t>
  </si>
  <si>
    <t>gevelkozijn, entreehal Oost (winkels)</t>
  </si>
  <si>
    <t>gevelkozijn, entreehal Oost (personeelsruimte)</t>
  </si>
  <si>
    <t>gevelkozijn, entreehal Oost (voorruimte-0 0802)</t>
  </si>
  <si>
    <t>lichtstraat boven trappen / hal West</t>
  </si>
  <si>
    <t xml:space="preserve">Westhal, voorzijde schacht </t>
  </si>
  <si>
    <t>Oosthal, voorzijde schacht</t>
  </si>
  <si>
    <t>personeelshuisje op perron</t>
  </si>
  <si>
    <t>luifel achterzijde personeelshuisje</t>
  </si>
  <si>
    <t>gevelkozijn, entreehal (begane grond)</t>
  </si>
  <si>
    <t>gevelkozijn, entreehal (personeelsruimte)</t>
  </si>
  <si>
    <t>gevelkozijn, dakopbouw</t>
  </si>
  <si>
    <t xml:space="preserve">Entreehal, voorzijde schacht </t>
  </si>
  <si>
    <t>gevelkozijn, Westhal (begane grond)</t>
  </si>
  <si>
    <t>boven entree Westhal</t>
  </si>
  <si>
    <t>boven perrondak Westhal</t>
  </si>
  <si>
    <t>balustrade perron - trap hal West</t>
  </si>
  <si>
    <t>voorzijde en zijkant schacht Westhal</t>
  </si>
  <si>
    <t>gevelkozijn, entreehal West (vide-spoor)</t>
  </si>
  <si>
    <t>boven entree Oosthal</t>
  </si>
  <si>
    <t>boven perrondak Oosthal</t>
  </si>
  <si>
    <t>balustrade perron - trap hal Oost</t>
  </si>
  <si>
    <t>voorzijde en zijkant schacht Oosthal</t>
  </si>
  <si>
    <t>kozijn tussen 0 0102 en 0 0203</t>
  </si>
  <si>
    <t>gevelkozijn, dienstgang Oosthal</t>
  </si>
  <si>
    <t>gevelkozijn, (buitenbordes-Oosthal)</t>
  </si>
  <si>
    <t>gevelkozijn, personeelsruimte (begane grond)</t>
  </si>
  <si>
    <t>gevelkozijn, entreehal (vide-spoor)</t>
  </si>
  <si>
    <t>gevelkozijn, entreehal (perron-spoor)</t>
  </si>
  <si>
    <t>lichtstraat boven trappen</t>
  </si>
  <si>
    <t>hal, voorzijde en zijkant schacht</t>
  </si>
  <si>
    <t>balustrade perron - trap hal</t>
  </si>
  <si>
    <t>glazen dak boven perron</t>
  </si>
  <si>
    <t>glazen dak boven perron - spoor</t>
  </si>
  <si>
    <t>beglazing buitenzijde spoor</t>
  </si>
  <si>
    <t>beglazing kopkanten boven perron</t>
  </si>
  <si>
    <t>beglazing kopkanten boven perron - spoor</t>
  </si>
  <si>
    <t>gevelkozijn, voorzijde entreehal</t>
  </si>
  <si>
    <t>gevelkozijn, zijgevels entreehal</t>
  </si>
  <si>
    <t>totale schacht</t>
  </si>
  <si>
    <t>beglazing binnenkozijnen hal</t>
  </si>
  <si>
    <t>gevelkozijn, zijgevels perron</t>
  </si>
  <si>
    <t>beglazing deuren van o.a. 0 1901, 1 1903</t>
  </si>
  <si>
    <t>glazen dak boven roltrap - lift</t>
  </si>
  <si>
    <t>schacht hal</t>
  </si>
  <si>
    <t>schacht perron</t>
  </si>
  <si>
    <t>beglazing personeelsruimte - gevel</t>
  </si>
  <si>
    <t>Glassoort</t>
  </si>
  <si>
    <t>Kosten per beurt</t>
  </si>
  <si>
    <t>Kosten per jaar</t>
  </si>
  <si>
    <t>EINDTOTAAL</t>
  </si>
  <si>
    <t>Diemen-Zuid</t>
  </si>
  <si>
    <t>Verrijn stuartweg</t>
  </si>
  <si>
    <t>fixed barriers (1,70 meter hoog)</t>
  </si>
  <si>
    <t>Fixed barriers</t>
  </si>
  <si>
    <t>M2 Glas</t>
  </si>
  <si>
    <t xml:space="preserve">Tegels / beton </t>
  </si>
  <si>
    <t>staal</t>
  </si>
  <si>
    <t>computervloer</t>
  </si>
  <si>
    <t>beton / tegels</t>
  </si>
  <si>
    <t>betontegel</t>
  </si>
  <si>
    <t>stoeptegel</t>
  </si>
  <si>
    <t>asfalt</t>
  </si>
  <si>
    <t>geen ruimte van GVB</t>
  </si>
  <si>
    <t>Achter expositie, gaat weg?</t>
  </si>
  <si>
    <t>input diederick</t>
  </si>
  <si>
    <t>kelder hier hoeft niks te gebeuren</t>
  </si>
  <si>
    <t>Stationsnr</t>
  </si>
  <si>
    <t>Tijdstip</t>
  </si>
  <si>
    <t>van der Madeweg</t>
  </si>
  <si>
    <t>Perron m²</t>
  </si>
  <si>
    <t>Hallen m²</t>
  </si>
  <si>
    <t>SUPPLETIEKOSTEN OVERNAME PERSONEEL</t>
  </si>
  <si>
    <t>Oostlijn Ondergronds</t>
  </si>
  <si>
    <t>reinigen geveldelen opgangen buitenzijde op straatniveau</t>
  </si>
  <si>
    <t>overzijde entree tussen de regenpijpen</t>
  </si>
  <si>
    <t>gevel onderzijde station parkeerplaatszijde</t>
  </si>
  <si>
    <t xml:space="preserve">gevel beplating boven entree buitenzijde </t>
  </si>
  <si>
    <t>wanden binnenzijde hoge stationshal</t>
  </si>
  <si>
    <t>plafond binnenzijde hoge stationshal incl. constructie, lampen en speakers</t>
  </si>
  <si>
    <t>wanden op straatniveau onder viaduct</t>
  </si>
  <si>
    <t>de opgangen boven straatniveau aan de buitenzijde</t>
  </si>
  <si>
    <t>opgenomen in andere ruimte</t>
  </si>
  <si>
    <t>Eind totaal</t>
  </si>
  <si>
    <t>Perron A</t>
  </si>
  <si>
    <t>Steen</t>
  </si>
  <si>
    <t>metaal</t>
  </si>
  <si>
    <t xml:space="preserve">gang  </t>
  </si>
  <si>
    <t xml:space="preserve">technische ruimte </t>
  </si>
  <si>
    <t xml:space="preserve">berging </t>
  </si>
  <si>
    <t>Perron B</t>
  </si>
  <si>
    <t xml:space="preserve">toilet </t>
  </si>
  <si>
    <t xml:space="preserve">trap </t>
  </si>
  <si>
    <t>rooster</t>
  </si>
  <si>
    <t>Nacht 01.00 /05.00</t>
  </si>
  <si>
    <t>Inzet LWB/veiligheidspersoon / leider lokale veiligheid spoor 2</t>
  </si>
  <si>
    <t>Kosten veiligheidspersoon / leider lokale veiligheid per beurt</t>
  </si>
  <si>
    <t>Kosten veiligheidspersoon / leider lokale veiligheid per jaar</t>
  </si>
  <si>
    <t>Uren per beurt</t>
  </si>
  <si>
    <t>Schoonmaak</t>
  </si>
  <si>
    <t>Toezicht</t>
  </si>
  <si>
    <t>Roltraptreden vrij van gehecht vuil (incl. groeven)</t>
  </si>
  <si>
    <t>Datum:</t>
  </si>
  <si>
    <t>Handtekening rechtsgeldig vertegenwoordiger:</t>
  </si>
  <si>
    <t>Naam:</t>
  </si>
  <si>
    <t>Functie:</t>
  </si>
  <si>
    <t>Organisatie:</t>
  </si>
  <si>
    <t>Houten delen inclusief constructie boven de 2,5 meter</t>
  </si>
  <si>
    <t>Liter</t>
  </si>
  <si>
    <t>Producten</t>
  </si>
  <si>
    <t>Pre Clean N-creme</t>
  </si>
  <si>
    <t>Pre Clean AL 10</t>
  </si>
  <si>
    <t>PreCare RenoCoat</t>
  </si>
  <si>
    <t>Materialen en bereikbaarheidsvoorzieningen</t>
  </si>
  <si>
    <t>Afspoelen met leiding water</t>
  </si>
  <si>
    <t>Innevelen met AL 10</t>
  </si>
  <si>
    <t>Afspoelen warm water ( HD)</t>
  </si>
  <si>
    <t>Voorgeschreven methodiek</t>
  </si>
  <si>
    <t>Conserveren met RenoCoat</t>
  </si>
  <si>
    <t>Handmatig polijsten met N-creme</t>
  </si>
  <si>
    <t>Uren per eenheid</t>
  </si>
  <si>
    <t>Glas binnenzijde boven perron</t>
  </si>
  <si>
    <t>Glas binnenzijde boven spoor, uitvoering in het spoor</t>
  </si>
  <si>
    <t>Glas buitenzijde boven perron</t>
  </si>
  <si>
    <t>Glas buitenzijde boven spoor</t>
  </si>
  <si>
    <t>Buitenruimte tourniquets</t>
  </si>
  <si>
    <t>bestrating</t>
  </si>
  <si>
    <t>Prijs p/uur  excl. btw</t>
  </si>
  <si>
    <t>Medewerker regulier onderhoud</t>
  </si>
  <si>
    <t>Medewerker specialistisch onderhoud</t>
  </si>
  <si>
    <t>Veiligheidspersoon / leider lokale veiligheid</t>
  </si>
  <si>
    <t>Onderhoudskosten per jaar</t>
  </si>
  <si>
    <t>Ingang Stadstimmertuin</t>
  </si>
  <si>
    <t>Ingang Sarphatistraat</t>
  </si>
  <si>
    <t>Mutatiedatum</t>
  </si>
  <si>
    <t>Omschrijving mutatie</t>
  </si>
  <si>
    <t>Doorgevoerd</t>
  </si>
  <si>
    <t>Aanvullende opmerking</t>
  </si>
  <si>
    <t>Rai</t>
  </si>
  <si>
    <t>Ringlijn</t>
  </si>
  <si>
    <t>Lelylaan</t>
  </si>
  <si>
    <t>Sloterdijk</t>
  </si>
  <si>
    <t>Amstelveenseweg</t>
  </si>
  <si>
    <t>Jan van Galenstraat</t>
  </si>
  <si>
    <t>De Vluchtlaan</t>
  </si>
  <si>
    <t>Henk Sneevlietweg</t>
  </si>
  <si>
    <t>Heemstedestraat</t>
  </si>
  <si>
    <t>Postjesweg</t>
  </si>
  <si>
    <t>Amstelveenlijn</t>
  </si>
  <si>
    <t>Van Boshuizenstraat</t>
  </si>
  <si>
    <t>Uilenstede</t>
  </si>
  <si>
    <t>Kronenburg</t>
  </si>
  <si>
    <t>Zonnestein</t>
  </si>
  <si>
    <t>Onderuit</t>
  </si>
  <si>
    <t>Oranjebaan</t>
  </si>
  <si>
    <t>Overamstel</t>
  </si>
  <si>
    <t>Isolatorweg</t>
  </si>
  <si>
    <t>wanden , ingangen-trappen landhoofd</t>
  </si>
  <si>
    <t>Liftopbouw</t>
  </si>
  <si>
    <t>RAI</t>
  </si>
  <si>
    <t>Opgang, perron</t>
  </si>
  <si>
    <t>Binnenzijde ruimte</t>
  </si>
  <si>
    <t>Buitengevel, spoorzijde</t>
  </si>
  <si>
    <t>Buitengevel, perron</t>
  </si>
  <si>
    <t>Opgang</t>
  </si>
  <si>
    <t>T&amp;I</t>
  </si>
  <si>
    <t>Buitengevel</t>
  </si>
  <si>
    <t>Binnenzijde, opgang naast NS</t>
  </si>
  <si>
    <t>Buitenzijde, opgang naast NS, in spoor</t>
  </si>
  <si>
    <t>Buitenzijde, opgang naast NS</t>
  </si>
  <si>
    <t>Plat, opgang naast NS</t>
  </si>
  <si>
    <t>Ronding, opgang naast NS</t>
  </si>
  <si>
    <t>lift, opgang naast NS</t>
  </si>
  <si>
    <t>Binnenzijde opgang</t>
  </si>
  <si>
    <t>Buitenzijde opgang, in spoor</t>
  </si>
  <si>
    <t>Buitenzijde opgang</t>
  </si>
  <si>
    <t>Plat</t>
  </si>
  <si>
    <t>Ronding</t>
  </si>
  <si>
    <t>Sheddak in hal</t>
  </si>
  <si>
    <t>Puien trap - perron, spoorzijde</t>
  </si>
  <si>
    <t>Puien trap - perron, perronzijde</t>
  </si>
  <si>
    <t>Puien trap - perron, trapzijde</t>
  </si>
  <si>
    <t>Gebogen puien trap - perron, spoorzijde</t>
  </si>
  <si>
    <t>Gebogen puien trap - perron, perronzijde</t>
  </si>
  <si>
    <t>Gebogen puien trap - perron, trapzijde</t>
  </si>
  <si>
    <t>Pui perron naast lift</t>
  </si>
  <si>
    <t>Trap / Liftschacht</t>
  </si>
  <si>
    <t>Entree perron</t>
  </si>
  <si>
    <t>Zijkant schacht op perron</t>
  </si>
  <si>
    <t>Voorzijde schacht vanaf maaiveld</t>
  </si>
  <si>
    <t>Zijkant schacht naast trap</t>
  </si>
  <si>
    <t>Puien boven trap entree, trapzijde</t>
  </si>
  <si>
    <t>Puien boven trap entree, buitenzijde</t>
  </si>
  <si>
    <t>Balustrade perron - trap</t>
  </si>
  <si>
    <t>Zijkant schacht in spoor</t>
  </si>
  <si>
    <t>Balustrade perron - trap, 2e toegang</t>
  </si>
  <si>
    <t>Henk sneelvlietweg</t>
  </si>
  <si>
    <t>Balustrade perron - trappen</t>
  </si>
  <si>
    <t>Balustrade kop perron, spoorzijde</t>
  </si>
  <si>
    <t>Balustrade kop perron, perronzijde</t>
  </si>
  <si>
    <t>Ronde ramen in schacht</t>
  </si>
  <si>
    <t>Liftkooi</t>
  </si>
  <si>
    <t>Kap</t>
  </si>
  <si>
    <t>Dienstgang maaiveld</t>
  </si>
  <si>
    <t>0-0202</t>
  </si>
  <si>
    <t>0-0201</t>
  </si>
  <si>
    <t>Jan v. Gaalenstraat</t>
  </si>
  <si>
    <t>Kap spoor</t>
  </si>
  <si>
    <t>Middenkap</t>
  </si>
  <si>
    <t>Balustrade perron trap H = 0,6 m¹</t>
  </si>
  <si>
    <t>Balustrade perron trap H = 2,15 m¹</t>
  </si>
  <si>
    <t>Toegang</t>
  </si>
  <si>
    <t>Balustrade trap</t>
  </si>
  <si>
    <t>Gevelpuien entreehal, binnenzijde</t>
  </si>
  <si>
    <t>Personeelsruimte kop perron</t>
  </si>
  <si>
    <t>Balustrade vide - trap entree</t>
  </si>
  <si>
    <t>Gelijkrichter Ringvaart</t>
  </si>
  <si>
    <t>Gelijkrichterstations</t>
  </si>
  <si>
    <t>0201</t>
  </si>
  <si>
    <t>gevelkozijn, entree</t>
  </si>
  <si>
    <t>plexiglas, glas van deuren in toiletruimten GR RVT niet opgenomen (2x 0,35x 0,70 enkelzijdig gemeten)</t>
  </si>
  <si>
    <t>plexiglas</t>
  </si>
  <si>
    <t>0604</t>
  </si>
  <si>
    <t>gevelkozijnen, werkplaats</t>
  </si>
  <si>
    <t>0901</t>
  </si>
  <si>
    <t>gevelkozijnen, personeelsruimte</t>
  </si>
  <si>
    <t>Gelijkrichter CVL terrein</t>
  </si>
  <si>
    <t>0.001</t>
  </si>
  <si>
    <t>glas van deuren in toiletruimten GR SLW niet opgenomen (2x 0,35x 0,70 enkelzijdig gemeten)</t>
  </si>
  <si>
    <t>0.005</t>
  </si>
  <si>
    <t>traliewerk 2x 1,0x 2,1 m¹</t>
  </si>
  <si>
    <t>0.002</t>
  </si>
  <si>
    <t>Gelijkrichter Strandvliet</t>
  </si>
  <si>
    <t>Gelijkrichter Bullewijk</t>
  </si>
  <si>
    <t>Gelijkrichter Reigersbos</t>
  </si>
  <si>
    <t>glas van deuren in toiletruimten GR RGB niet opgenomen (2x 0,35x 0,70 enkelzijdig gemeten)</t>
  </si>
  <si>
    <t>traliewerk 2x 1,0x 3,0 m¹</t>
  </si>
  <si>
    <t>Gelijkrichter Kraaiennest</t>
  </si>
  <si>
    <t>glas van deuren in toiletruimten GR KEN niet opgenomen (2x 0,35x 0,70 enkelzijdig gemeten)</t>
  </si>
  <si>
    <t>Gelijkrichter Verrijn Stuartweg</t>
  </si>
  <si>
    <t>glas van deuren in toiletruimten GR VSW niet opgenomen (2x 0,35x 0,70 enkelzijdig gemeten)</t>
  </si>
  <si>
    <t>traliewerk 1x 1,0x 2,1 m¹</t>
  </si>
  <si>
    <t>Gelijkrichter Venserpolder</t>
  </si>
  <si>
    <t>glas van deuren in toiletruimten GR VPD niet opgenomen (2x 0,35x 0,70 enkelzijdig gemeten)</t>
  </si>
  <si>
    <t>Gelijkrichter Haarlemmerweg</t>
  </si>
  <si>
    <t>Gelijkrichter Rozenoordbrug</t>
  </si>
  <si>
    <t>Gelijkrichter Schinkelbrug</t>
  </si>
  <si>
    <t>Gelijkrichter Heemstedestraat</t>
  </si>
  <si>
    <t>Gelijkrichter Postjesweg</t>
  </si>
  <si>
    <t>Gelijkrichter Isolatorweg</t>
  </si>
  <si>
    <t>3011</t>
  </si>
  <si>
    <t>30112</t>
  </si>
  <si>
    <t>3021</t>
  </si>
  <si>
    <t>30212</t>
  </si>
  <si>
    <t>3031</t>
  </si>
  <si>
    <t>30312</t>
  </si>
  <si>
    <t>3041</t>
  </si>
  <si>
    <t>30412</t>
  </si>
  <si>
    <t>3052</t>
  </si>
  <si>
    <t>3051</t>
  </si>
  <si>
    <t>30512</t>
  </si>
  <si>
    <t>3061</t>
  </si>
  <si>
    <t>30612</t>
  </si>
  <si>
    <t>30712</t>
  </si>
  <si>
    <t>3071</t>
  </si>
  <si>
    <t>3081</t>
  </si>
  <si>
    <t>30812</t>
  </si>
  <si>
    <t>3091</t>
  </si>
  <si>
    <t>30912</t>
  </si>
  <si>
    <t>3101</t>
  </si>
  <si>
    <t>31012</t>
  </si>
  <si>
    <t>3111</t>
  </si>
  <si>
    <t>31112</t>
  </si>
  <si>
    <t>3121</t>
  </si>
  <si>
    <t>31212</t>
  </si>
  <si>
    <t>4011</t>
  </si>
  <si>
    <t>4021</t>
  </si>
  <si>
    <t>4051</t>
  </si>
  <si>
    <t>4061</t>
  </si>
  <si>
    <t>4071</t>
  </si>
  <si>
    <t>4081</t>
  </si>
  <si>
    <t>A.J. Ernsstraat</t>
  </si>
  <si>
    <t>Ringvaart</t>
  </si>
  <si>
    <t>Gelijkrichter station</t>
  </si>
  <si>
    <t>Gelijkrichter Zuid</t>
  </si>
  <si>
    <t>trappen</t>
  </si>
  <si>
    <t>Trappen incl bordes</t>
  </si>
  <si>
    <t xml:space="preserve">zie tunnelwand </t>
  </si>
  <si>
    <t>trap</t>
  </si>
  <si>
    <t xml:space="preserve">perron </t>
  </si>
  <si>
    <t>T-ruimte</t>
  </si>
  <si>
    <t>LSP-ruimte</t>
  </si>
  <si>
    <t>service kast</t>
  </si>
  <si>
    <t>binnen areeal mv</t>
  </si>
  <si>
    <t>lift  mv (Talud zijde)</t>
  </si>
  <si>
    <t>lift mv (midden)</t>
  </si>
  <si>
    <t>Ticket &amp;info (incl sanitair)</t>
  </si>
  <si>
    <t>tegelvloer toilet 5m2 ….wordt gerenoveerd 2017</t>
  </si>
  <si>
    <t>gang/hal</t>
  </si>
  <si>
    <t>vloer oppbinn poortjes is 52 m2</t>
  </si>
  <si>
    <t>e/S&amp;T ruimte</t>
  </si>
  <si>
    <t>roltrapserviceruimte</t>
  </si>
  <si>
    <t>liftmachine kamer bordes</t>
  </si>
  <si>
    <t xml:space="preserve">lift </t>
  </si>
  <si>
    <t>trap (2x)</t>
  </si>
  <si>
    <t>tegels/coating alles in gang hal opgenomen</t>
  </si>
  <si>
    <t>aluminium met coating</t>
  </si>
  <si>
    <t>Kaartverkoop ticket en info</t>
  </si>
  <si>
    <t>gang/hal mv gvb terrein  (trap)</t>
  </si>
  <si>
    <t>wand 17 m2 golplaat</t>
  </si>
  <si>
    <t>accu</t>
  </si>
  <si>
    <t>roltrap/lift machineruimte</t>
  </si>
  <si>
    <t>onbenoemde lege ruimte</t>
  </si>
  <si>
    <t>lift richt itw</t>
  </si>
  <si>
    <t>golfplaten wand hal en perron</t>
  </si>
  <si>
    <t>2 trappen 76  in tot</t>
  </si>
  <si>
    <t>composiet / gietasfalt</t>
  </si>
  <si>
    <t>perron (onder luifel)</t>
  </si>
  <si>
    <t>hardsteen / betontegel</t>
  </si>
  <si>
    <t>perron (randen)</t>
  </si>
  <si>
    <t>Kaartverkoop rvs huisje</t>
  </si>
  <si>
    <t>2 roltrap 31  in tota</t>
  </si>
  <si>
    <t>HSP ruimte</t>
  </si>
  <si>
    <t>hal achter gateline</t>
  </si>
  <si>
    <t>2 x 45  in totaal</t>
  </si>
  <si>
    <t>straattegels</t>
  </si>
  <si>
    <t>hal (mv-straat)</t>
  </si>
  <si>
    <t>wandafwerking staat onder perron</t>
  </si>
  <si>
    <t>perron cabine</t>
  </si>
  <si>
    <t>laagspanningsruimte</t>
  </si>
  <si>
    <t xml:space="preserve">roltrap </t>
  </si>
  <si>
    <t>s-ruimte</t>
  </si>
  <si>
    <t>transformator ruimte</t>
  </si>
  <si>
    <t>gelijkrichter</t>
  </si>
  <si>
    <t xml:space="preserve">bestrating </t>
  </si>
  <si>
    <t>liftroltrapmachinekmr</t>
  </si>
  <si>
    <t>toilet</t>
  </si>
  <si>
    <t>werkkast</t>
  </si>
  <si>
    <t>vluchtgang</t>
  </si>
  <si>
    <t>lsp</t>
  </si>
  <si>
    <t>Transformatorruimte</t>
  </si>
  <si>
    <t>Gelijkrichterruimte</t>
  </si>
  <si>
    <t>(perron (randen)</t>
  </si>
  <si>
    <t>gang / hal</t>
  </si>
  <si>
    <t>perron ( onder luifel)</t>
  </si>
  <si>
    <t>S-ruimte</t>
  </si>
  <si>
    <t>staal met antislipcoating</t>
  </si>
  <si>
    <t>perron excl gla\en bouwsteen</t>
  </si>
  <si>
    <t>perron incl glazen bwsteen</t>
  </si>
  <si>
    <t>stalen platen</t>
  </si>
  <si>
    <t>perron verlenging tegelwerk straat</t>
  </si>
  <si>
    <t>gelijkrichterruimte</t>
  </si>
  <si>
    <t>lift machineruimte</t>
  </si>
  <si>
    <t>keuken</t>
  </si>
  <si>
    <t>werkruimte</t>
  </si>
  <si>
    <t>ict</t>
  </si>
  <si>
    <t>trafo</t>
  </si>
  <si>
    <t>kast</t>
  </si>
  <si>
    <t>trap kelder</t>
  </si>
  <si>
    <t>Personeelruimte</t>
  </si>
  <si>
    <t>0.003</t>
  </si>
  <si>
    <t>0.004</t>
  </si>
  <si>
    <t>Werkplaats</t>
  </si>
  <si>
    <t>Accu</t>
  </si>
  <si>
    <t>0.006</t>
  </si>
  <si>
    <t>Eigen beheer</t>
  </si>
  <si>
    <t>0.007</t>
  </si>
  <si>
    <t>Sectie Schakelruimte</t>
  </si>
  <si>
    <t>0.008</t>
  </si>
  <si>
    <t>gelijkrichterruimte 1</t>
  </si>
  <si>
    <t>0.009</t>
  </si>
  <si>
    <t>Trafo</t>
  </si>
  <si>
    <t>0.010</t>
  </si>
  <si>
    <t>gelijkrichterruimte 2</t>
  </si>
  <si>
    <t>0.011</t>
  </si>
  <si>
    <t>0.012</t>
  </si>
  <si>
    <t>0.013</t>
  </si>
  <si>
    <t>10 K.V.</t>
  </si>
  <si>
    <t>0.014</t>
  </si>
  <si>
    <t>0.015</t>
  </si>
  <si>
    <t>0.016</t>
  </si>
  <si>
    <t>Kleedruimte</t>
  </si>
  <si>
    <t>0.017</t>
  </si>
  <si>
    <t>L.S. Ruimte</t>
  </si>
  <si>
    <t>10 K.V. Schakelruimte</t>
  </si>
  <si>
    <t xml:space="preserve">Traforuimte </t>
  </si>
  <si>
    <t>Entree</t>
  </si>
  <si>
    <t>Trafo ruimte</t>
  </si>
  <si>
    <t>Portaal</t>
  </si>
  <si>
    <t>Schakel ruimte</t>
  </si>
  <si>
    <t>Reigerbos</t>
  </si>
  <si>
    <t>Magazijn</t>
  </si>
  <si>
    <t>Eigenbeheer</t>
  </si>
  <si>
    <t xml:space="preserve">gelijkrichterruimte </t>
  </si>
  <si>
    <t>0.018</t>
  </si>
  <si>
    <t>gelijkrchtersruimte</t>
  </si>
  <si>
    <t>Marmoleum en stalen rooster</t>
  </si>
  <si>
    <t>linkerzijde talud (laagspanning)</t>
  </si>
  <si>
    <t>wanden heraklit platen</t>
  </si>
  <si>
    <t>rechterzijde talud</t>
  </si>
  <si>
    <t>Haarlemmerweg</t>
  </si>
  <si>
    <t>transformatieruimte</t>
  </si>
  <si>
    <t>bestrating rondom</t>
  </si>
  <si>
    <t>Rozenoordbrug</t>
  </si>
  <si>
    <t>nuon ruimte (geen toegang)</t>
  </si>
  <si>
    <t>Schinkelbrug</t>
  </si>
  <si>
    <t>lsp ruimte</t>
  </si>
  <si>
    <t>onderdeel van 0 0202</t>
  </si>
  <si>
    <t>transformatorruimte</t>
  </si>
  <si>
    <t>bordes</t>
  </si>
  <si>
    <t xml:space="preserve">apparatenruimte </t>
  </si>
  <si>
    <t>systeem vloer</t>
  </si>
  <si>
    <t>geen toegang tot deze ruimte</t>
  </si>
  <si>
    <t>Stadshart</t>
  </si>
  <si>
    <t>Ouderkerkerlaan</t>
  </si>
  <si>
    <t>Sportlaan</t>
  </si>
  <si>
    <t>Meent</t>
  </si>
  <si>
    <t>Brink</t>
  </si>
  <si>
    <t>Poortwachter</t>
  </si>
  <si>
    <t>Sacharovlaan</t>
  </si>
  <si>
    <t>Westwijk</t>
  </si>
  <si>
    <t>klinker/straattegel</t>
  </si>
  <si>
    <t>Gele klinker</t>
  </si>
  <si>
    <t>RVS vloerplaat</t>
  </si>
  <si>
    <t>klinker</t>
  </si>
  <si>
    <t>Klinker</t>
  </si>
  <si>
    <t>balustradeglas incl leuning</t>
  </si>
  <si>
    <t>Glas oppervlak lift binnen</t>
  </si>
  <si>
    <t>Glas oppervlak lift buiten</t>
  </si>
  <si>
    <t>Glas in balustrade bij bordes</t>
  </si>
  <si>
    <t>JAARPRIJS TECHNISCHE SCHOONMAAK</t>
  </si>
  <si>
    <t>Ruimte nummer</t>
  </si>
  <si>
    <t>Prijs per uur</t>
  </si>
  <si>
    <t>Medewerker uitvoering</t>
  </si>
  <si>
    <t>Veiligheidspersoon</t>
  </si>
  <si>
    <t>Uurtarieven</t>
  </si>
  <si>
    <t>in m² per uur</t>
  </si>
  <si>
    <t>1-1801</t>
  </si>
  <si>
    <t>0 0401</t>
  </si>
  <si>
    <t>0 0301</t>
  </si>
  <si>
    <t>0 1301</t>
  </si>
  <si>
    <t>1.0102</t>
  </si>
  <si>
    <t>1.0103</t>
  </si>
  <si>
    <t>onbekend</t>
  </si>
  <si>
    <t>1.0104</t>
  </si>
  <si>
    <t>1.0105</t>
  </si>
  <si>
    <t>1.1003</t>
  </si>
  <si>
    <t>1.1004</t>
  </si>
  <si>
    <t>0.0101</t>
  </si>
  <si>
    <t>0.0201</t>
  </si>
  <si>
    <t>0.0202</t>
  </si>
  <si>
    <t>0.0203</t>
  </si>
  <si>
    <t>0.0401</t>
  </si>
  <si>
    <t>0.0501</t>
  </si>
  <si>
    <t>0.0601</t>
  </si>
  <si>
    <t>0.0801</t>
  </si>
  <si>
    <t>Lift 12</t>
  </si>
  <si>
    <t>Lift 22</t>
  </si>
  <si>
    <t>0.13.201</t>
  </si>
  <si>
    <t>0.1301</t>
  </si>
  <si>
    <t>0.1302</t>
  </si>
  <si>
    <t>0.1801</t>
  </si>
  <si>
    <t>0.1901</t>
  </si>
  <si>
    <t>0.1902</t>
  </si>
  <si>
    <t>0.1903</t>
  </si>
  <si>
    <t>2.0102</t>
  </si>
  <si>
    <t>2.0103</t>
  </si>
  <si>
    <t>2.0104</t>
  </si>
  <si>
    <t>2.0105</t>
  </si>
  <si>
    <t>2.1009</t>
  </si>
  <si>
    <t>2.1010</t>
  </si>
  <si>
    <t>1.0101</t>
  </si>
  <si>
    <t>1.0202</t>
  </si>
  <si>
    <t>1.0801</t>
  </si>
  <si>
    <t>1.0802</t>
  </si>
  <si>
    <t>1.0901</t>
  </si>
  <si>
    <t>1.0902</t>
  </si>
  <si>
    <t>1.0903</t>
  </si>
  <si>
    <t>1.1302</t>
  </si>
  <si>
    <t>1.1905</t>
  </si>
  <si>
    <t>0.0301</t>
  </si>
  <si>
    <t>0.0602</t>
  </si>
  <si>
    <t>0.1001</t>
  </si>
  <si>
    <t>0.1002</t>
  </si>
  <si>
    <t>0.1003</t>
  </si>
  <si>
    <t>0.1004</t>
  </si>
  <si>
    <t>Lift 13</t>
  </si>
  <si>
    <t>Lift 14</t>
  </si>
  <si>
    <t>Lift 23</t>
  </si>
  <si>
    <t>0.1008</t>
  </si>
  <si>
    <t>0.1401</t>
  </si>
  <si>
    <t>0 0501</t>
  </si>
  <si>
    <t>0 0902</t>
  </si>
  <si>
    <t xml:space="preserve">0 0402 </t>
  </si>
  <si>
    <t>0.0102</t>
  </si>
  <si>
    <t>0.0502</t>
  </si>
  <si>
    <t>0.0503</t>
  </si>
  <si>
    <t>0.0802</t>
  </si>
  <si>
    <t>0.0901</t>
  </si>
  <si>
    <t>0.0902</t>
  </si>
  <si>
    <t>0.1005</t>
  </si>
  <si>
    <t>0.1006</t>
  </si>
  <si>
    <t>0.05.201</t>
  </si>
  <si>
    <t>0.1303</t>
  </si>
  <si>
    <t>1.1007</t>
  </si>
  <si>
    <t>1.1008</t>
  </si>
  <si>
    <t>1.1001</t>
  </si>
  <si>
    <t>1.1002</t>
  </si>
  <si>
    <t>1.0204</t>
  </si>
  <si>
    <t>1.0501</t>
  </si>
  <si>
    <t>1.0602</t>
  </si>
  <si>
    <t>1.0601</t>
  </si>
  <si>
    <t>1.0401</t>
  </si>
  <si>
    <t>0.1201</t>
  </si>
  <si>
    <t>1.19.101</t>
  </si>
  <si>
    <t>0.0402</t>
  </si>
  <si>
    <t>0.0403</t>
  </si>
  <si>
    <t>0.0803</t>
  </si>
  <si>
    <t>1.0301</t>
  </si>
  <si>
    <t>1.0302</t>
  </si>
  <si>
    <t>1.1009</t>
  </si>
  <si>
    <t>2.1011</t>
  </si>
  <si>
    <t>0.0204</t>
  </si>
  <si>
    <t>0.0205</t>
  </si>
  <si>
    <t>0.0206</t>
  </si>
  <si>
    <t>0.0207</t>
  </si>
  <si>
    <t>0.0804</t>
  </si>
  <si>
    <t>34 (0.1003)</t>
  </si>
  <si>
    <t>0.1007</t>
  </si>
  <si>
    <t>31 (0.1008)</t>
  </si>
  <si>
    <t>0.1009</t>
  </si>
  <si>
    <t>1006</t>
  </si>
  <si>
    <t>1009</t>
  </si>
  <si>
    <t>0.0103</t>
  </si>
  <si>
    <t>0.03.704</t>
  </si>
  <si>
    <t>0.0302</t>
  </si>
  <si>
    <t>0.0303</t>
  </si>
  <si>
    <t>0.15.201</t>
  </si>
  <si>
    <t>0.18.302</t>
  </si>
  <si>
    <t>0.1911</t>
  </si>
  <si>
    <t>1.1301</t>
  </si>
  <si>
    <t>31 (0.1005)</t>
  </si>
  <si>
    <t>1-1905</t>
  </si>
  <si>
    <t>1-1906</t>
  </si>
  <si>
    <t>0 0601</t>
  </si>
  <si>
    <t>0 0801</t>
  </si>
  <si>
    <t>0 0901</t>
  </si>
  <si>
    <t>0 1003</t>
  </si>
  <si>
    <t>1 0203</t>
  </si>
  <si>
    <t>1 0401</t>
  </si>
  <si>
    <t>1 1005</t>
  </si>
  <si>
    <t>1 1006</t>
  </si>
  <si>
    <t>1 1909</t>
  </si>
  <si>
    <t>1 1910</t>
  </si>
  <si>
    <t>1 1911</t>
  </si>
  <si>
    <t>2 0104</t>
  </si>
  <si>
    <t>RT 31</t>
  </si>
  <si>
    <t>1-0201</t>
  </si>
  <si>
    <t>1-0301</t>
  </si>
  <si>
    <t>1-0501</t>
  </si>
  <si>
    <t>1-0502</t>
  </si>
  <si>
    <t>1-0601</t>
  </si>
  <si>
    <t>1-1301</t>
  </si>
  <si>
    <t>1-1401</t>
  </si>
  <si>
    <t>0 1006</t>
  </si>
  <si>
    <t>0 1007</t>
  </si>
  <si>
    <t>0 1008</t>
  </si>
  <si>
    <t>1 0202</t>
  </si>
  <si>
    <t>1 0302</t>
  </si>
  <si>
    <t>1 0303</t>
  </si>
  <si>
    <t>1 1009</t>
  </si>
  <si>
    <t>1 1010</t>
  </si>
  <si>
    <t>1 1011</t>
  </si>
  <si>
    <t>RT 33</t>
  </si>
  <si>
    <t>onbekend N</t>
  </si>
  <si>
    <t>onbekend Z</t>
  </si>
  <si>
    <t xml:space="preserve">0 0501 </t>
  </si>
  <si>
    <t>0 0502</t>
  </si>
  <si>
    <t>0 0602</t>
  </si>
  <si>
    <t>0 1005</t>
  </si>
  <si>
    <t>1 1903</t>
  </si>
  <si>
    <t>2 0202</t>
  </si>
  <si>
    <t>2 1006</t>
  </si>
  <si>
    <t>3 1007</t>
  </si>
  <si>
    <t>0 05.101</t>
  </si>
  <si>
    <t>0 05.302</t>
  </si>
  <si>
    <t>0 08.101</t>
  </si>
  <si>
    <t>0 13.101</t>
  </si>
  <si>
    <t>1 04.101</t>
  </si>
  <si>
    <t>1 10.302</t>
  </si>
  <si>
    <t>2 0901</t>
  </si>
  <si>
    <t>2 0902</t>
  </si>
  <si>
    <t>RT 13</t>
  </si>
  <si>
    <t>RT 23</t>
  </si>
  <si>
    <t>0 0204</t>
  </si>
  <si>
    <t>0 0302</t>
  </si>
  <si>
    <t>0 0303</t>
  </si>
  <si>
    <t>0 0304</t>
  </si>
  <si>
    <t>0 0402 / 0 0301</t>
  </si>
  <si>
    <t>0 0503 / 0 05.203</t>
  </si>
  <si>
    <t>0 0602 / 0 15.201</t>
  </si>
  <si>
    <t>0 0803</t>
  </si>
  <si>
    <t>0 1004 / geen nr.</t>
  </si>
  <si>
    <t>0 1801</t>
  </si>
  <si>
    <t>0 1905 / 0 1802</t>
  </si>
  <si>
    <t>0 0101 / 0 0102</t>
  </si>
  <si>
    <t xml:space="preserve">0 0101 </t>
  </si>
  <si>
    <t>0.0101/0.0102</t>
  </si>
  <si>
    <t>0 0103</t>
  </si>
  <si>
    <t>1 0101</t>
  </si>
  <si>
    <t>ri itw</t>
  </si>
  <si>
    <t>ri centr</t>
  </si>
  <si>
    <t>1 1002</t>
  </si>
  <si>
    <t>richting lift</t>
  </si>
  <si>
    <t>1 0105</t>
  </si>
  <si>
    <t>??</t>
  </si>
  <si>
    <t>0 03.7</t>
  </si>
  <si>
    <t>0 0201.4</t>
  </si>
  <si>
    <t>0 0901,1</t>
  </si>
  <si>
    <t>0 0201.1</t>
  </si>
  <si>
    <t>1 1901</t>
  </si>
  <si>
    <t>1. 0101</t>
  </si>
  <si>
    <t>1. 0102</t>
  </si>
  <si>
    <t>1. 0103</t>
  </si>
  <si>
    <t>1. 1901</t>
  </si>
  <si>
    <t>0. 1001</t>
  </si>
  <si>
    <t>0. 0201</t>
  </si>
  <si>
    <t>0. 0401</t>
  </si>
  <si>
    <t>0. 0801</t>
  </si>
  <si>
    <t>0. 0501</t>
  </si>
  <si>
    <t>0. 0202</t>
  </si>
  <si>
    <t>0. 0301</t>
  </si>
  <si>
    <t>0. 0601</t>
  </si>
  <si>
    <t>0-0602</t>
  </si>
  <si>
    <t>1  0102</t>
  </si>
  <si>
    <t>0 1201</t>
  </si>
  <si>
    <t xml:space="preserve">0 0201 </t>
  </si>
  <si>
    <t>4 st</t>
  </si>
  <si>
    <t>1 1003</t>
  </si>
  <si>
    <t>1 0102 + 1 0101</t>
  </si>
  <si>
    <t>1 0201</t>
  </si>
  <si>
    <t>1 0801</t>
  </si>
  <si>
    <t>1 0901</t>
  </si>
  <si>
    <t>1-0501-1 en 2</t>
  </si>
  <si>
    <t>0 0604</t>
  </si>
  <si>
    <t>0 0701</t>
  </si>
  <si>
    <t>0 0605</t>
  </si>
  <si>
    <t>0 0607</t>
  </si>
  <si>
    <t>0 0606</t>
  </si>
  <si>
    <t>0 0903</t>
  </si>
  <si>
    <t>0 0608</t>
  </si>
  <si>
    <t xml:space="preserve"> 0 0609</t>
  </si>
  <si>
    <t xml:space="preserve"> 0 0610</t>
  </si>
  <si>
    <t>0 0611</t>
  </si>
  <si>
    <t>B5</t>
  </si>
  <si>
    <t>B6</t>
  </si>
  <si>
    <t>B7</t>
  </si>
  <si>
    <t>Opgave m2 is indicatief, werkelijkheid kan afwijken</t>
  </si>
  <si>
    <t>reinigen betegelde geveldelen buiten het station op straatniveau</t>
  </si>
  <si>
    <t>reinigen en conserveren van de RVS beplating buiten het station, opgang blauwe brug en mac-bike</t>
  </si>
  <si>
    <t>Totaal kosten 
per jaar</t>
  </si>
  <si>
    <t>M2 
VLOER</t>
  </si>
  <si>
    <t>M2 
wand betegeld</t>
  </si>
  <si>
    <t>M2 
wand gecoat</t>
  </si>
  <si>
    <t>M2 
wand onbehandeld</t>
  </si>
  <si>
    <t>M2 
wand RVS</t>
  </si>
  <si>
    <t>M2 
wand
schilder werk</t>
  </si>
  <si>
    <t>M2 
plafond
panelen</t>
  </si>
  <si>
    <t>Toegang Nieuwmarkt</t>
  </si>
  <si>
    <t>Alleen raam techr.4-0223 is 0,7</t>
  </si>
  <si>
    <t>Nu Expo BB</t>
  </si>
  <si>
    <t xml:space="preserve">Toegang stadhuis </t>
  </si>
  <si>
    <t xml:space="preserve"> Toegang zuid</t>
  </si>
  <si>
    <t>Stadtimmertuin</t>
  </si>
  <si>
    <t>Stadtimmertuin Deuren</t>
  </si>
  <si>
    <t>Ah to Go</t>
  </si>
  <si>
    <t>broodjeswinkel 1</t>
  </si>
  <si>
    <t>broodjeswinkel 2</t>
  </si>
  <si>
    <t>commerciel leeg</t>
  </si>
  <si>
    <t>deuren Grensstraat</t>
  </si>
  <si>
    <t>schacht Grensstraat</t>
  </si>
  <si>
    <t>2-1701 en 2-1702</t>
  </si>
  <si>
    <t>broodjeszaak</t>
  </si>
  <si>
    <t xml:space="preserve">deuren </t>
  </si>
  <si>
    <t>Toegang oost binnen</t>
  </si>
  <si>
    <t>Toegang oost buiten</t>
  </si>
  <si>
    <t>Toegang west binnen</t>
  </si>
  <si>
    <t>Toegang west buiten</t>
  </si>
  <si>
    <t>Liftschacht binnenzijde mv</t>
  </si>
  <si>
    <t>Liftschacht buitenzijde mv</t>
  </si>
  <si>
    <t>Liftkooi binnenzijde mv</t>
  </si>
  <si>
    <t>Liftschacht binnenzijde oost</t>
  </si>
  <si>
    <t>Liftschacht buitenzijde oost</t>
  </si>
  <si>
    <t>Liftkooi binnenzijde oost</t>
  </si>
  <si>
    <t>Liftschacht binnenzijde west</t>
  </si>
  <si>
    <t>Liftschacht buitenzijde west</t>
  </si>
  <si>
    <t>Liftkooi binnenzijde west</t>
  </si>
  <si>
    <t>Expo ruimte gevel binnen</t>
  </si>
  <si>
    <t>Expo ruimte gevel buiten</t>
  </si>
  <si>
    <t>Expo ruimte verdeelhal binnen</t>
  </si>
  <si>
    <t>Expo ruimte verdeelhal buiten</t>
  </si>
  <si>
    <t>Glasgevel boven fietspad binnen oost</t>
  </si>
  <si>
    <t>Glasgevel boven fietspad buiten oost</t>
  </si>
  <si>
    <t>Glasgevel boven fietspad binnen west</t>
  </si>
  <si>
    <t>Glaswand pvr-verdeelhal binnen</t>
  </si>
  <si>
    <t>Glaswand pvr-verdeelhal buiten</t>
  </si>
  <si>
    <t>Twee glazen deuren binnen</t>
  </si>
  <si>
    <t>Twee glazen deuren buiten</t>
  </si>
  <si>
    <t>Balustrade verdeelhal binn en buiten</t>
  </si>
  <si>
    <t>Balustrade perron lift oost bin en buiten</t>
  </si>
  <si>
    <t>Lichtstraat boven trappen oost</t>
  </si>
  <si>
    <t>Lichtstraat boven trappen west</t>
  </si>
  <si>
    <t>Kunst</t>
  </si>
  <si>
    <t>hal, voorzijde schacht Noord</t>
  </si>
  <si>
    <t>liftkooi, deuren Noord</t>
  </si>
  <si>
    <t>Balustrade op perron</t>
  </si>
  <si>
    <t>Personeelruimte maaiveld</t>
  </si>
  <si>
    <t>Wanden techruimten</t>
  </si>
  <si>
    <t>Aantal beurten 
per jaar</t>
  </si>
  <si>
    <t>Kosten bereikbaarheidsmiddelen 
per jaar</t>
  </si>
  <si>
    <t>Kosten totaal 
per jaar</t>
  </si>
  <si>
    <t>Stationnummer</t>
  </si>
  <si>
    <t>Te reinigen onderdeel</t>
  </si>
  <si>
    <t>Aantal m2</t>
  </si>
  <si>
    <t>MAXIMALE BOVENGRENS PLAFONDBEDRAG</t>
  </si>
  <si>
    <t>* De inschrijver draagt er zorg voor dat de totstandkoming van het inschrijvingsbedrag overeenkomt met de onderliggende tabbladen. Indien dit niet het geval is wordt de inschrijving ongeldig verklaard.</t>
  </si>
  <si>
    <t>* Het door de inschrijver ingediende inschrijfbedrag is de maximale vergoeding voor het gevraagde in de aanbestedingsdocumenten.</t>
  </si>
  <si>
    <t>Frequentie
omschrijving
ma-vr</t>
  </si>
  <si>
    <t xml:space="preserve">Reistijd per beurt
ma-vr
in uren
</t>
  </si>
  <si>
    <t>Kosten totaal</t>
  </si>
  <si>
    <t>Gebouw/station</t>
  </si>
  <si>
    <t>Soort</t>
  </si>
  <si>
    <t>Specificatie</t>
  </si>
  <si>
    <t>Was
frequentie per jaar</t>
  </si>
  <si>
    <t>Opp. M2</t>
  </si>
  <si>
    <t>Opmerkingen</t>
  </si>
  <si>
    <t xml:space="preserve">Ruimte nummer </t>
  </si>
  <si>
    <t>5-Kosten aanvullende werkzaamheden</t>
  </si>
  <si>
    <t>Uren per beurt
uitvoering</t>
  </si>
  <si>
    <t>Uren per beurt veiligheidspersoon / leider lokale veiligheid</t>
  </si>
  <si>
    <t>Tarief nacht
uitvoering</t>
  </si>
  <si>
    <t>Tarief nacht
veiligheid</t>
  </si>
  <si>
    <t>Freq.</t>
  </si>
  <si>
    <t>Prijs extra beurt</t>
  </si>
  <si>
    <t>Tarief 
dag
uitvoering</t>
  </si>
  <si>
    <t>Tarief 
dag
veiligheid</t>
  </si>
  <si>
    <t>MAXIMALE ONDERGRENS</t>
  </si>
  <si>
    <t>EINDTOTAAL KOSTEN PER JAAR VAST ONDERHOUD EXCLUSIEF BTW</t>
  </si>
  <si>
    <t>Inschrijvingsbedrag *</t>
  </si>
  <si>
    <t>AFVLOEIÏNGSKOSTEN OVERNAME PERSONEEL</t>
  </si>
  <si>
    <t>Naam dienstverlener</t>
  </si>
  <si>
    <t>TOTAAL</t>
  </si>
  <si>
    <t>reinigen liftbodem</t>
  </si>
  <si>
    <t>Uren 
per jaar</t>
  </si>
  <si>
    <t>Uren per beurt per lift</t>
  </si>
  <si>
    <t>Frequentie
omschrijving</t>
  </si>
  <si>
    <t>Aantal 
liften</t>
  </si>
  <si>
    <t>Tijdstip tussen</t>
  </si>
  <si>
    <t>06:00 - 21:30 uur</t>
  </si>
  <si>
    <t>00:00 - 06:00 uur</t>
  </si>
  <si>
    <t>m² prijs per beurt uitvoering 06:00 - 21:30</t>
  </si>
  <si>
    <t>Kosten per beurt 06:00 -21:30 uur</t>
  </si>
  <si>
    <t>Versie</t>
  </si>
  <si>
    <t>Uitvoering op maandag t/m vrijdag</t>
  </si>
  <si>
    <t>Maandag</t>
  </si>
  <si>
    <t>dinsdag t/m vrijdag</t>
  </si>
  <si>
    <t>maandag t/m vrijdag</t>
  </si>
  <si>
    <t>00:06 - 21:30 uur</t>
  </si>
  <si>
    <t>maandag t/m donderdag</t>
  </si>
  <si>
    <t>21:30 - 24:00 uur</t>
  </si>
  <si>
    <t>Vrijdag</t>
  </si>
  <si>
    <t>Medewerker</t>
  </si>
  <si>
    <t>Dag van de week</t>
  </si>
  <si>
    <t>GVB Infra B.V.</t>
  </si>
  <si>
    <t>Ruimte categorie</t>
  </si>
  <si>
    <t>Frequentie per jaar</t>
  </si>
  <si>
    <t>M2 VLOER</t>
  </si>
  <si>
    <t>Niet van toepassing</t>
  </si>
  <si>
    <t>Kantoren/spreekkamers</t>
  </si>
  <si>
    <t>Sanitair</t>
  </si>
  <si>
    <t>Gangen</t>
  </si>
  <si>
    <t>Berging/opslag/magazijn</t>
  </si>
  <si>
    <t>Bestrating</t>
  </si>
  <si>
    <t>Ruimtestaat Gelijkrichter stations</t>
  </si>
  <si>
    <t>Sanitair
Opp in m2 
freq 12 x p.j.</t>
  </si>
  <si>
    <t>Overige ruimten
Opp in m2
freq 2 x p.j.</t>
  </si>
  <si>
    <t>Sanitair
uren/beurt
freq 12 x p.j.</t>
  </si>
  <si>
    <t>Overige ruimten
uren/beurt
freq 2 x p.j.</t>
  </si>
  <si>
    <t>Uren/jaar</t>
  </si>
  <si>
    <t>Kosten/jaar</t>
  </si>
  <si>
    <t>Gelijkrichter stations</t>
  </si>
  <si>
    <t>Norm tbv jaarlijks reinigen
dienstruimten</t>
  </si>
  <si>
    <t>Reinigen
Uren/beurt</t>
  </si>
  <si>
    <t>Freq. Per jaar</t>
  </si>
  <si>
    <t>Noord RVS</t>
  </si>
  <si>
    <t>Tunnel Nooduitgangen</t>
  </si>
  <si>
    <t>Geheel reinigen</t>
  </si>
  <si>
    <t>Toiletten Mac bike reinigen (2x 4m2)</t>
  </si>
  <si>
    <t>Strawinskylaan</t>
  </si>
  <si>
    <t>Carrascoplein</t>
  </si>
  <si>
    <t>reinigen betegelde en geverfde geveldelen buiten het station op straat niveau</t>
  </si>
  <si>
    <t>311a</t>
  </si>
  <si>
    <t>303a</t>
  </si>
  <si>
    <t>Lift 01</t>
  </si>
  <si>
    <t>Kosten inzet bereikbaarheidsvoorzieningen voor de uitvoering van periodieke werkzamheden</t>
  </si>
  <si>
    <t>Kosten hoogwerkers per beurt</t>
  </si>
  <si>
    <t>Kosten steigers (incl. opbouw) per beurt</t>
  </si>
  <si>
    <t>Kosten bereikbaarheids voorzieningen per beurt</t>
  </si>
  <si>
    <t>Algemeen</t>
  </si>
  <si>
    <t>Legmeerpolder</t>
  </si>
  <si>
    <t>7-Kosten geveldelen 
en wanden 
per jaar</t>
  </si>
  <si>
    <t>6-Liftbodems</t>
  </si>
  <si>
    <t>8b-Kosten  Glasbewassing per jaar</t>
  </si>
  <si>
    <t>9-Kosten machines regulier gemiddeld op basis van M2</t>
  </si>
  <si>
    <t>10a-Kosten periodieke 
beurt per jaar</t>
  </si>
  <si>
    <t>12-Kosten  schoonmaak Gelijkrichter 
per jaar</t>
  </si>
  <si>
    <t>1 januari 2022</t>
  </si>
  <si>
    <t>1 Technische schoonmaak Algemeen</t>
  </si>
  <si>
    <t>Reinigen</t>
  </si>
  <si>
    <t>Norm tbv reinigen</t>
  </si>
  <si>
    <t>Totaal kosten 
per beurt</t>
  </si>
  <si>
    <t>Alle prijzen inclusief machines, materialen en middelen, autokosten en overige bijkomende kosten.</t>
  </si>
  <si>
    <t>Technische ruimte m2</t>
  </si>
  <si>
    <t>21:30 - 06:00 uur</t>
  </si>
  <si>
    <t>m² prijs per beurt uitvoering 21:30 - 06:00</t>
  </si>
  <si>
    <t>Kosten per beurt 21:30 -06:00 uur</t>
  </si>
  <si>
    <t>Machine*</t>
  </si>
  <si>
    <t>* Het door de inschrijver, bij de inschrijving, opgegeven bedrag aan machinekosten zijn de maximale machinekosten die bij GVB in rekening worden gebracht.</t>
  </si>
  <si>
    <t>In de nacht</t>
  </si>
  <si>
    <t>Aantal dagen inzet per beurt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</si>
  <si>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</si>
  <si>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</si>
  <si>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</si>
  <si>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</si>
  <si>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</si>
  <si>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</si>
  <si>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</si>
  <si>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</si>
  <si>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</si>
  <si>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</si>
  <si>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tractie trafo</t>
  </si>
  <si>
    <t>eigenbedrijf trafo ruimte</t>
  </si>
  <si>
    <t>opslag ruimte</t>
  </si>
  <si>
    <t xml:space="preserve">hoogspanningsverdeelruimte </t>
  </si>
  <si>
    <t>kabelkelder laagspanningsruimte</t>
  </si>
  <si>
    <t xml:space="preserve">kabelkelder gelijkrichterruimte </t>
  </si>
  <si>
    <t>kabelkelder transformatorruimte</t>
  </si>
  <si>
    <t xml:space="preserve">kabelkelder hoogspanningsverdeelruimte  </t>
  </si>
  <si>
    <t>Prijsvorming Regie werkzaamheden graffitiverwijderen</t>
  </si>
  <si>
    <t>Graffiti verwijderen</t>
  </si>
  <si>
    <t>Stelpost uren</t>
  </si>
  <si>
    <t>Levering verbruiksartikelen</t>
  </si>
  <si>
    <t>Merk en productlijn</t>
  </si>
  <si>
    <t>Reken Eenheid</t>
  </si>
  <si>
    <t>Papieren handdoekjes</t>
  </si>
  <si>
    <t>2-laags, flushable Z vouw</t>
  </si>
  <si>
    <t>pakket 250 handdoekjes</t>
  </si>
  <si>
    <t>Toiletrollen</t>
  </si>
  <si>
    <t>2-laags, flushable</t>
  </si>
  <si>
    <t>rol, 200 vel per rol</t>
  </si>
  <si>
    <t>Handzeep</t>
  </si>
  <si>
    <t>vloeibaar, Huidvriendelijk en PH neutraal</t>
  </si>
  <si>
    <t xml:space="preserve"> 1 ltr.</t>
  </si>
  <si>
    <t>Toiletbrilreiniger</t>
  </si>
  <si>
    <t>Alcoholreiniger</t>
  </si>
  <si>
    <t>Dames hygiëne zakjes</t>
  </si>
  <si>
    <t>universeel</t>
  </si>
  <si>
    <t>per 100 stuks</t>
  </si>
  <si>
    <t>Toiletverfrisser</t>
  </si>
  <si>
    <t xml:space="preserve">luchtverfrisser navulling pearl white 3000 sprays </t>
  </si>
  <si>
    <t>100 ml</t>
  </si>
  <si>
    <t xml:space="preserve">Alle prijzen zijn all-in, inclusief loonkosten, materiaal, reis- en verblijfskosten, sociale lasten, voorrijkosten, parkeerkosten, reserveringskosten, transportkosten, aflever- en (de)montagekosten, verpakkingen, milieubelastingen, administratie, andere belastingen dan btw, verzekeringpremies e.d. </t>
  </si>
  <si>
    <t xml:space="preserve">De dienstverlener geeft aan voor welke merk en productlijn onderstaande prijzen gelden. </t>
  </si>
  <si>
    <t>Kosten per eenheid</t>
  </si>
  <si>
    <t>Alle prijzen inclusief autokosten en overige bijkomende kosten.</t>
  </si>
  <si>
    <t>Kosten bereikbaarheids middelen 
per jaar</t>
  </si>
  <si>
    <t>Kosten bereikbaarheids middelen 
per beurt</t>
  </si>
  <si>
    <t>13- Kosten schoonmaak technische ruimten
per jaar</t>
  </si>
  <si>
    <t>4-Kosten reinigen vloeren</t>
  </si>
  <si>
    <t>Stelpost Graffiti verwijderen</t>
  </si>
  <si>
    <t>11a-Afroep graffiti verwijderen</t>
  </si>
  <si>
    <t>IJtram</t>
  </si>
  <si>
    <t>2021-61</t>
  </si>
  <si>
    <t>Reinigen zandvangers (1 per locatie)</t>
  </si>
  <si>
    <t>Uren per beurt per stuk</t>
  </si>
  <si>
    <t>Tunnel</t>
  </si>
  <si>
    <t>Zandvangers</t>
  </si>
  <si>
    <t>Technische ruimte</t>
  </si>
  <si>
    <t>Prijs per uur dag</t>
  </si>
  <si>
    <t>Prijs per uur nacht</t>
  </si>
  <si>
    <t>Maximale vergoeding afkoop binnen 3 jaar.</t>
  </si>
  <si>
    <t>Maximale afvloeingskosten binnen een periode van 3 jaar.</t>
  </si>
  <si>
    <t>zaterdag en Zondag</t>
  </si>
  <si>
    <t>00:00 - 24:00 uur</t>
  </si>
  <si>
    <t>feestdag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</si>
</sst>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* #,##0.00_);_(* \(#,##0.00\);_(* &quot;-&quot;??_);_(@_)"/>
    <numFmt numFmtId="168" formatCode="_-* #,##0_-;_-* #,##0\-;_-* &quot;-&quot;??_-;_-@_-"/>
    <numFmt numFmtId="169" formatCode="000"/>
    <numFmt numFmtId="170" formatCode="_-&quot;ƒ&quot;\ * #,##0.00_-;_-&quot;ƒ&quot;\ * #,##0.00\-;_-&quot;ƒ&quot;\ * &quot;-&quot;??_-;_-@_-"/>
    <numFmt numFmtId="171" formatCode="_-&quot;€&quot;* #,##0.00_-;\-&quot;€&quot;* #,##0.00_-;_-&quot;€&quot;* &quot;-&quot;??_-;_-@_-"/>
    <numFmt numFmtId="172" formatCode="[$-413]d\-mmm\-yy;@"/>
    <numFmt numFmtId="173" formatCode="_-* #,##0.0_-;_-* #,##0.0\-;_-* &quot;-&quot;??_-;_-@_-"/>
    <numFmt numFmtId="174" formatCode="_-[$€-2]\ * #,##0.00_ ;_-[$€-2]\ * \-#,##0.00\ ;_-[$€-2]\ * &quot;-&quot;??_ ;_-@_ "/>
    <numFmt numFmtId="175" formatCode="_(&quot;ƒ&quot;* #,##0.00_);_(&quot;ƒ&quot;* \(#,##0.00\);_(&quot;ƒ&quot;* &quot;-&quot;??_);_(@_)"/>
    <numFmt numFmtId="176" formatCode="_([$€-2]\ * #,##0.00_);_([$€-2]\ * \(#,##0.00\);_([$€-2]\ * &quot;-&quot;??_);_(@_)"/>
    <numFmt numFmtId="177" formatCode="_ [$€-2]\ * #,##0.00_ ;_ [$€-2]\ * \-#,##0.00_ ;_ [$€-2]\ * &quot;-&quot;??_ ;_ @_ "/>
    <numFmt numFmtId="178" formatCode="0_)"/>
    <numFmt numFmtId="179" formatCode="0.00_)"/>
    <numFmt numFmtId="180" formatCode="00,000"/>
    <numFmt numFmtId="181" formatCode="_ [$€-413]\ * #,##0.00_ ;_ [$€-413]\ * \-#,##0.00_ ;_ [$€-413]\ * &quot;-&quot;??_ ;_ @_ "/>
    <numFmt numFmtId="182" formatCode="#,##0_ ;\-#,##0\ "/>
    <numFmt numFmtId="183" formatCode="_-[$€]\ * #,##0.00_-;_-[$€]\ * #,##0.00\-;_-[$€]\ * &quot;-&quot;??_-;_-@_-"/>
    <numFmt numFmtId="184" formatCode="_-[$€-2]\ * #,##0.00_-;_-[$€-2]\ * #,##0.00\-;_-[$€-2]\ * &quot;-&quot;??_-;_-@_-"/>
    <numFmt numFmtId="185" formatCode="&quot;fl&quot;\ #,##0_-;[Red]&quot;fl&quot;\ #,##0\-"/>
    <numFmt numFmtId="186" formatCode="0\ &quot;m2&quot;"/>
    <numFmt numFmtId="187" formatCode="[$-409]d/mmm/yy;@"/>
    <numFmt numFmtId="188" formatCode="[$-413]d\ mmmm\ yyyy;@"/>
    <numFmt numFmtId="189" formatCode="_ &quot;€&quot;\ * #,##0_ ;_ &quot;€&quot;\ * \-#,##0_ ;_ &quot;€&quot;\ * &quot;-&quot;??_ ;_ @_ "/>
  </numFmts>
  <fonts count="78">
    <font>
      <sz val="10"/>
      <name val="MS Sans Serif"/>
    </font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Helvetica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8"/>
      <name val="MS Sans Serif"/>
      <family val="2"/>
    </font>
    <font>
      <sz val="9"/>
      <name val="Geneva"/>
    </font>
    <font>
      <sz val="10"/>
      <name val="Verdana"/>
      <family val="2"/>
    </font>
    <font>
      <u/>
      <sz val="10"/>
      <color indexed="36"/>
      <name val="Arial"/>
      <family val="2"/>
      <charset val="204"/>
    </font>
    <font>
      <sz val="10"/>
      <color indexed="12"/>
      <name val="Times New Roman"/>
      <family val="1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Helv"/>
    </font>
    <font>
      <sz val="12"/>
      <name val="Arial Narrow"/>
      <family val="2"/>
    </font>
    <font>
      <b/>
      <sz val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0"/>
      <color indexed="10"/>
      <name val="Century Gothic"/>
      <family val="2"/>
    </font>
    <font>
      <b/>
      <sz val="10"/>
      <color indexed="10"/>
      <name val="Century Gothic"/>
      <family val="2"/>
    </font>
    <font>
      <sz val="10"/>
      <name val="Century Gothic"/>
      <family val="2"/>
    </font>
    <font>
      <sz val="10"/>
      <color indexed="62"/>
      <name val="Century Gothic"/>
      <family val="2"/>
    </font>
    <font>
      <b/>
      <sz val="12"/>
      <color indexed="18"/>
      <name val="Century Gothic"/>
      <family val="2"/>
    </font>
    <font>
      <sz val="12"/>
      <color indexed="18"/>
      <name val="Century Gothic"/>
      <family val="2"/>
    </font>
    <font>
      <b/>
      <sz val="12"/>
      <color indexed="10"/>
      <name val="Century Gothic"/>
      <family val="2"/>
    </font>
    <font>
      <sz val="10"/>
      <color indexed="18"/>
      <name val="Century Gothic"/>
      <family val="2"/>
    </font>
    <font>
      <b/>
      <sz val="10"/>
      <color indexed="18"/>
      <name val="Century Gothic"/>
      <family val="2"/>
    </font>
    <font>
      <b/>
      <sz val="11"/>
      <name val="Century Gothic"/>
      <family val="2"/>
    </font>
    <font>
      <sz val="9"/>
      <color indexed="10"/>
      <name val="Century Gothic"/>
      <family val="2"/>
    </font>
    <font>
      <b/>
      <sz val="10"/>
      <color rgb="FFFF0000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2"/>
      <color rgb="FFFF0000"/>
      <name val="Century Gothic"/>
      <family val="2"/>
    </font>
    <font>
      <b/>
      <sz val="8"/>
      <name val="Century Gothic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indexed="8"/>
      <name val="Century Gothic"/>
      <family val="2"/>
    </font>
    <font>
      <sz val="16"/>
      <color theme="1"/>
      <name val="Century Gothic"/>
      <family val="2"/>
    </font>
    <font>
      <sz val="10"/>
      <color theme="3" tint="-0.249977111117893"/>
      <name val="Century Gothic"/>
      <family val="2"/>
    </font>
    <font>
      <b/>
      <sz val="10"/>
      <color theme="3" tint="-0.249977111117893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2"/>
      <color theme="0"/>
      <name val="Century Gothic"/>
      <family val="2"/>
    </font>
    <font>
      <b/>
      <sz val="10"/>
      <color theme="0"/>
      <name val="Century Gothic"/>
      <family val="2"/>
    </font>
    <font>
      <b/>
      <sz val="9"/>
      <color indexed="10"/>
      <name val="Century Gothic"/>
      <family val="2"/>
    </font>
    <font>
      <b/>
      <sz val="10"/>
      <color theme="1"/>
      <name val="Century Gothic"/>
      <family val="2"/>
    </font>
    <font>
      <sz val="8"/>
      <name val="MS Sans Serif"/>
    </font>
    <font>
      <b/>
      <sz val="9"/>
      <name val="Century Gothic"/>
      <family val="2"/>
    </font>
    <font>
      <b/>
      <sz val="9"/>
      <color rgb="FFFF0000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2" tint="-0.249977111117893"/>
        <bgColor indexed="2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AAA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09">
    <xf numFmtId="0" fontId="0" fillId="0" borderId="0"/>
    <xf numFmtId="164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0" fillId="2" borderId="0"/>
    <xf numFmtId="0" fontId="17" fillId="0" borderId="0"/>
    <xf numFmtId="0" fontId="12" fillId="0" borderId="0"/>
    <xf numFmtId="0" fontId="12" fillId="0" borderId="0"/>
    <xf numFmtId="0" fontId="15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4" fillId="0" borderId="0"/>
    <xf numFmtId="0" fontId="11" fillId="0" borderId="0"/>
    <xf numFmtId="0" fontId="18" fillId="0" borderId="0"/>
    <xf numFmtId="0" fontId="13" fillId="0" borderId="0"/>
    <xf numFmtId="165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2" fillId="0" borderId="0"/>
    <xf numFmtId="44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1" fillId="0" borderId="0"/>
    <xf numFmtId="166" fontId="11" fillId="0" borderId="0" applyFont="0" applyFill="0" applyBorder="0" applyAlignment="0" applyProtection="0"/>
    <xf numFmtId="183" fontId="25" fillId="0" borderId="0" applyFont="0" applyFill="0" applyBorder="0" applyAlignment="0" applyProtection="0"/>
    <xf numFmtId="184" fontId="11" fillId="0" borderId="0"/>
    <xf numFmtId="0" fontId="14" fillId="0" borderId="0"/>
    <xf numFmtId="183" fontId="25" fillId="0" borderId="0" applyFont="0" applyFill="0" applyBorder="0" applyAlignment="0" applyProtection="0"/>
    <xf numFmtId="0" fontId="24" fillId="0" borderId="0"/>
    <xf numFmtId="0" fontId="24" fillId="0" borderId="0"/>
    <xf numFmtId="0" fontId="8" fillId="0" borderId="0"/>
    <xf numFmtId="4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5" fillId="0" borderId="0"/>
    <xf numFmtId="0" fontId="14" fillId="0" borderId="0"/>
    <xf numFmtId="18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7" fillId="6" borderId="0" applyNumberFormat="0" applyBorder="0" applyAlignment="0" applyProtection="0"/>
    <xf numFmtId="0" fontId="28" fillId="7" borderId="29" applyNumberFormat="0" applyAlignment="0" applyProtection="0"/>
    <xf numFmtId="0" fontId="29" fillId="8" borderId="30" applyNumberFormat="0" applyAlignment="0" applyProtection="0"/>
    <xf numFmtId="185" fontId="1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32" fillId="0" borderId="31" applyNumberFormat="0" applyFill="0" applyAlignment="0" applyProtection="0"/>
    <xf numFmtId="0" fontId="33" fillId="0" borderId="32" applyNumberFormat="0" applyFill="0" applyAlignment="0" applyProtection="0"/>
    <xf numFmtId="0" fontId="3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5" fillId="10" borderId="29" applyNumberFormat="0" applyAlignment="0" applyProtection="0"/>
    <xf numFmtId="166" fontId="26" fillId="0" borderId="0">
      <alignment horizontal="center" vertical="center" textRotation="90" wrapText="1"/>
    </xf>
    <xf numFmtId="0" fontId="36" fillId="11" borderId="34"/>
    <xf numFmtId="0" fontId="37" fillId="0" borderId="35" applyNumberFormat="0" applyFill="0" applyAlignment="0" applyProtection="0"/>
    <xf numFmtId="186" fontId="36" fillId="0" borderId="0"/>
    <xf numFmtId="0" fontId="38" fillId="12" borderId="0" applyNumberFormat="0" applyBorder="0" applyAlignment="0" applyProtection="0"/>
    <xf numFmtId="0" fontId="39" fillId="13" borderId="36" applyNumberFormat="0" applyFont="0" applyAlignment="0" applyProtection="0"/>
    <xf numFmtId="0" fontId="40" fillId="7" borderId="37" applyNumberFormat="0" applyAlignment="0" applyProtection="0"/>
    <xf numFmtId="0" fontId="36" fillId="14" borderId="38" applyNumberFormat="0" applyFont="0" applyBorder="0">
      <alignment horizontal="center"/>
    </xf>
    <xf numFmtId="0" fontId="11" fillId="0" borderId="0"/>
    <xf numFmtId="0" fontId="4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3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83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11" fillId="0" borderId="0"/>
    <xf numFmtId="184" fontId="11" fillId="0" borderId="0"/>
    <xf numFmtId="0" fontId="44" fillId="0" borderId="0" applyFill="0" applyBorder="0"/>
    <xf numFmtId="184" fontId="11" fillId="0" borderId="0"/>
    <xf numFmtId="184" fontId="8" fillId="0" borderId="0"/>
    <xf numFmtId="44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28" fillId="7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5" fillId="10" borderId="47" applyNumberForma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39" fillId="13" borderId="48" applyNumberFormat="0" applyFon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40" fillId="7" borderId="49" applyNumberFormat="0" applyAlignment="0" applyProtection="0"/>
    <xf numFmtId="0" fontId="22" fillId="0" borderId="0"/>
    <xf numFmtId="0" fontId="22" fillId="0" borderId="0"/>
    <xf numFmtId="0" fontId="22" fillId="0" borderId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2" fillId="0" borderId="50" applyNumberFormat="0" applyFill="0" applyAlignment="0" applyProtection="0"/>
    <xf numFmtId="0" fontId="40" fillId="7" borderId="59" applyNumberFormat="0" applyAlignment="0" applyProtection="0"/>
    <xf numFmtId="0" fontId="40" fillId="7" borderId="64" applyNumberFormat="0" applyAlignment="0" applyProtection="0"/>
    <xf numFmtId="0" fontId="42" fillId="0" borderId="65" applyNumberFormat="0" applyFill="0" applyAlignment="0" applyProtection="0"/>
    <xf numFmtId="0" fontId="4" fillId="0" borderId="0"/>
    <xf numFmtId="0" fontId="35" fillId="10" borderId="62" applyNumberFormat="0" applyAlignment="0" applyProtection="0"/>
    <xf numFmtId="0" fontId="42" fillId="0" borderId="60" applyNumberFormat="0" applyFill="0" applyAlignment="0" applyProtection="0"/>
    <xf numFmtId="0" fontId="28" fillId="7" borderId="57" applyNumberFormat="0" applyAlignment="0" applyProtection="0"/>
    <xf numFmtId="0" fontId="28" fillId="7" borderId="52" applyNumberFormat="0" applyAlignment="0" applyProtection="0"/>
    <xf numFmtId="0" fontId="39" fillId="13" borderId="58" applyNumberFormat="0" applyFont="0" applyAlignment="0" applyProtection="0"/>
    <xf numFmtId="0" fontId="28" fillId="7" borderId="62" applyNumberFormat="0" applyAlignment="0" applyProtection="0"/>
    <xf numFmtId="0" fontId="35" fillId="10" borderId="57" applyNumberFormat="0" applyAlignment="0" applyProtection="0"/>
    <xf numFmtId="0" fontId="35" fillId="10" borderId="52" applyNumberFormat="0" applyAlignment="0" applyProtection="0"/>
    <xf numFmtId="0" fontId="39" fillId="13" borderId="53" applyNumberFormat="0" applyFont="0" applyAlignment="0" applyProtection="0"/>
    <xf numFmtId="0" fontId="40" fillId="7" borderId="54" applyNumberFormat="0" applyAlignment="0" applyProtection="0"/>
    <xf numFmtId="0" fontId="42" fillId="0" borderId="55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9" fillId="13" borderId="63" applyNumberFormat="0" applyFont="0" applyAlignment="0" applyProtection="0"/>
  </cellStyleXfs>
  <cellXfs count="690">
    <xf numFmtId="0" fontId="0" fillId="0" borderId="0" xfId="0"/>
    <xf numFmtId="0" fontId="46" fillId="0" borderId="0" xfId="12" applyFont="1" applyFill="1" applyBorder="1" applyAlignment="1"/>
    <xf numFmtId="0" fontId="47" fillId="0" borderId="0" xfId="12" applyFont="1" applyFill="1" applyAlignment="1"/>
    <xf numFmtId="0" fontId="47" fillId="0" borderId="0" xfId="42" applyFont="1"/>
    <xf numFmtId="49" fontId="48" fillId="0" borderId="0" xfId="11" applyNumberFormat="1" applyFont="1" applyFill="1" applyBorder="1" applyAlignment="1" applyProtection="1">
      <alignment horizontal="left" vertical="top"/>
      <protection hidden="1"/>
    </xf>
    <xf numFmtId="49" fontId="49" fillId="0" borderId="0" xfId="12" applyNumberFormat="1" applyFont="1" applyFill="1" applyBorder="1" applyAlignment="1"/>
    <xf numFmtId="2" fontId="50" fillId="0" borderId="0" xfId="12" applyNumberFormat="1" applyFont="1" applyFill="1" applyBorder="1" applyAlignment="1"/>
    <xf numFmtId="2" fontId="50" fillId="0" borderId="0" xfId="12" applyNumberFormat="1" applyFont="1" applyFill="1" applyAlignment="1"/>
    <xf numFmtId="2" fontId="50" fillId="0" borderId="0" xfId="12" applyNumberFormat="1" applyFont="1" applyFill="1" applyAlignment="1">
      <alignment horizontal="left"/>
    </xf>
    <xf numFmtId="2" fontId="50" fillId="3" borderId="0" xfId="12" applyNumberFormat="1" applyFont="1" applyFill="1" applyBorder="1" applyAlignment="1"/>
    <xf numFmtId="0" fontId="47" fillId="3" borderId="0" xfId="42" applyFont="1" applyFill="1" applyAlignment="1"/>
    <xf numFmtId="187" fontId="51" fillId="0" borderId="0" xfId="12" applyNumberFormat="1" applyFont="1" applyFill="1" applyBorder="1" applyAlignment="1">
      <alignment horizontal="left"/>
    </xf>
    <xf numFmtId="1" fontId="51" fillId="0" borderId="0" xfId="12" applyNumberFormat="1" applyFont="1" applyFill="1" applyBorder="1" applyAlignment="1">
      <alignment horizontal="left"/>
    </xf>
    <xf numFmtId="188" fontId="47" fillId="0" borderId="45" xfId="42" applyNumberFormat="1" applyFont="1" applyBorder="1" applyAlignment="1">
      <alignment horizontal="left"/>
    </xf>
    <xf numFmtId="0" fontId="47" fillId="0" borderId="45" xfId="42" applyFont="1" applyBorder="1"/>
    <xf numFmtId="188" fontId="47" fillId="0" borderId="45" xfId="42" applyNumberFormat="1" applyFont="1" applyBorder="1" applyAlignment="1">
      <alignment horizontal="left" vertical="center"/>
    </xf>
    <xf numFmtId="0" fontId="47" fillId="0" borderId="45" xfId="42" applyFont="1" applyBorder="1" applyAlignment="1">
      <alignment horizontal="left" vertical="center" wrapText="1"/>
    </xf>
    <xf numFmtId="0" fontId="47" fillId="0" borderId="0" xfId="42" applyFont="1" applyAlignment="1">
      <alignment horizontal="left" vertical="center"/>
    </xf>
    <xf numFmtId="0" fontId="47" fillId="0" borderId="45" xfId="42" applyFont="1" applyBorder="1" applyAlignment="1">
      <alignment vertical="center" wrapText="1"/>
    </xf>
    <xf numFmtId="0" fontId="47" fillId="0" borderId="1" xfId="0" applyFont="1" applyBorder="1" applyAlignment="1">
      <alignment horizontal="center"/>
    </xf>
    <xf numFmtId="0" fontId="47" fillId="0" borderId="0" xfId="25" applyFont="1" applyFill="1" applyBorder="1" applyAlignment="1"/>
    <xf numFmtId="0" fontId="47" fillId="0" borderId="0" xfId="25" applyFont="1"/>
    <xf numFmtId="0" fontId="47" fillId="0" borderId="1" xfId="36" applyFont="1" applyFill="1" applyBorder="1"/>
    <xf numFmtId="0" fontId="47" fillId="0" borderId="40" xfId="42" applyFont="1" applyBorder="1" applyAlignment="1">
      <alignment horizontal="center"/>
    </xf>
    <xf numFmtId="0" fontId="47" fillId="0" borderId="40" xfId="17" applyFont="1" applyFill="1" applyBorder="1"/>
    <xf numFmtId="0" fontId="47" fillId="0" borderId="16" xfId="33" applyFont="1" applyBorder="1"/>
    <xf numFmtId="0" fontId="47" fillId="0" borderId="1" xfId="0" applyFont="1" applyFill="1" applyBorder="1" applyAlignment="1">
      <alignment horizontal="center"/>
    </xf>
    <xf numFmtId="0" fontId="47" fillId="0" borderId="0" xfId="0" applyFont="1"/>
    <xf numFmtId="0" fontId="47" fillId="0" borderId="1" xfId="0" applyFont="1" applyBorder="1"/>
    <xf numFmtId="0" fontId="50" fillId="0" borderId="0" xfId="12" applyFont="1" applyFill="1" applyAlignment="1"/>
    <xf numFmtId="49" fontId="50" fillId="0" borderId="0" xfId="12" applyNumberFormat="1" applyFont="1" applyFill="1" applyBorder="1" applyAlignment="1"/>
    <xf numFmtId="0" fontId="50" fillId="0" borderId="0" xfId="12" applyFont="1" applyFill="1" applyAlignment="1">
      <alignment horizontal="left"/>
    </xf>
    <xf numFmtId="0" fontId="47" fillId="0" borderId="0" xfId="12" applyFont="1" applyFill="1" applyAlignment="1">
      <alignment horizontal="left"/>
    </xf>
    <xf numFmtId="49" fontId="47" fillId="0" borderId="0" xfId="12" applyNumberFormat="1" applyFont="1" applyFill="1" applyBorder="1" applyAlignment="1"/>
    <xf numFmtId="174" fontId="47" fillId="0" borderId="0" xfId="35" applyNumberFormat="1" applyFont="1" applyFill="1" applyAlignment="1">
      <alignment horizontal="left"/>
    </xf>
    <xf numFmtId="0" fontId="53" fillId="0" borderId="0" xfId="11" applyNumberFormat="1" applyFont="1" applyFill="1" applyBorder="1" applyAlignment="1" applyProtection="1">
      <alignment horizontal="left"/>
      <protection hidden="1"/>
    </xf>
    <xf numFmtId="2" fontId="47" fillId="0" borderId="0" xfId="12" applyNumberFormat="1" applyFont="1" applyFill="1" applyAlignment="1"/>
    <xf numFmtId="10" fontId="47" fillId="0" borderId="0" xfId="12" applyNumberFormat="1" applyFont="1" applyFill="1" applyAlignment="1">
      <alignment horizontal="left"/>
    </xf>
    <xf numFmtId="174" fontId="47" fillId="0" borderId="5" xfId="35" applyNumberFormat="1" applyFont="1" applyFill="1" applyBorder="1" applyAlignment="1">
      <alignment horizontal="left"/>
    </xf>
    <xf numFmtId="44" fontId="47" fillId="0" borderId="0" xfId="12" applyNumberFormat="1" applyFont="1" applyFill="1" applyAlignment="1"/>
    <xf numFmtId="0" fontId="54" fillId="5" borderId="17" xfId="0" applyFont="1" applyFill="1" applyBorder="1" applyAlignment="1">
      <alignment vertical="center" wrapText="1"/>
    </xf>
    <xf numFmtId="0" fontId="47" fillId="0" borderId="0" xfId="0" applyFont="1" applyAlignment="1">
      <alignment wrapText="1"/>
    </xf>
    <xf numFmtId="1" fontId="51" fillId="0" borderId="0" xfId="38" applyNumberFormat="1" applyFont="1" applyFill="1" applyBorder="1" applyAlignment="1">
      <alignment horizontal="left"/>
    </xf>
    <xf numFmtId="0" fontId="47" fillId="0" borderId="0" xfId="17" applyFont="1" applyAlignment="1">
      <alignment horizontal="left"/>
    </xf>
    <xf numFmtId="0" fontId="47" fillId="0" borderId="0" xfId="17" applyFont="1"/>
    <xf numFmtId="2" fontId="49" fillId="0" borderId="0" xfId="12" applyNumberFormat="1" applyFont="1" applyFill="1" applyBorder="1" applyAlignment="1"/>
    <xf numFmtId="2" fontId="50" fillId="0" borderId="0" xfId="12" applyNumberFormat="1" applyFont="1" applyFill="1" applyBorder="1" applyAlignment="1">
      <alignment horizontal="left"/>
    </xf>
    <xf numFmtId="0" fontId="51" fillId="0" borderId="0" xfId="12" applyNumberFormat="1" applyFont="1" applyFill="1" applyBorder="1" applyAlignment="1">
      <alignment horizontal="left"/>
    </xf>
    <xf numFmtId="172" fontId="51" fillId="0" borderId="0" xfId="12" applyNumberFormat="1" applyFont="1" applyFill="1" applyBorder="1" applyAlignment="1">
      <alignment horizontal="left"/>
    </xf>
    <xf numFmtId="166" fontId="47" fillId="4" borderId="1" xfId="12" applyNumberFormat="1" applyFont="1" applyFill="1" applyBorder="1" applyAlignment="1"/>
    <xf numFmtId="181" fontId="60" fillId="0" borderId="1" xfId="39" applyNumberFormat="1" applyFont="1" applyFill="1" applyBorder="1" applyAlignment="1" applyProtection="1">
      <alignment horizontal="right" vertical="center"/>
      <protection hidden="1"/>
    </xf>
    <xf numFmtId="0" fontId="47" fillId="0" borderId="1" xfId="33" applyFont="1" applyBorder="1"/>
    <xf numFmtId="0" fontId="47" fillId="0" borderId="51" xfId="0" applyFont="1" applyBorder="1" applyAlignment="1">
      <alignment horizontal="center"/>
    </xf>
    <xf numFmtId="0" fontId="47" fillId="0" borderId="51" xfId="0" applyFont="1" applyBorder="1"/>
    <xf numFmtId="4" fontId="58" fillId="0" borderId="51" xfId="28" applyNumberFormat="1" applyFont="1" applyBorder="1"/>
    <xf numFmtId="0" fontId="57" fillId="0" borderId="0" xfId="17" applyFont="1"/>
    <xf numFmtId="181" fontId="47" fillId="0" borderId="0" xfId="17" applyNumberFormat="1" applyFont="1"/>
    <xf numFmtId="44" fontId="47" fillId="0" borderId="0" xfId="17" applyNumberFormat="1" applyFont="1"/>
    <xf numFmtId="44" fontId="47" fillId="0" borderId="0" xfId="17" applyNumberFormat="1" applyFont="1" applyAlignment="1">
      <alignment horizontal="center"/>
    </xf>
    <xf numFmtId="0" fontId="59" fillId="0" borderId="0" xfId="25" applyFont="1"/>
    <xf numFmtId="0" fontId="59" fillId="0" borderId="0" xfId="25" applyFont="1" applyAlignment="1">
      <alignment horizontal="center"/>
    </xf>
    <xf numFmtId="0" fontId="55" fillId="0" borderId="0" xfId="36" applyFont="1" applyFill="1" applyBorder="1"/>
    <xf numFmtId="0" fontId="61" fillId="0" borderId="0" xfId="12" applyNumberFormat="1" applyFont="1" applyFill="1" applyBorder="1" applyAlignment="1">
      <alignment horizontal="left"/>
    </xf>
    <xf numFmtId="0" fontId="59" fillId="0" borderId="0" xfId="25" applyFont="1" applyFill="1" applyBorder="1" applyAlignment="1"/>
    <xf numFmtId="0" fontId="47" fillId="0" borderId="0" xfId="25" applyFont="1" applyBorder="1" applyAlignment="1"/>
    <xf numFmtId="0" fontId="62" fillId="0" borderId="0" xfId="25" applyFont="1"/>
    <xf numFmtId="0" fontId="62" fillId="0" borderId="0" xfId="25" applyFont="1" applyAlignment="1">
      <alignment horizontal="center"/>
    </xf>
    <xf numFmtId="0" fontId="63" fillId="0" borderId="67" xfId="33" applyFont="1" applyBorder="1"/>
    <xf numFmtId="0" fontId="59" fillId="0" borderId="8" xfId="25" applyFont="1" applyFill="1" applyBorder="1" applyAlignment="1">
      <alignment horizontal="left"/>
    </xf>
    <xf numFmtId="49" fontId="59" fillId="0" borderId="8" xfId="25" applyNumberFormat="1" applyFont="1" applyFill="1" applyBorder="1"/>
    <xf numFmtId="0" fontId="59" fillId="0" borderId="8" xfId="25" applyFont="1" applyFill="1" applyBorder="1" applyAlignment="1">
      <alignment horizontal="center"/>
    </xf>
    <xf numFmtId="168" fontId="59" fillId="0" borderId="21" xfId="7" applyNumberFormat="1" applyFont="1" applyBorder="1" applyProtection="1"/>
    <xf numFmtId="166" fontId="59" fillId="3" borderId="23" xfId="7" applyFont="1" applyFill="1" applyBorder="1"/>
    <xf numFmtId="181" fontId="59" fillId="0" borderId="24" xfId="7" applyNumberFormat="1" applyFont="1" applyFill="1" applyBorder="1" applyProtection="1"/>
    <xf numFmtId="0" fontId="59" fillId="0" borderId="8" xfId="25" applyFont="1" applyFill="1" applyBorder="1"/>
    <xf numFmtId="179" fontId="59" fillId="0" borderId="6" xfId="25" applyNumberFormat="1" applyFont="1" applyBorder="1" applyProtection="1"/>
    <xf numFmtId="179" fontId="59" fillId="0" borderId="19" xfId="25" applyNumberFormat="1" applyFont="1" applyFill="1" applyBorder="1" applyProtection="1"/>
    <xf numFmtId="181" fontId="59" fillId="0" borderId="17" xfId="7" applyNumberFormat="1" applyFont="1" applyFill="1" applyBorder="1" applyProtection="1"/>
    <xf numFmtId="166" fontId="59" fillId="3" borderId="18" xfId="7" applyFont="1" applyFill="1" applyBorder="1"/>
    <xf numFmtId="0" fontId="59" fillId="0" borderId="20" xfId="25" applyFont="1" applyFill="1" applyBorder="1" applyAlignment="1">
      <alignment horizontal="left"/>
    </xf>
    <xf numFmtId="49" fontId="59" fillId="0" borderId="20" xfId="25" applyNumberFormat="1" applyFont="1" applyFill="1" applyBorder="1"/>
    <xf numFmtId="0" fontId="59" fillId="0" borderId="20" xfId="25" applyFont="1" applyFill="1" applyBorder="1"/>
    <xf numFmtId="179" fontId="59" fillId="0" borderId="21" xfId="25" applyNumberFormat="1" applyFont="1" applyBorder="1" applyProtection="1"/>
    <xf numFmtId="181" fontId="59" fillId="0" borderId="0" xfId="25" applyNumberFormat="1" applyFont="1" applyFill="1" applyBorder="1" applyProtection="1"/>
    <xf numFmtId="0" fontId="62" fillId="0" borderId="17" xfId="25" applyFont="1" applyBorder="1" applyAlignment="1">
      <alignment horizontal="center"/>
    </xf>
    <xf numFmtId="183" fontId="62" fillId="0" borderId="17" xfId="44" applyFont="1" applyFill="1" applyBorder="1" applyProtection="1"/>
    <xf numFmtId="2" fontId="50" fillId="0" borderId="0" xfId="36" applyNumberFormat="1" applyFont="1" applyFill="1" applyBorder="1" applyAlignment="1">
      <alignment vertical="center"/>
    </xf>
    <xf numFmtId="178" fontId="59" fillId="0" borderId="21" xfId="25" applyNumberFormat="1" applyFont="1" applyBorder="1" applyProtection="1"/>
    <xf numFmtId="166" fontId="59" fillId="3" borderId="43" xfId="7" applyFont="1" applyFill="1" applyBorder="1"/>
    <xf numFmtId="179" fontId="59" fillId="0" borderId="44" xfId="25" applyNumberFormat="1" applyFont="1" applyFill="1" applyBorder="1" applyProtection="1"/>
    <xf numFmtId="179" fontId="59" fillId="3" borderId="44" xfId="25" applyNumberFormat="1" applyFont="1" applyFill="1" applyBorder="1" applyProtection="1"/>
    <xf numFmtId="49" fontId="59" fillId="3" borderId="17" xfId="7" applyNumberFormat="1" applyFont="1" applyFill="1" applyBorder="1"/>
    <xf numFmtId="49" fontId="59" fillId="3" borderId="17" xfId="7" applyNumberFormat="1" applyFont="1" applyFill="1" applyBorder="1" applyAlignment="1">
      <alignment horizontal="center"/>
    </xf>
    <xf numFmtId="0" fontId="59" fillId="0" borderId="17" xfId="25" applyFont="1" applyBorder="1"/>
    <xf numFmtId="2" fontId="49" fillId="0" borderId="0" xfId="38" applyNumberFormat="1" applyFont="1" applyFill="1" applyBorder="1" applyAlignment="1"/>
    <xf numFmtId="2" fontId="58" fillId="0" borderId="0" xfId="36" applyNumberFormat="1" applyFont="1" applyFill="1"/>
    <xf numFmtId="2" fontId="49" fillId="0" borderId="0" xfId="36" applyNumberFormat="1" applyFont="1" applyFill="1" applyBorder="1" applyAlignment="1">
      <alignment vertical="center"/>
    </xf>
    <xf numFmtId="2" fontId="49" fillId="0" borderId="0" xfId="36" applyNumberFormat="1" applyFont="1" applyFill="1" applyBorder="1" applyAlignment="1">
      <alignment horizontal="right" vertical="center"/>
    </xf>
    <xf numFmtId="0" fontId="52" fillId="0" borderId="0" xfId="40" applyFont="1" applyFill="1" applyBorder="1"/>
    <xf numFmtId="2" fontId="52" fillId="0" borderId="0" xfId="40" applyNumberFormat="1" applyFont="1" applyFill="1" applyBorder="1"/>
    <xf numFmtId="0" fontId="52" fillId="0" borderId="3" xfId="11" applyFont="1" applyFill="1" applyBorder="1" applyAlignment="1" applyProtection="1">
      <alignment horizontal="left"/>
      <protection hidden="1"/>
    </xf>
    <xf numFmtId="0" fontId="52" fillId="0" borderId="2" xfId="11" applyFont="1" applyFill="1" applyBorder="1" applyAlignment="1" applyProtection="1">
      <alignment horizontal="left"/>
      <protection hidden="1"/>
    </xf>
    <xf numFmtId="0" fontId="60" fillId="0" borderId="1" xfId="11" applyNumberFormat="1" applyFont="1" applyFill="1" applyBorder="1" applyAlignment="1" applyProtection="1">
      <alignment horizontal="left"/>
      <protection hidden="1"/>
    </xf>
    <xf numFmtId="0" fontId="60" fillId="0" borderId="0" xfId="11" applyNumberFormat="1" applyFont="1" applyFill="1" applyBorder="1" applyAlignment="1" applyProtection="1">
      <alignment horizontal="center"/>
      <protection hidden="1"/>
    </xf>
    <xf numFmtId="0" fontId="60" fillId="0" borderId="0" xfId="11" applyFont="1" applyFill="1" applyBorder="1" applyAlignment="1" applyProtection="1">
      <alignment horizontal="left"/>
      <protection hidden="1"/>
    </xf>
    <xf numFmtId="0" fontId="60" fillId="0" borderId="0" xfId="11" applyFont="1" applyFill="1" applyBorder="1" applyAlignment="1" applyProtection="1">
      <alignment horizontal="center"/>
      <protection hidden="1"/>
    </xf>
    <xf numFmtId="0" fontId="58" fillId="0" borderId="0" xfId="36" applyFont="1" applyFill="1" applyBorder="1" applyAlignment="1"/>
    <xf numFmtId="0" fontId="47" fillId="0" borderId="0" xfId="36" applyFont="1" applyFill="1" applyBorder="1" applyAlignment="1"/>
    <xf numFmtId="0" fontId="58" fillId="0" borderId="0" xfId="36" applyFont="1" applyBorder="1" applyAlignment="1"/>
    <xf numFmtId="0" fontId="58" fillId="0" borderId="0" xfId="36" applyFont="1" applyFill="1" applyBorder="1"/>
    <xf numFmtId="176" fontId="58" fillId="0" borderId="0" xfId="36" applyNumberFormat="1" applyFont="1" applyFill="1" applyBorder="1"/>
    <xf numFmtId="0" fontId="47" fillId="0" borderId="0" xfId="26" applyFont="1" applyFill="1"/>
    <xf numFmtId="0" fontId="47" fillId="0" borderId="0" xfId="26" applyFont="1"/>
    <xf numFmtId="0" fontId="60" fillId="0" borderId="7" xfId="11" applyNumberFormat="1" applyFont="1" applyFill="1" applyBorder="1" applyAlignment="1" applyProtection="1">
      <alignment horizontal="left" textRotation="90"/>
      <protection hidden="1"/>
    </xf>
    <xf numFmtId="0" fontId="60" fillId="0" borderId="0" xfId="11" applyNumberFormat="1" applyFont="1" applyFill="1" applyBorder="1" applyAlignment="1" applyProtection="1">
      <alignment horizontal="left" textRotation="90"/>
      <protection hidden="1"/>
    </xf>
    <xf numFmtId="0" fontId="53" fillId="0" borderId="0" xfId="11" applyNumberFormat="1" applyFont="1" applyFill="1" applyBorder="1" applyAlignment="1" applyProtection="1">
      <alignment horizontal="left" textRotation="90"/>
      <protection hidden="1"/>
    </xf>
    <xf numFmtId="176" fontId="60" fillId="0" borderId="1" xfId="11" applyNumberFormat="1" applyFont="1" applyFill="1" applyBorder="1" applyAlignment="1" applyProtection="1">
      <alignment horizontal="center"/>
      <protection hidden="1"/>
    </xf>
    <xf numFmtId="165" fontId="47" fillId="0" borderId="1" xfId="29" applyFont="1" applyBorder="1"/>
    <xf numFmtId="181" fontId="47" fillId="0" borderId="1" xfId="0" applyNumberFormat="1" applyFont="1" applyBorder="1"/>
    <xf numFmtId="177" fontId="47" fillId="0" borderId="1" xfId="0" applyNumberFormat="1" applyFont="1" applyBorder="1"/>
    <xf numFmtId="165" fontId="47" fillId="0" borderId="1" xfId="0" applyNumberFormat="1" applyFont="1" applyBorder="1"/>
    <xf numFmtId="0" fontId="57" fillId="0" borderId="3" xfId="0" applyFont="1" applyBorder="1"/>
    <xf numFmtId="0" fontId="57" fillId="0" borderId="4" xfId="0" applyFont="1" applyBorder="1"/>
    <xf numFmtId="0" fontId="57" fillId="0" borderId="2" xfId="0" applyFont="1" applyBorder="1"/>
    <xf numFmtId="49" fontId="57" fillId="0" borderId="1" xfId="7" applyNumberFormat="1" applyFont="1" applyBorder="1" applyAlignment="1">
      <alignment horizontal="center"/>
    </xf>
    <xf numFmtId="165" fontId="57" fillId="0" borderId="1" xfId="0" applyNumberFormat="1" applyFont="1" applyBorder="1"/>
    <xf numFmtId="44" fontId="47" fillId="0" borderId="0" xfId="98" applyFont="1"/>
    <xf numFmtId="2" fontId="49" fillId="0" borderId="0" xfId="49" applyNumberFormat="1" applyFont="1" applyFill="1" applyBorder="1" applyAlignment="1"/>
    <xf numFmtId="0" fontId="47" fillId="0" borderId="0" xfId="42" applyFont="1" applyAlignment="1">
      <alignment vertical="top"/>
    </xf>
    <xf numFmtId="0" fontId="47" fillId="0" borderId="40" xfId="42" applyFont="1" applyBorder="1"/>
    <xf numFmtId="168" fontId="47" fillId="0" borderId="40" xfId="7" applyNumberFormat="1" applyFont="1" applyBorder="1"/>
    <xf numFmtId="44" fontId="47" fillId="0" borderId="40" xfId="98" applyFont="1" applyBorder="1"/>
    <xf numFmtId="0" fontId="47" fillId="0" borderId="51" xfId="42" applyFont="1" applyBorder="1" applyAlignment="1">
      <alignment horizontal="center"/>
    </xf>
    <xf numFmtId="0" fontId="47" fillId="0" borderId="51" xfId="42" applyFont="1" applyBorder="1"/>
    <xf numFmtId="0" fontId="47" fillId="0" borderId="67" xfId="42" applyFont="1" applyBorder="1" applyAlignment="1">
      <alignment horizontal="center"/>
    </xf>
    <xf numFmtId="0" fontId="47" fillId="0" borderId="67" xfId="42" applyFont="1" applyBorder="1"/>
    <xf numFmtId="44" fontId="47" fillId="0" borderId="0" xfId="42" applyNumberFormat="1" applyFont="1"/>
    <xf numFmtId="172" fontId="61" fillId="0" borderId="0" xfId="12" applyNumberFormat="1" applyFont="1" applyFill="1" applyBorder="1" applyAlignment="1">
      <alignment horizontal="left"/>
    </xf>
    <xf numFmtId="0" fontId="47" fillId="0" borderId="0" xfId="42" applyFont="1" applyBorder="1" applyAlignment="1">
      <alignment horizontal="center"/>
    </xf>
    <xf numFmtId="0" fontId="47" fillId="0" borderId="0" xfId="17" applyFont="1" applyFill="1" applyBorder="1"/>
    <xf numFmtId="0" fontId="47" fillId="0" borderId="0" xfId="42" applyFont="1" applyBorder="1"/>
    <xf numFmtId="0" fontId="47" fillId="0" borderId="0" xfId="17" applyFont="1" applyFill="1" applyBorder="1" applyAlignment="1">
      <alignment horizontal="left"/>
    </xf>
    <xf numFmtId="44" fontId="47" fillId="0" borderId="0" xfId="98" applyFont="1" applyFill="1" applyBorder="1" applyAlignment="1">
      <alignment horizontal="left"/>
    </xf>
    <xf numFmtId="44" fontId="47" fillId="0" borderId="0" xfId="98" applyFont="1" applyFill="1" applyBorder="1" applyAlignment="1">
      <alignment horizontal="center"/>
    </xf>
    <xf numFmtId="0" fontId="47" fillId="0" borderId="0" xfId="17" applyFont="1" applyBorder="1"/>
    <xf numFmtId="168" fontId="47" fillId="0" borderId="0" xfId="7" applyNumberFormat="1" applyFont="1" applyAlignment="1">
      <alignment horizontal="left"/>
    </xf>
    <xf numFmtId="168" fontId="47" fillId="0" borderId="0" xfId="7" applyNumberFormat="1" applyFont="1"/>
    <xf numFmtId="0" fontId="63" fillId="0" borderId="0" xfId="33" applyFont="1"/>
    <xf numFmtId="0" fontId="58" fillId="0" borderId="0" xfId="36" applyNumberFormat="1" applyFont="1" applyAlignment="1">
      <alignment horizontal="center"/>
    </xf>
    <xf numFmtId="44" fontId="47" fillId="0" borderId="0" xfId="34" applyFont="1"/>
    <xf numFmtId="44" fontId="47" fillId="0" borderId="1" xfId="34" applyFont="1" applyBorder="1"/>
    <xf numFmtId="0" fontId="47" fillId="0" borderId="2" xfId="26" applyFont="1" applyFill="1" applyBorder="1" applyAlignment="1">
      <alignment horizontal="center"/>
    </xf>
    <xf numFmtId="44" fontId="47" fillId="0" borderId="0" xfId="34" applyFont="1" applyBorder="1"/>
    <xf numFmtId="0" fontId="47" fillId="3" borderId="1" xfId="0" applyFont="1" applyFill="1" applyBorder="1" applyAlignment="1">
      <alignment horizontal="left"/>
    </xf>
    <xf numFmtId="0" fontId="58" fillId="0" borderId="0" xfId="36" applyFont="1"/>
    <xf numFmtId="0" fontId="47" fillId="0" borderId="0" xfId="23" applyFont="1"/>
    <xf numFmtId="0" fontId="50" fillId="0" borderId="0" xfId="38" applyNumberFormat="1" applyFont="1" applyFill="1" applyBorder="1" applyAlignment="1">
      <alignment horizontal="center"/>
    </xf>
    <xf numFmtId="0" fontId="50" fillId="0" borderId="0" xfId="36" applyNumberFormat="1" applyFont="1" applyFill="1" applyBorder="1" applyAlignment="1">
      <alignment horizontal="center" vertical="center"/>
    </xf>
    <xf numFmtId="182" fontId="47" fillId="0" borderId="17" xfId="12" applyNumberFormat="1" applyFont="1" applyFill="1" applyBorder="1" applyAlignment="1">
      <alignment horizontal="center"/>
    </xf>
    <xf numFmtId="165" fontId="47" fillId="0" borderId="1" xfId="29" applyFont="1" applyFill="1" applyBorder="1" applyAlignment="1"/>
    <xf numFmtId="165" fontId="47" fillId="0" borderId="51" xfId="29" applyFont="1" applyFill="1" applyBorder="1" applyAlignment="1"/>
    <xf numFmtId="0" fontId="58" fillId="0" borderId="0" xfId="36" applyFont="1" applyBorder="1"/>
    <xf numFmtId="44" fontId="63" fillId="0" borderId="0" xfId="34" applyFont="1"/>
    <xf numFmtId="1" fontId="47" fillId="0" borderId="0" xfId="37" applyNumberFormat="1" applyFont="1" applyAlignment="1">
      <alignment horizontal="center"/>
    </xf>
    <xf numFmtId="0" fontId="66" fillId="0" borderId="0" xfId="33" applyFont="1"/>
    <xf numFmtId="0" fontId="63" fillId="0" borderId="41" xfId="33" applyFont="1" applyBorder="1"/>
    <xf numFmtId="0" fontId="47" fillId="0" borderId="16" xfId="33" applyFont="1" applyBorder="1" applyAlignment="1">
      <alignment horizontal="center"/>
    </xf>
    <xf numFmtId="0" fontId="63" fillId="0" borderId="1" xfId="33" applyFont="1" applyBorder="1"/>
    <xf numFmtId="168" fontId="47" fillId="0" borderId="16" xfId="7" applyNumberFormat="1" applyFont="1" applyBorder="1"/>
    <xf numFmtId="4" fontId="63" fillId="0" borderId="1" xfId="33" applyNumberFormat="1" applyFont="1" applyBorder="1"/>
    <xf numFmtId="44" fontId="63" fillId="0" borderId="1" xfId="33" applyNumberFormat="1" applyFont="1" applyBorder="1"/>
    <xf numFmtId="0" fontId="47" fillId="0" borderId="13" xfId="33" applyFont="1" applyBorder="1"/>
    <xf numFmtId="0" fontId="47" fillId="0" borderId="13" xfId="33" applyFont="1" applyBorder="1" applyAlignment="1">
      <alignment horizontal="center"/>
    </xf>
    <xf numFmtId="168" fontId="47" fillId="0" borderId="13" xfId="7" applyNumberFormat="1" applyFont="1" applyBorder="1"/>
    <xf numFmtId="0" fontId="47" fillId="0" borderId="1" xfId="33" applyFont="1" applyBorder="1" applyAlignment="1">
      <alignment horizontal="center"/>
    </xf>
    <xf numFmtId="0" fontId="63" fillId="0" borderId="1" xfId="33" applyFont="1" applyBorder="1" applyAlignment="1">
      <alignment horizontal="center"/>
    </xf>
    <xf numFmtId="168" fontId="63" fillId="0" borderId="1" xfId="7" applyNumberFormat="1" applyFont="1" applyBorder="1"/>
    <xf numFmtId="0" fontId="47" fillId="0" borderId="66" xfId="193" applyFont="1" applyBorder="1" applyAlignment="1">
      <alignment horizontal="center"/>
    </xf>
    <xf numFmtId="0" fontId="47" fillId="0" borderId="51" xfId="193" applyFont="1" applyBorder="1"/>
    <xf numFmtId="0" fontId="63" fillId="0" borderId="66" xfId="193" applyFont="1" applyBorder="1" applyAlignment="1">
      <alignment horizontal="center"/>
    </xf>
    <xf numFmtId="168" fontId="63" fillId="0" borderId="51" xfId="7" applyNumberFormat="1" applyFont="1" applyBorder="1"/>
    <xf numFmtId="4" fontId="63" fillId="0" borderId="51" xfId="193" applyNumberFormat="1" applyFont="1" applyBorder="1"/>
    <xf numFmtId="4" fontId="63" fillId="3" borderId="51" xfId="193" applyNumberFormat="1" applyFont="1" applyFill="1" applyBorder="1"/>
    <xf numFmtId="44" fontId="63" fillId="0" borderId="51" xfId="193" applyNumberFormat="1" applyFont="1" applyBorder="1"/>
    <xf numFmtId="0" fontId="63" fillId="0" borderId="0" xfId="193" applyFont="1"/>
    <xf numFmtId="0" fontId="47" fillId="0" borderId="42" xfId="193" applyFont="1" applyBorder="1"/>
    <xf numFmtId="168" fontId="63" fillId="0" borderId="42" xfId="7" applyNumberFormat="1" applyFont="1" applyBorder="1"/>
    <xf numFmtId="0" fontId="47" fillId="0" borderId="0" xfId="0" applyFont="1" applyAlignment="1">
      <alignment horizontal="left"/>
    </xf>
    <xf numFmtId="49" fontId="47" fillId="0" borderId="0" xfId="0" applyNumberFormat="1" applyFont="1" applyAlignment="1">
      <alignment horizontal="left" vertical="top"/>
    </xf>
    <xf numFmtId="173" fontId="47" fillId="0" borderId="0" xfId="7" applyNumberFormat="1" applyFont="1" applyAlignment="1">
      <alignment horizontal="center"/>
    </xf>
    <xf numFmtId="168" fontId="47" fillId="0" borderId="0" xfId="7" applyNumberFormat="1" applyFont="1" applyAlignment="1">
      <alignment horizontal="center"/>
    </xf>
    <xf numFmtId="0" fontId="67" fillId="0" borderId="0" xfId="0" applyFont="1" applyFill="1" applyAlignment="1"/>
    <xf numFmtId="2" fontId="46" fillId="0" borderId="0" xfId="0" applyNumberFormat="1" applyFont="1"/>
    <xf numFmtId="2" fontId="57" fillId="0" borderId="0" xfId="0" applyNumberFormat="1" applyFont="1" applyAlignment="1">
      <alignment horizontal="left"/>
    </xf>
    <xf numFmtId="49" fontId="57" fillId="0" borderId="0" xfId="0" applyNumberFormat="1" applyFont="1" applyAlignment="1">
      <alignment horizontal="left" vertical="top"/>
    </xf>
    <xf numFmtId="2" fontId="57" fillId="0" borderId="0" xfId="0" applyNumberFormat="1" applyFont="1"/>
    <xf numFmtId="0" fontId="57" fillId="0" borderId="0" xfId="0" applyFont="1"/>
    <xf numFmtId="173" fontId="57" fillId="0" borderId="0" xfId="0" applyNumberFormat="1" applyFont="1"/>
    <xf numFmtId="0" fontId="68" fillId="0" borderId="0" xfId="0" applyFont="1" applyFill="1" applyAlignment="1"/>
    <xf numFmtId="173" fontId="57" fillId="0" borderId="0" xfId="7" applyNumberFormat="1" applyFont="1" applyFill="1" applyAlignment="1">
      <alignment horizontal="center"/>
    </xf>
    <xf numFmtId="168" fontId="57" fillId="0" borderId="0" xfId="7" applyNumberFormat="1" applyFont="1" applyFill="1" applyAlignment="1">
      <alignment horizontal="center"/>
    </xf>
    <xf numFmtId="173" fontId="47" fillId="0" borderId="0" xfId="7" applyNumberFormat="1" applyFont="1"/>
    <xf numFmtId="1" fontId="51" fillId="0" borderId="0" xfId="12" applyNumberFormat="1" applyFont="1" applyFill="1" applyBorder="1" applyAlignment="1">
      <alignment horizontal="left" vertical="top"/>
    </xf>
    <xf numFmtId="49" fontId="69" fillId="0" borderId="0" xfId="0" applyNumberFormat="1" applyFont="1" applyAlignment="1">
      <alignment horizontal="left" vertical="top"/>
    </xf>
    <xf numFmtId="2" fontId="57" fillId="0" borderId="0" xfId="0" applyNumberFormat="1" applyFont="1" applyAlignment="1">
      <alignment horizontal="center" vertical="top" wrapText="1"/>
    </xf>
    <xf numFmtId="2" fontId="57" fillId="0" borderId="0" xfId="0" applyNumberFormat="1" applyFont="1" applyAlignment="1">
      <alignment vertical="top" wrapText="1"/>
    </xf>
    <xf numFmtId="2" fontId="57" fillId="0" borderId="0" xfId="0" applyNumberFormat="1" applyFont="1" applyAlignment="1">
      <alignment horizontal="left" vertical="top" wrapText="1"/>
    </xf>
    <xf numFmtId="0" fontId="57" fillId="0" borderId="0" xfId="0" applyFont="1" applyAlignment="1">
      <alignment vertical="top" wrapText="1"/>
    </xf>
    <xf numFmtId="0" fontId="56" fillId="0" borderId="0" xfId="0" applyFont="1" applyFill="1" applyAlignment="1">
      <alignment vertical="top" wrapText="1"/>
    </xf>
    <xf numFmtId="0" fontId="68" fillId="0" borderId="0" xfId="0" applyFont="1" applyFill="1" applyAlignment="1">
      <alignment vertical="top" wrapText="1"/>
    </xf>
    <xf numFmtId="0" fontId="47" fillId="0" borderId="0" xfId="0" applyFont="1" applyAlignment="1">
      <alignment vertical="top" wrapText="1"/>
    </xf>
    <xf numFmtId="169" fontId="47" fillId="0" borderId="1" xfId="0" applyNumberFormat="1" applyFont="1" applyFill="1" applyBorder="1" applyAlignment="1">
      <alignment horizontal="left"/>
    </xf>
    <xf numFmtId="49" fontId="47" fillId="0" borderId="1" xfId="0" applyNumberFormat="1" applyFont="1" applyBorder="1" applyAlignment="1">
      <alignment horizontal="left" vertical="top"/>
    </xf>
    <xf numFmtId="0" fontId="47" fillId="0" borderId="1" xfId="0" applyFont="1" applyFill="1" applyBorder="1"/>
    <xf numFmtId="49" fontId="47" fillId="0" borderId="56" xfId="0" applyNumberFormat="1" applyFont="1" applyBorder="1" applyAlignment="1">
      <alignment horizontal="left"/>
    </xf>
    <xf numFmtId="168" fontId="47" fillId="0" borderId="1" xfId="7" applyNumberFormat="1" applyFont="1" applyFill="1" applyBorder="1" applyAlignment="1">
      <alignment horizontal="right"/>
    </xf>
    <xf numFmtId="1" fontId="47" fillId="0" borderId="1" xfId="7" applyNumberFormat="1" applyFont="1" applyFill="1" applyBorder="1" applyAlignment="1"/>
    <xf numFmtId="1" fontId="47" fillId="0" borderId="1" xfId="0" applyNumberFormat="1" applyFont="1" applyFill="1" applyBorder="1" applyAlignment="1"/>
    <xf numFmtId="2" fontId="47" fillId="0" borderId="1" xfId="0" applyNumberFormat="1" applyFont="1" applyFill="1" applyBorder="1" applyAlignment="1">
      <alignment horizontal="left"/>
    </xf>
    <xf numFmtId="0" fontId="47" fillId="3" borderId="51" xfId="0" applyFont="1" applyFill="1" applyBorder="1" applyAlignment="1">
      <alignment horizontal="left"/>
    </xf>
    <xf numFmtId="169" fontId="47" fillId="0" borderId="51" xfId="0" applyNumberFormat="1" applyFont="1" applyBorder="1" applyAlignment="1">
      <alignment horizontal="left"/>
    </xf>
    <xf numFmtId="49" fontId="47" fillId="0" borderId="51" xfId="0" applyNumberFormat="1" applyFont="1" applyBorder="1" applyAlignment="1">
      <alignment horizontal="left" vertical="top"/>
    </xf>
    <xf numFmtId="168" fontId="47" fillId="0" borderId="51" xfId="7" applyNumberFormat="1" applyFont="1" applyFill="1" applyBorder="1" applyAlignment="1">
      <alignment horizontal="right"/>
    </xf>
    <xf numFmtId="1" fontId="47" fillId="0" borderId="51" xfId="7" applyNumberFormat="1" applyFont="1" applyFill="1" applyBorder="1" applyAlignment="1"/>
    <xf numFmtId="1" fontId="47" fillId="0" borderId="51" xfId="0" applyNumberFormat="1" applyFont="1" applyBorder="1"/>
    <xf numFmtId="2" fontId="47" fillId="0" borderId="51" xfId="0" applyNumberFormat="1" applyFont="1" applyBorder="1" applyAlignment="1">
      <alignment horizontal="left"/>
    </xf>
    <xf numFmtId="0" fontId="47" fillId="0" borderId="0" xfId="0" applyFont="1" applyAlignment="1">
      <alignment horizontal="center"/>
    </xf>
    <xf numFmtId="0" fontId="67" fillId="0" borderId="0" xfId="0" applyFont="1" applyAlignment="1"/>
    <xf numFmtId="44" fontId="47" fillId="0" borderId="0" xfId="34" applyFont="1" applyFill="1" applyAlignment="1"/>
    <xf numFmtId="44" fontId="50" fillId="0" borderId="0" xfId="34" applyFont="1" applyFill="1" applyAlignment="1"/>
    <xf numFmtId="44" fontId="50" fillId="0" borderId="0" xfId="34" applyFont="1" applyFill="1" applyAlignment="1">
      <alignment horizontal="left"/>
    </xf>
    <xf numFmtId="0" fontId="49" fillId="0" borderId="0" xfId="12" applyFont="1" applyFill="1" applyAlignment="1"/>
    <xf numFmtId="44" fontId="49" fillId="0" borderId="0" xfId="34" applyFont="1" applyFill="1" applyAlignment="1"/>
    <xf numFmtId="0" fontId="57" fillId="0" borderId="0" xfId="12" applyFont="1" applyFill="1" applyAlignment="1"/>
    <xf numFmtId="44" fontId="47" fillId="0" borderId="16" xfId="34" applyFont="1" applyBorder="1"/>
    <xf numFmtId="44" fontId="47" fillId="0" borderId="9" xfId="34" applyFont="1" applyBorder="1"/>
    <xf numFmtId="44" fontId="47" fillId="0" borderId="1" xfId="0" applyNumberFormat="1" applyFont="1" applyBorder="1"/>
    <xf numFmtId="0" fontId="57" fillId="3" borderId="10" xfId="0" applyFont="1" applyFill="1" applyBorder="1"/>
    <xf numFmtId="44" fontId="47" fillId="0" borderId="0" xfId="0" applyNumberFormat="1" applyFont="1"/>
    <xf numFmtId="49" fontId="46" fillId="15" borderId="1" xfId="11" applyNumberFormat="1" applyFont="1" applyFill="1" applyBorder="1" applyAlignment="1" applyProtection="1">
      <alignment horizontal="left" vertical="top"/>
      <protection hidden="1"/>
    </xf>
    <xf numFmtId="49" fontId="69" fillId="0" borderId="0" xfId="12" applyNumberFormat="1" applyFont="1" applyFill="1" applyBorder="1" applyAlignment="1"/>
    <xf numFmtId="2" fontId="70" fillId="0" borderId="0" xfId="12" applyNumberFormat="1" applyFont="1" applyFill="1" applyBorder="1" applyAlignment="1"/>
    <xf numFmtId="2" fontId="70" fillId="0" borderId="0" xfId="12" applyNumberFormat="1" applyFont="1" applyFill="1" applyAlignment="1"/>
    <xf numFmtId="49" fontId="47" fillId="0" borderId="0" xfId="11" applyNumberFormat="1" applyFont="1" applyFill="1" applyBorder="1" applyAlignment="1" applyProtection="1">
      <alignment horizontal="left" vertical="top"/>
      <protection hidden="1"/>
    </xf>
    <xf numFmtId="0" fontId="47" fillId="0" borderId="0" xfId="11" applyFont="1" applyFill="1" applyBorder="1" applyAlignment="1" applyProtection="1">
      <alignment horizontal="center" vertical="justify"/>
      <protection hidden="1"/>
    </xf>
    <xf numFmtId="49" fontId="57" fillId="0" borderId="0" xfId="12" applyNumberFormat="1" applyFont="1" applyFill="1" applyBorder="1" applyAlignment="1"/>
    <xf numFmtId="181" fontId="47" fillId="16" borderId="9" xfId="14" applyNumberFormat="1" applyFont="1" applyFill="1" applyBorder="1" applyAlignment="1">
      <alignment horizontal="center"/>
    </xf>
    <xf numFmtId="49" fontId="46" fillId="15" borderId="68" xfId="11" applyNumberFormat="1" applyFont="1" applyFill="1" applyBorder="1" applyAlignment="1" applyProtection="1">
      <alignment horizontal="left" vertical="top"/>
      <protection hidden="1"/>
    </xf>
    <xf numFmtId="49" fontId="46" fillId="15" borderId="41" xfId="11" applyNumberFormat="1" applyFont="1" applyFill="1" applyBorder="1" applyAlignment="1" applyProtection="1">
      <alignment horizontal="left" vertical="top"/>
      <protection hidden="1"/>
    </xf>
    <xf numFmtId="0" fontId="70" fillId="0" borderId="0" xfId="12" applyFont="1" applyFill="1" applyAlignment="1"/>
    <xf numFmtId="2" fontId="69" fillId="0" borderId="0" xfId="12" applyNumberFormat="1" applyFont="1" applyFill="1" applyBorder="1" applyAlignment="1"/>
    <xf numFmtId="0" fontId="71" fillId="17" borderId="68" xfId="38" applyFont="1" applyFill="1" applyBorder="1" applyAlignment="1">
      <alignment horizontal="left"/>
    </xf>
    <xf numFmtId="0" fontId="71" fillId="17" borderId="22" xfId="38" applyFont="1" applyFill="1" applyBorder="1" applyAlignment="1">
      <alignment horizontal="left"/>
    </xf>
    <xf numFmtId="0" fontId="71" fillId="17" borderId="41" xfId="38" applyFont="1" applyFill="1" applyBorder="1" applyAlignment="1">
      <alignment horizontal="left"/>
    </xf>
    <xf numFmtId="2" fontId="72" fillId="17" borderId="67" xfId="18" applyNumberFormat="1" applyFont="1" applyFill="1" applyBorder="1" applyAlignment="1">
      <alignment vertical="top" wrapText="1"/>
    </xf>
    <xf numFmtId="44" fontId="57" fillId="0" borderId="15" xfId="0" applyNumberFormat="1" applyFont="1" applyFill="1" applyBorder="1"/>
    <xf numFmtId="2" fontId="69" fillId="0" borderId="0" xfId="12" applyNumberFormat="1" applyFont="1" applyFill="1" applyBorder="1" applyAlignment="1">
      <alignment vertical="top"/>
    </xf>
    <xf numFmtId="2" fontId="72" fillId="17" borderId="42" xfId="0" applyNumberFormat="1" applyFont="1" applyFill="1" applyBorder="1" applyAlignment="1">
      <alignment horizontal="left" vertical="top" wrapText="1"/>
    </xf>
    <xf numFmtId="2" fontId="72" fillId="17" borderId="42" xfId="0" applyNumberFormat="1" applyFont="1" applyFill="1" applyBorder="1" applyAlignment="1">
      <alignment horizontal="center" vertical="top" wrapText="1"/>
    </xf>
    <xf numFmtId="2" fontId="69" fillId="0" borderId="0" xfId="38" applyNumberFormat="1" applyFont="1" applyFill="1" applyBorder="1" applyAlignment="1"/>
    <xf numFmtId="2" fontId="69" fillId="0" borderId="0" xfId="49" applyNumberFormat="1" applyFont="1" applyFill="1" applyBorder="1" applyAlignment="1"/>
    <xf numFmtId="2" fontId="70" fillId="0" borderId="0" xfId="38" applyNumberFormat="1" applyFont="1" applyFill="1" applyBorder="1" applyAlignment="1">
      <alignment horizontal="left"/>
    </xf>
    <xf numFmtId="0" fontId="73" fillId="16" borderId="40" xfId="36" applyFont="1" applyFill="1" applyBorder="1"/>
    <xf numFmtId="0" fontId="55" fillId="16" borderId="1" xfId="36" applyFont="1" applyFill="1" applyBorder="1"/>
    <xf numFmtId="0" fontId="47" fillId="16" borderId="41" xfId="37" applyFont="1" applyFill="1" applyBorder="1" applyAlignment="1">
      <alignment horizontal="right"/>
    </xf>
    <xf numFmtId="44" fontId="47" fillId="16" borderId="40" xfId="34" applyFont="1" applyFill="1" applyBorder="1" applyAlignment="1">
      <alignment horizontal="right"/>
    </xf>
    <xf numFmtId="2" fontId="70" fillId="0" borderId="0" xfId="38" applyNumberFormat="1" applyFont="1" applyFill="1" applyBorder="1" applyAlignment="1"/>
    <xf numFmtId="2" fontId="72" fillId="17" borderId="66" xfId="17" applyNumberFormat="1" applyFont="1" applyFill="1" applyBorder="1" applyAlignment="1">
      <alignment vertical="top" wrapText="1"/>
    </xf>
    <xf numFmtId="2" fontId="72" fillId="17" borderId="1" xfId="17" applyNumberFormat="1" applyFont="1" applyFill="1" applyBorder="1" applyAlignment="1">
      <alignment horizontal="center" vertical="top" wrapText="1"/>
    </xf>
    <xf numFmtId="2" fontId="72" fillId="17" borderId="1" xfId="7" applyNumberFormat="1" applyFont="1" applyFill="1" applyBorder="1" applyAlignment="1" applyProtection="1">
      <alignment horizontal="left" vertical="top" wrapText="1"/>
    </xf>
    <xf numFmtId="0" fontId="74" fillId="0" borderId="0" xfId="33" applyFont="1" applyFill="1"/>
    <xf numFmtId="44" fontId="57" fillId="0" borderId="41" xfId="34" applyFont="1" applyFill="1" applyBorder="1" applyAlignment="1" applyProtection="1">
      <alignment horizontal="left" vertical="top" wrapText="1"/>
    </xf>
    <xf numFmtId="0" fontId="47" fillId="0" borderId="69" xfId="193" applyFont="1" applyBorder="1" applyAlignment="1">
      <alignment horizontal="center"/>
    </xf>
    <xf numFmtId="0" fontId="47" fillId="0" borderId="42" xfId="33" applyFont="1" applyBorder="1"/>
    <xf numFmtId="0" fontId="63" fillId="0" borderId="69" xfId="193" applyFont="1" applyBorder="1" applyAlignment="1">
      <alignment horizontal="center"/>
    </xf>
    <xf numFmtId="4" fontId="63" fillId="0" borderId="42" xfId="193" applyNumberFormat="1" applyFont="1" applyBorder="1"/>
    <xf numFmtId="4" fontId="63" fillId="3" borderId="42" xfId="193" applyNumberFormat="1" applyFont="1" applyFill="1" applyBorder="1"/>
    <xf numFmtId="44" fontId="63" fillId="0" borderId="42" xfId="193" applyNumberFormat="1" applyFont="1" applyBorder="1"/>
    <xf numFmtId="166" fontId="47" fillId="4" borderId="42" xfId="12" applyNumberFormat="1" applyFont="1" applyFill="1" applyBorder="1" applyAlignment="1"/>
    <xf numFmtId="2" fontId="57" fillId="0" borderId="68" xfId="7" applyNumberFormat="1" applyFont="1" applyFill="1" applyBorder="1" applyAlignment="1" applyProtection="1">
      <alignment horizontal="left" vertical="top" wrapText="1"/>
    </xf>
    <xf numFmtId="2" fontId="57" fillId="0" borderId="22" xfId="7" applyNumberFormat="1" applyFont="1" applyFill="1" applyBorder="1" applyAlignment="1" applyProtection="1">
      <alignment horizontal="left" vertical="top" wrapText="1"/>
    </xf>
    <xf numFmtId="2" fontId="57" fillId="0" borderId="41" xfId="7" applyNumberFormat="1" applyFont="1" applyFill="1" applyBorder="1" applyAlignment="1" applyProtection="1">
      <alignment horizontal="left" vertical="top" wrapText="1"/>
    </xf>
    <xf numFmtId="166" fontId="47" fillId="16" borderId="40" xfId="12" applyNumberFormat="1" applyFont="1" applyFill="1" applyBorder="1" applyAlignment="1"/>
    <xf numFmtId="166" fontId="47" fillId="16" borderId="51" xfId="12" applyNumberFormat="1" applyFont="1" applyFill="1" applyBorder="1"/>
    <xf numFmtId="178" fontId="72" fillId="17" borderId="1" xfId="0" applyNumberFormat="1" applyFont="1" applyFill="1" applyBorder="1" applyAlignment="1" applyProtection="1">
      <alignment horizontal="left" vertical="top" wrapText="1"/>
    </xf>
    <xf numFmtId="2" fontId="72" fillId="17" borderId="1" xfId="0" applyNumberFormat="1" applyFont="1" applyFill="1" applyBorder="1" applyAlignment="1">
      <alignment vertical="top" wrapText="1"/>
    </xf>
    <xf numFmtId="2" fontId="72" fillId="17" borderId="1" xfId="0" applyNumberFormat="1" applyFont="1" applyFill="1" applyBorder="1" applyAlignment="1" applyProtection="1">
      <alignment horizontal="center" vertical="top" wrapText="1"/>
    </xf>
    <xf numFmtId="2" fontId="72" fillId="17" borderId="1" xfId="7" applyNumberFormat="1" applyFont="1" applyFill="1" applyBorder="1" applyAlignment="1" applyProtection="1">
      <alignment horizontal="center" vertical="top" wrapText="1"/>
    </xf>
    <xf numFmtId="165" fontId="65" fillId="0" borderId="41" xfId="29" applyFont="1" applyFill="1" applyBorder="1" applyAlignment="1">
      <alignment horizontal="right"/>
    </xf>
    <xf numFmtId="0" fontId="47" fillId="0" borderId="42" xfId="0" applyFont="1" applyBorder="1" applyAlignment="1">
      <alignment horizontal="center"/>
    </xf>
    <xf numFmtId="0" fontId="47" fillId="0" borderId="42" xfId="0" applyFont="1" applyBorder="1"/>
    <xf numFmtId="182" fontId="47" fillId="0" borderId="42" xfId="12" applyNumberFormat="1" applyFont="1" applyFill="1" applyBorder="1" applyAlignment="1">
      <alignment horizontal="center"/>
    </xf>
    <xf numFmtId="166" fontId="47" fillId="16" borderId="42" xfId="12" applyNumberFormat="1" applyFont="1" applyFill="1" applyBorder="1"/>
    <xf numFmtId="165" fontId="47" fillId="0" borderId="42" xfId="29" applyFont="1" applyFill="1" applyBorder="1" applyAlignment="1"/>
    <xf numFmtId="49" fontId="65" fillId="0" borderId="68" xfId="12" applyNumberFormat="1" applyFont="1" applyFill="1" applyBorder="1" applyAlignment="1"/>
    <xf numFmtId="49" fontId="65" fillId="0" borderId="22" xfId="12" applyNumberFormat="1" applyFont="1" applyFill="1" applyBorder="1" applyAlignment="1"/>
    <xf numFmtId="164" fontId="65" fillId="0" borderId="22" xfId="12" applyNumberFormat="1" applyFont="1" applyFill="1" applyBorder="1" applyAlignment="1"/>
    <xf numFmtId="166" fontId="65" fillId="0" borderId="41" xfId="12" applyNumberFormat="1" applyFont="1" applyFill="1" applyBorder="1" applyAlignment="1"/>
    <xf numFmtId="0" fontId="56" fillId="0" borderId="0" xfId="17" applyFont="1" applyFill="1"/>
    <xf numFmtId="0" fontId="47" fillId="0" borderId="0" xfId="17" applyFont="1" applyFill="1"/>
    <xf numFmtId="168" fontId="47" fillId="0" borderId="0" xfId="7" applyNumberFormat="1" applyFont="1" applyFill="1"/>
    <xf numFmtId="2" fontId="70" fillId="0" borderId="0" xfId="49" applyNumberFormat="1" applyFont="1" applyFill="1" applyBorder="1" applyAlignment="1">
      <alignment horizontal="left"/>
    </xf>
    <xf numFmtId="0" fontId="45" fillId="16" borderId="9" xfId="48" applyFont="1" applyFill="1" applyBorder="1" applyAlignment="1" applyProtection="1">
      <protection hidden="1"/>
    </xf>
    <xf numFmtId="0" fontId="57" fillId="0" borderId="68" xfId="17" applyFont="1" applyBorder="1"/>
    <xf numFmtId="0" fontId="47" fillId="0" borderId="70" xfId="17" applyFont="1" applyBorder="1"/>
    <xf numFmtId="168" fontId="47" fillId="0" borderId="70" xfId="7" applyNumberFormat="1" applyFont="1" applyBorder="1"/>
    <xf numFmtId="44" fontId="57" fillId="3" borderId="67" xfId="98" applyFont="1" applyFill="1" applyBorder="1" applyAlignment="1">
      <alignment horizontal="left" vertical="top" wrapText="1"/>
    </xf>
    <xf numFmtId="2" fontId="72" fillId="17" borderId="67" xfId="17" applyNumberFormat="1" applyFont="1" applyFill="1" applyBorder="1" applyAlignment="1">
      <alignment horizontal="left" vertical="top" wrapText="1"/>
    </xf>
    <xf numFmtId="168" fontId="72" fillId="17" borderId="67" xfId="7" applyNumberFormat="1" applyFont="1" applyFill="1" applyBorder="1" applyAlignment="1">
      <alignment horizontal="center" vertical="top" wrapText="1"/>
    </xf>
    <xf numFmtId="2" fontId="72" fillId="17" borderId="67" xfId="17" applyNumberFormat="1" applyFont="1" applyFill="1" applyBorder="1" applyAlignment="1">
      <alignment horizontal="center" vertical="top" wrapText="1"/>
    </xf>
    <xf numFmtId="169" fontId="47" fillId="0" borderId="67" xfId="0" applyNumberFormat="1" applyFont="1" applyFill="1" applyBorder="1" applyAlignment="1">
      <alignment horizontal="center"/>
    </xf>
    <xf numFmtId="169" fontId="47" fillId="0" borderId="67" xfId="0" applyNumberFormat="1" applyFont="1" applyFill="1" applyBorder="1" applyAlignment="1">
      <alignment horizontal="left"/>
    </xf>
    <xf numFmtId="1" fontId="47" fillId="0" borderId="67" xfId="50" applyNumberFormat="1" applyFont="1" applyFill="1" applyBorder="1" applyAlignment="1">
      <alignment horizontal="left"/>
    </xf>
    <xf numFmtId="0" fontId="47" fillId="0" borderId="67" xfId="50" applyFont="1" applyBorder="1" applyAlignment="1">
      <alignment horizontal="left"/>
    </xf>
    <xf numFmtId="168" fontId="47" fillId="3" borderId="67" xfId="7" applyNumberFormat="1" applyFont="1" applyFill="1" applyBorder="1"/>
    <xf numFmtId="44" fontId="60" fillId="0" borderId="67" xfId="34" applyFont="1" applyFill="1" applyBorder="1" applyAlignment="1" applyProtection="1">
      <alignment horizontal="right" vertical="center"/>
      <protection hidden="1"/>
    </xf>
    <xf numFmtId="43" fontId="60" fillId="16" borderId="67" xfId="51" applyFont="1" applyFill="1" applyBorder="1" applyAlignment="1" applyProtection="1">
      <alignment horizontal="right" vertical="center"/>
      <protection hidden="1"/>
    </xf>
    <xf numFmtId="181" fontId="60" fillId="0" borderId="67" xfId="48" applyNumberFormat="1" applyFont="1" applyFill="1" applyBorder="1" applyAlignment="1" applyProtection="1">
      <alignment horizontal="right" vertical="center"/>
      <protection hidden="1"/>
    </xf>
    <xf numFmtId="168" fontId="47" fillId="0" borderId="67" xfId="7" applyNumberFormat="1" applyFont="1" applyBorder="1" applyAlignment="1">
      <alignment horizontal="left"/>
    </xf>
    <xf numFmtId="1" fontId="47" fillId="0" borderId="67" xfId="50" applyNumberFormat="1" applyFont="1" applyBorder="1" applyAlignment="1">
      <alignment horizontal="left"/>
    </xf>
    <xf numFmtId="44" fontId="57" fillId="0" borderId="67" xfId="42" applyNumberFormat="1" applyFont="1" applyBorder="1"/>
    <xf numFmtId="0" fontId="47" fillId="0" borderId="68" xfId="42" applyFont="1" applyBorder="1"/>
    <xf numFmtId="0" fontId="47" fillId="0" borderId="70" xfId="42" applyFont="1" applyBorder="1" applyAlignment="1">
      <alignment horizontal="center"/>
    </xf>
    <xf numFmtId="0" fontId="47" fillId="0" borderId="70" xfId="17" applyFont="1" applyFill="1" applyBorder="1"/>
    <xf numFmtId="0" fontId="47" fillId="0" borderId="70" xfId="42" applyFont="1" applyBorder="1"/>
    <xf numFmtId="0" fontId="47" fillId="0" borderId="70" xfId="17" applyFont="1" applyFill="1" applyBorder="1" applyAlignment="1">
      <alignment horizontal="left"/>
    </xf>
    <xf numFmtId="44" fontId="47" fillId="0" borderId="70" xfId="98" applyFont="1" applyFill="1" applyBorder="1" applyAlignment="1">
      <alignment horizontal="left"/>
    </xf>
    <xf numFmtId="44" fontId="47" fillId="0" borderId="70" xfId="98" applyFont="1" applyFill="1" applyBorder="1" applyAlignment="1">
      <alignment horizontal="center"/>
    </xf>
    <xf numFmtId="0" fontId="55" fillId="16" borderId="40" xfId="36" applyFont="1" applyFill="1" applyBorder="1"/>
    <xf numFmtId="44" fontId="47" fillId="16" borderId="40" xfId="98" applyFont="1" applyFill="1" applyBorder="1"/>
    <xf numFmtId="44" fontId="47" fillId="16" borderId="40" xfId="98" applyFont="1" applyFill="1" applyBorder="1" applyAlignment="1"/>
    <xf numFmtId="44" fontId="72" fillId="17" borderId="40" xfId="98" applyFont="1" applyFill="1" applyBorder="1" applyAlignment="1">
      <alignment vertical="top" wrapText="1"/>
    </xf>
    <xf numFmtId="0" fontId="72" fillId="17" borderId="40" xfId="42" applyFont="1" applyFill="1" applyBorder="1" applyAlignment="1">
      <alignment vertical="top" wrapText="1"/>
    </xf>
    <xf numFmtId="0" fontId="57" fillId="0" borderId="43" xfId="42" applyFont="1" applyFill="1" applyBorder="1"/>
    <xf numFmtId="0" fontId="57" fillId="0" borderId="22" xfId="42" applyFont="1" applyFill="1" applyBorder="1"/>
    <xf numFmtId="168" fontId="57" fillId="0" borderId="22" xfId="42" applyNumberFormat="1" applyFont="1" applyFill="1" applyBorder="1"/>
    <xf numFmtId="44" fontId="57" fillId="0" borderId="22" xfId="98" applyFont="1" applyFill="1" applyBorder="1"/>
    <xf numFmtId="0" fontId="57" fillId="0" borderId="41" xfId="42" applyFont="1" applyFill="1" applyBorder="1"/>
    <xf numFmtId="44" fontId="57" fillId="0" borderId="40" xfId="42" applyNumberFormat="1" applyFont="1" applyFill="1" applyBorder="1"/>
    <xf numFmtId="0" fontId="72" fillId="17" borderId="1" xfId="11" applyNumberFormat="1" applyFont="1" applyFill="1" applyBorder="1" applyAlignment="1" applyProtection="1">
      <alignment horizontal="left" wrapText="1"/>
      <protection hidden="1"/>
    </xf>
    <xf numFmtId="0" fontId="72" fillId="17" borderId="1" xfId="11" applyNumberFormat="1" applyFont="1" applyFill="1" applyBorder="1" applyAlignment="1" applyProtection="1">
      <alignment horizontal="left" textRotation="90" wrapText="1"/>
      <protection hidden="1"/>
    </xf>
    <xf numFmtId="49" fontId="46" fillId="15" borderId="0" xfId="11" applyNumberFormat="1" applyFont="1" applyFill="1" applyBorder="1" applyAlignment="1" applyProtection="1">
      <alignment horizontal="left" vertical="top"/>
      <protection hidden="1"/>
    </xf>
    <xf numFmtId="3" fontId="60" fillId="16" borderId="1" xfId="11" applyNumberFormat="1" applyFont="1" applyFill="1" applyBorder="1" applyAlignment="1" applyProtection="1">
      <alignment horizontal="left" wrapText="1"/>
      <protection hidden="1"/>
    </xf>
    <xf numFmtId="3" fontId="60" fillId="16" borderId="1" xfId="11" applyNumberFormat="1" applyFont="1" applyFill="1" applyBorder="1" applyAlignment="1" applyProtection="1">
      <alignment horizontal="left" vertical="top" wrapText="1"/>
      <protection hidden="1"/>
    </xf>
    <xf numFmtId="176" fontId="60" fillId="16" borderId="1" xfId="11" applyNumberFormat="1" applyFont="1" applyFill="1" applyBorder="1" applyAlignment="1" applyProtection="1">
      <alignment horizontal="center"/>
      <protection hidden="1"/>
    </xf>
    <xf numFmtId="3" fontId="60" fillId="16" borderId="1" xfId="11" applyNumberFormat="1" applyFont="1" applyFill="1" applyBorder="1" applyAlignment="1" applyProtection="1">
      <alignment horizontal="center"/>
      <protection hidden="1"/>
    </xf>
    <xf numFmtId="168" fontId="60" fillId="16" borderId="1" xfId="7" applyNumberFormat="1" applyFont="1" applyFill="1" applyBorder="1" applyAlignment="1" applyProtection="1">
      <alignment horizontal="center"/>
      <protection hidden="1"/>
    </xf>
    <xf numFmtId="9" fontId="60" fillId="16" borderId="7" xfId="14" applyFont="1" applyFill="1" applyBorder="1" applyAlignment="1" applyProtection="1">
      <alignment horizontal="center"/>
      <protection hidden="1"/>
    </xf>
    <xf numFmtId="2" fontId="70" fillId="0" borderId="0" xfId="12" applyNumberFormat="1" applyFont="1" applyFill="1" applyBorder="1" applyAlignment="1">
      <alignment horizontal="left"/>
    </xf>
    <xf numFmtId="176" fontId="58" fillId="16" borderId="1" xfId="36" applyNumberFormat="1" applyFont="1" applyFill="1" applyBorder="1"/>
    <xf numFmtId="0" fontId="72" fillId="17" borderId="1" xfId="11" applyFont="1" applyFill="1" applyBorder="1" applyAlignment="1" applyProtection="1">
      <alignment horizontal="left"/>
      <protection hidden="1"/>
    </xf>
    <xf numFmtId="0" fontId="72" fillId="17" borderId="1" xfId="11" applyFont="1" applyFill="1" applyBorder="1" applyAlignment="1" applyProtection="1">
      <alignment horizontal="center"/>
      <protection hidden="1"/>
    </xf>
    <xf numFmtId="0" fontId="72" fillId="17" borderId="1" xfId="0" applyFont="1" applyFill="1" applyBorder="1" applyAlignment="1">
      <alignment horizontal="center"/>
    </xf>
    <xf numFmtId="0" fontId="72" fillId="17" borderId="24" xfId="11" applyFont="1" applyFill="1" applyBorder="1" applyAlignment="1" applyProtection="1">
      <protection hidden="1"/>
    </xf>
    <xf numFmtId="0" fontId="69" fillId="0" borderId="0" xfId="11" applyNumberFormat="1" applyFont="1" applyFill="1" applyBorder="1" applyAlignment="1" applyProtection="1">
      <alignment horizontal="left" vertical="center"/>
      <protection hidden="1"/>
    </xf>
    <xf numFmtId="0" fontId="72" fillId="17" borderId="3" xfId="11" applyNumberFormat="1" applyFont="1" applyFill="1" applyBorder="1" applyAlignment="1" applyProtection="1">
      <alignment horizontal="left" vertical="center"/>
      <protection hidden="1"/>
    </xf>
    <xf numFmtId="0" fontId="72" fillId="17" borderId="3" xfId="11" applyNumberFormat="1" applyFont="1" applyFill="1" applyBorder="1" applyAlignment="1" applyProtection="1">
      <alignment horizontal="left" vertical="center" wrapText="1"/>
      <protection hidden="1"/>
    </xf>
    <xf numFmtId="0" fontId="72" fillId="17" borderId="17" xfId="11" applyNumberFormat="1" applyFont="1" applyFill="1" applyBorder="1" applyAlignment="1" applyProtection="1">
      <alignment horizontal="left" vertical="center" wrapText="1"/>
      <protection hidden="1"/>
    </xf>
    <xf numFmtId="0" fontId="59" fillId="0" borderId="0" xfId="25" applyFont="1" applyFill="1"/>
    <xf numFmtId="181" fontId="60" fillId="16" borderId="1" xfId="39" applyNumberFormat="1" applyFont="1" applyFill="1" applyBorder="1" applyAlignment="1" applyProtection="1">
      <alignment horizontal="right" vertical="center"/>
      <protection hidden="1"/>
    </xf>
    <xf numFmtId="166" fontId="59" fillId="16" borderId="43" xfId="7" applyFont="1" applyFill="1" applyBorder="1"/>
    <xf numFmtId="166" fontId="59" fillId="16" borderId="23" xfId="7" applyFont="1" applyFill="1" applyBorder="1"/>
    <xf numFmtId="49" fontId="59" fillId="16" borderId="40" xfId="7" applyNumberFormat="1" applyFont="1" applyFill="1" applyBorder="1" applyAlignment="1">
      <alignment horizontal="center"/>
    </xf>
    <xf numFmtId="49" fontId="59" fillId="16" borderId="17" xfId="7" applyNumberFormat="1" applyFont="1" applyFill="1" applyBorder="1"/>
    <xf numFmtId="49" fontId="59" fillId="16" borderId="17" xfId="7" applyNumberFormat="1" applyFont="1" applyFill="1" applyBorder="1" applyAlignment="1">
      <alignment horizontal="center"/>
    </xf>
    <xf numFmtId="44" fontId="59" fillId="16" borderId="17" xfId="34" applyFont="1" applyFill="1" applyBorder="1" applyAlignment="1">
      <alignment horizontal="center"/>
    </xf>
    <xf numFmtId="166" fontId="59" fillId="16" borderId="17" xfId="7" applyFont="1" applyFill="1" applyBorder="1"/>
    <xf numFmtId="2" fontId="59" fillId="16" borderId="17" xfId="7" applyNumberFormat="1" applyFont="1" applyFill="1" applyBorder="1" applyAlignment="1">
      <alignment horizontal="center"/>
    </xf>
    <xf numFmtId="0" fontId="45" fillId="16" borderId="67" xfId="39" applyFont="1" applyFill="1" applyBorder="1" applyAlignment="1" applyProtection="1">
      <protection hidden="1"/>
    </xf>
    <xf numFmtId="181" fontId="60" fillId="16" borderId="40" xfId="39" applyNumberFormat="1" applyFont="1" applyFill="1" applyBorder="1" applyAlignment="1" applyProtection="1">
      <alignment horizontal="right" vertical="center"/>
      <protection hidden="1"/>
    </xf>
    <xf numFmtId="166" fontId="60" fillId="16" borderId="40" xfId="7" applyFont="1" applyFill="1" applyBorder="1" applyAlignment="1" applyProtection="1">
      <alignment horizontal="right" vertical="center"/>
      <protection hidden="1"/>
    </xf>
    <xf numFmtId="166" fontId="60" fillId="16" borderId="51" xfId="7" applyFont="1" applyFill="1" applyBorder="1" applyAlignment="1" applyProtection="1">
      <alignment horizontal="right" vertical="center"/>
      <protection hidden="1"/>
    </xf>
    <xf numFmtId="2" fontId="72" fillId="17" borderId="1" xfId="17" applyNumberFormat="1" applyFont="1" applyFill="1" applyBorder="1" applyAlignment="1">
      <alignment horizontal="left" vertical="top" wrapText="1"/>
    </xf>
    <xf numFmtId="2" fontId="72" fillId="17" borderId="56" xfId="17" applyNumberFormat="1" applyFont="1" applyFill="1" applyBorder="1" applyAlignment="1">
      <alignment horizontal="center" vertical="top" wrapText="1"/>
    </xf>
    <xf numFmtId="0" fontId="57" fillId="0" borderId="3" xfId="17" applyFont="1" applyFill="1" applyBorder="1"/>
    <xf numFmtId="0" fontId="57" fillId="0" borderId="4" xfId="17" applyFont="1" applyFill="1" applyBorder="1" applyAlignment="1">
      <alignment horizontal="left"/>
    </xf>
    <xf numFmtId="0" fontId="57" fillId="0" borderId="22" xfId="17" applyFont="1" applyFill="1" applyBorder="1" applyAlignment="1">
      <alignment horizontal="left"/>
    </xf>
    <xf numFmtId="166" fontId="57" fillId="0" borderId="4" xfId="17" applyNumberFormat="1" applyFont="1" applyFill="1" applyBorder="1"/>
    <xf numFmtId="166" fontId="57" fillId="0" borderId="22" xfId="17" applyNumberFormat="1" applyFont="1" applyFill="1" applyBorder="1"/>
    <xf numFmtId="181" fontId="57" fillId="0" borderId="2" xfId="17" applyNumberFormat="1" applyFont="1" applyFill="1" applyBorder="1"/>
    <xf numFmtId="49" fontId="45" fillId="15" borderId="45" xfId="11" applyNumberFormat="1" applyFont="1" applyFill="1" applyBorder="1" applyAlignment="1" applyProtection="1">
      <alignment horizontal="left" vertical="top"/>
      <protection hidden="1"/>
    </xf>
    <xf numFmtId="0" fontId="71" fillId="17" borderId="46" xfId="12" applyNumberFormat="1" applyFont="1" applyFill="1" applyBorder="1" applyAlignment="1"/>
    <xf numFmtId="0" fontId="71" fillId="17" borderId="45" xfId="12" applyNumberFormat="1" applyFont="1" applyFill="1" applyBorder="1" applyAlignment="1"/>
    <xf numFmtId="169" fontId="47" fillId="0" borderId="67" xfId="0" applyNumberFormat="1" applyFont="1" applyFill="1" applyBorder="1" applyAlignment="1">
      <alignment horizontal="center" vertical="center"/>
    </xf>
    <xf numFmtId="169" fontId="47" fillId="0" borderId="67" xfId="0" applyNumberFormat="1" applyFont="1" applyFill="1" applyBorder="1" applyAlignment="1">
      <alignment horizontal="left" vertical="center"/>
    </xf>
    <xf numFmtId="1" fontId="47" fillId="0" borderId="67" xfId="50" applyNumberFormat="1" applyFont="1" applyFill="1" applyBorder="1" applyAlignment="1">
      <alignment horizontal="left" vertical="center"/>
    </xf>
    <xf numFmtId="0" fontId="47" fillId="0" borderId="67" xfId="50" applyFont="1" applyBorder="1" applyAlignment="1">
      <alignment horizontal="left" vertical="center" wrapText="1"/>
    </xf>
    <xf numFmtId="168" fontId="47" fillId="0" borderId="67" xfId="7" applyNumberFormat="1" applyFont="1" applyBorder="1" applyAlignment="1">
      <alignment horizontal="left" vertical="center"/>
    </xf>
    <xf numFmtId="0" fontId="47" fillId="0" borderId="0" xfId="17" applyFont="1" applyAlignment="1">
      <alignment vertical="center"/>
    </xf>
    <xf numFmtId="181" fontId="60" fillId="16" borderId="67" xfId="48" applyNumberFormat="1" applyFont="1" applyFill="1" applyBorder="1" applyAlignment="1" applyProtection="1">
      <alignment horizontal="right" vertical="center"/>
      <protection hidden="1"/>
    </xf>
    <xf numFmtId="49" fontId="57" fillId="0" borderId="0" xfId="12" applyNumberFormat="1" applyFont="1"/>
    <xf numFmtId="0" fontId="47" fillId="0" borderId="0" xfId="12" applyFont="1"/>
    <xf numFmtId="181" fontId="47" fillId="16" borderId="56" xfId="14" applyNumberFormat="1" applyFont="1" applyFill="1" applyBorder="1" applyAlignment="1">
      <alignment horizontal="center"/>
    </xf>
    <xf numFmtId="9" fontId="50" fillId="0" borderId="0" xfId="12" applyNumberFormat="1" applyFont="1" applyFill="1" applyAlignment="1"/>
    <xf numFmtId="49" fontId="47" fillId="0" borderId="0" xfId="12" applyNumberFormat="1" applyFont="1"/>
    <xf numFmtId="44" fontId="47" fillId="0" borderId="0" xfId="12" applyNumberFormat="1" applyFont="1"/>
    <xf numFmtId="49" fontId="72" fillId="17" borderId="3" xfId="38" applyNumberFormat="1" applyFont="1" applyFill="1" applyBorder="1"/>
    <xf numFmtId="0" fontId="72" fillId="17" borderId="70" xfId="38" applyFont="1" applyFill="1" applyBorder="1"/>
    <xf numFmtId="9" fontId="72" fillId="17" borderId="70" xfId="14" applyFont="1" applyFill="1" applyBorder="1" applyAlignment="1">
      <alignment horizontal="center"/>
    </xf>
    <xf numFmtId="44" fontId="72" fillId="17" borderId="71" xfId="38" applyNumberFormat="1" applyFont="1" applyFill="1" applyBorder="1"/>
    <xf numFmtId="0" fontId="47" fillId="0" borderId="0" xfId="38" applyFont="1"/>
    <xf numFmtId="177" fontId="47" fillId="0" borderId="0" xfId="0" applyNumberFormat="1" applyFont="1"/>
    <xf numFmtId="2" fontId="72" fillId="17" borderId="1" xfId="17" applyNumberFormat="1" applyFont="1" applyFill="1" applyBorder="1" applyAlignment="1">
      <alignment horizontal="center" vertical="top" wrapText="1"/>
    </xf>
    <xf numFmtId="0" fontId="57" fillId="3" borderId="14" xfId="0" applyFont="1" applyFill="1" applyBorder="1"/>
    <xf numFmtId="168" fontId="47" fillId="0" borderId="0" xfId="7" applyNumberFormat="1" applyFont="1" applyFill="1" applyAlignment="1"/>
    <xf numFmtId="168" fontId="50" fillId="0" borderId="0" xfId="7" applyNumberFormat="1" applyFont="1" applyFill="1" applyAlignment="1"/>
    <xf numFmtId="168" fontId="50" fillId="0" borderId="0" xfId="12" applyNumberFormat="1" applyFont="1" applyFill="1" applyAlignment="1"/>
    <xf numFmtId="168" fontId="49" fillId="0" borderId="0" xfId="7" applyNumberFormat="1" applyFont="1" applyFill="1" applyAlignment="1"/>
    <xf numFmtId="168" fontId="71" fillId="17" borderId="22" xfId="38" applyNumberFormat="1" applyFont="1" applyFill="1" applyBorder="1" applyAlignment="1">
      <alignment horizontal="left"/>
    </xf>
    <xf numFmtId="168" fontId="72" fillId="17" borderId="67" xfId="18" applyNumberFormat="1" applyFont="1" applyFill="1" applyBorder="1" applyAlignment="1">
      <alignment vertical="top" wrapText="1"/>
    </xf>
    <xf numFmtId="168" fontId="47" fillId="0" borderId="1" xfId="7" applyNumberFormat="1" applyFont="1" applyBorder="1"/>
    <xf numFmtId="168" fontId="57" fillId="3" borderId="76" xfId="7" applyNumberFormat="1" applyFont="1" applyFill="1" applyBorder="1"/>
    <xf numFmtId="168" fontId="45" fillId="0" borderId="0" xfId="7" applyNumberFormat="1" applyFont="1" applyAlignment="1">
      <alignment horizontal="center"/>
    </xf>
    <xf numFmtId="168" fontId="64" fillId="0" borderId="0" xfId="7" applyNumberFormat="1" applyFont="1"/>
    <xf numFmtId="49" fontId="47" fillId="0" borderId="0" xfId="7" applyNumberFormat="1" applyFont="1" applyAlignment="1">
      <alignment horizontal="center"/>
    </xf>
    <xf numFmtId="49" fontId="72" fillId="17" borderId="1" xfId="7" applyNumberFormat="1" applyFont="1" applyFill="1" applyBorder="1" applyAlignment="1">
      <alignment horizontal="center" vertical="top" wrapText="1"/>
    </xf>
    <xf numFmtId="49" fontId="60" fillId="0" borderId="1" xfId="7" applyNumberFormat="1" applyFont="1" applyFill="1" applyBorder="1" applyAlignment="1" applyProtection="1">
      <alignment horizontal="center" vertical="center"/>
      <protection hidden="1"/>
    </xf>
    <xf numFmtId="49" fontId="60" fillId="0" borderId="51" xfId="7" applyNumberFormat="1" applyFont="1" applyFill="1" applyBorder="1" applyAlignment="1" applyProtection="1">
      <alignment horizontal="center" vertical="center"/>
      <protection hidden="1"/>
    </xf>
    <xf numFmtId="49" fontId="57" fillId="0" borderId="4" xfId="7" applyNumberFormat="1" applyFont="1" applyFill="1" applyBorder="1" applyAlignment="1">
      <alignment horizontal="center"/>
    </xf>
    <xf numFmtId="49" fontId="57" fillId="0" borderId="3" xfId="12" applyNumberFormat="1" applyFont="1" applyBorder="1"/>
    <xf numFmtId="0" fontId="57" fillId="0" borderId="70" xfId="12" applyFont="1" applyBorder="1"/>
    <xf numFmtId="49" fontId="57" fillId="0" borderId="70" xfId="12" applyNumberFormat="1" applyFont="1" applyBorder="1"/>
    <xf numFmtId="44" fontId="57" fillId="0" borderId="71" xfId="12" applyNumberFormat="1" applyFont="1" applyBorder="1"/>
    <xf numFmtId="0" fontId="47" fillId="0" borderId="0" xfId="11" applyFont="1" applyFill="1" applyBorder="1" applyAlignment="1" applyProtection="1">
      <alignment horizontal="right" vertical="justify"/>
      <protection hidden="1"/>
    </xf>
    <xf numFmtId="187" fontId="51" fillId="0" borderId="0" xfId="12" quotePrefix="1" applyNumberFormat="1" applyFont="1" applyAlignment="1">
      <alignment horizontal="left"/>
    </xf>
    <xf numFmtId="0" fontId="58" fillId="0" borderId="0" xfId="36" applyFont="1" applyAlignment="1">
      <alignment horizontal="center"/>
    </xf>
    <xf numFmtId="165" fontId="65" fillId="0" borderId="71" xfId="29" applyFont="1" applyFill="1" applyBorder="1" applyAlignment="1">
      <alignment horizontal="right"/>
    </xf>
    <xf numFmtId="166" fontId="65" fillId="0" borderId="71" xfId="12" applyNumberFormat="1" applyFont="1" applyBorder="1"/>
    <xf numFmtId="164" fontId="65" fillId="0" borderId="70" xfId="12" applyNumberFormat="1" applyFont="1" applyBorder="1"/>
    <xf numFmtId="182" fontId="65" fillId="0" borderId="70" xfId="12" applyNumberFormat="1" applyFont="1" applyBorder="1" applyAlignment="1">
      <alignment horizontal="center"/>
    </xf>
    <xf numFmtId="49" fontId="65" fillId="0" borderId="70" xfId="12" applyNumberFormat="1" applyFont="1" applyBorder="1"/>
    <xf numFmtId="0" fontId="58" fillId="0" borderId="70" xfId="36" applyFont="1" applyBorder="1"/>
    <xf numFmtId="0" fontId="47" fillId="0" borderId="70" xfId="23" applyFont="1" applyBorder="1"/>
    <xf numFmtId="49" fontId="65" fillId="0" borderId="3" xfId="12" applyNumberFormat="1" applyFont="1" applyBorder="1"/>
    <xf numFmtId="43" fontId="47" fillId="0" borderId="42" xfId="29" applyNumberFormat="1" applyFont="1" applyFill="1" applyBorder="1" applyAlignment="1"/>
    <xf numFmtId="182" fontId="47" fillId="0" borderId="42" xfId="12" applyNumberFormat="1" applyFont="1" applyBorder="1" applyAlignment="1">
      <alignment horizontal="center"/>
    </xf>
    <xf numFmtId="0" fontId="47" fillId="0" borderId="77" xfId="12" applyFont="1" applyBorder="1"/>
    <xf numFmtId="0" fontId="47" fillId="0" borderId="77" xfId="12" applyFont="1" applyBorder="1" applyAlignment="1">
      <alignment horizontal="left"/>
    </xf>
    <xf numFmtId="0" fontId="47" fillId="3" borderId="42" xfId="0" applyFont="1" applyFill="1" applyBorder="1" applyAlignment="1">
      <alignment horizontal="left"/>
    </xf>
    <xf numFmtId="43" fontId="47" fillId="0" borderId="1" xfId="29" applyNumberFormat="1" applyFont="1" applyFill="1" applyBorder="1" applyAlignment="1"/>
    <xf numFmtId="166" fontId="47" fillId="16" borderId="1" xfId="12" applyNumberFormat="1" applyFont="1" applyFill="1" applyBorder="1"/>
    <xf numFmtId="182" fontId="47" fillId="0" borderId="1" xfId="12" applyNumberFormat="1" applyFont="1" applyBorder="1" applyAlignment="1">
      <alignment horizontal="center"/>
    </xf>
    <xf numFmtId="0" fontId="47" fillId="0" borderId="3" xfId="12" applyFont="1" applyBorder="1"/>
    <xf numFmtId="0" fontId="47" fillId="0" borderId="3" xfId="12" applyFont="1" applyBorder="1" applyAlignment="1">
      <alignment horizontal="left"/>
    </xf>
    <xf numFmtId="0" fontId="47" fillId="0" borderId="0" xfId="37" applyFont="1"/>
    <xf numFmtId="2" fontId="72" fillId="17" borderId="1" xfId="0" applyNumberFormat="1" applyFont="1" applyFill="1" applyBorder="1" applyAlignment="1">
      <alignment horizontal="left" vertical="top" wrapText="1"/>
    </xf>
    <xf numFmtId="2" fontId="49" fillId="0" borderId="0" xfId="36" applyNumberFormat="1" applyFont="1" applyAlignment="1">
      <alignment vertical="center"/>
    </xf>
    <xf numFmtId="0" fontId="50" fillId="0" borderId="0" xfId="36" applyFont="1" applyAlignment="1">
      <alignment horizontal="center" vertical="center"/>
    </xf>
    <xf numFmtId="2" fontId="49" fillId="0" borderId="0" xfId="38" applyNumberFormat="1" applyFont="1"/>
    <xf numFmtId="2" fontId="50" fillId="0" borderId="0" xfId="36" applyNumberFormat="1" applyFont="1" applyAlignment="1">
      <alignment vertical="center"/>
    </xf>
    <xf numFmtId="0" fontId="50" fillId="0" borderId="0" xfId="38" applyFont="1" applyAlignment="1">
      <alignment horizontal="left"/>
    </xf>
    <xf numFmtId="49" fontId="51" fillId="0" borderId="0" xfId="38" applyNumberFormat="1" applyFont="1" applyAlignment="1">
      <alignment horizontal="left"/>
    </xf>
    <xf numFmtId="0" fontId="50" fillId="0" borderId="0" xfId="38" applyFont="1" applyAlignment="1">
      <alignment horizontal="center"/>
    </xf>
    <xf numFmtId="2" fontId="50" fillId="0" borderId="0" xfId="38" applyNumberFormat="1" applyFont="1" applyAlignment="1">
      <alignment horizontal="left"/>
    </xf>
    <xf numFmtId="2" fontId="50" fillId="0" borderId="0" xfId="38" applyNumberFormat="1" applyFont="1"/>
    <xf numFmtId="0" fontId="63" fillId="0" borderId="67" xfId="33" applyFont="1" applyBorder="1" applyAlignment="1">
      <alignment horizontal="center"/>
    </xf>
    <xf numFmtId="49" fontId="47" fillId="16" borderId="40" xfId="98" applyNumberFormat="1" applyFont="1" applyFill="1" applyBorder="1" applyAlignment="1">
      <alignment horizontal="center"/>
    </xf>
    <xf numFmtId="49" fontId="69" fillId="0" borderId="0" xfId="12" applyNumberFormat="1" applyFont="1"/>
    <xf numFmtId="49" fontId="47" fillId="0" borderId="40" xfId="11" applyNumberFormat="1" applyFont="1" applyBorder="1" applyAlignment="1" applyProtection="1">
      <alignment horizontal="left"/>
      <protection hidden="1"/>
    </xf>
    <xf numFmtId="0" fontId="72" fillId="17" borderId="43" xfId="11" applyNumberFormat="1" applyFont="1" applyFill="1" applyBorder="1" applyAlignment="1" applyProtection="1">
      <alignment horizontal="left" vertical="center" wrapText="1"/>
      <protection hidden="1"/>
    </xf>
    <xf numFmtId="179" fontId="59" fillId="3" borderId="0" xfId="25" applyNumberFormat="1" applyFont="1" applyFill="1" applyBorder="1" applyProtection="1"/>
    <xf numFmtId="179" fontId="59" fillId="0" borderId="0" xfId="25" applyNumberFormat="1" applyFont="1" applyFill="1" applyBorder="1" applyProtection="1"/>
    <xf numFmtId="0" fontId="62" fillId="0" borderId="40" xfId="25" applyFont="1" applyBorder="1" applyAlignment="1">
      <alignment horizontal="center"/>
    </xf>
    <xf numFmtId="49" fontId="59" fillId="3" borderId="8" xfId="25" applyNumberFormat="1" applyFont="1" applyFill="1" applyBorder="1"/>
    <xf numFmtId="2" fontId="72" fillId="17" borderId="1" xfId="0" applyNumberFormat="1" applyFont="1" applyFill="1" applyBorder="1" applyAlignment="1">
      <alignment horizontal="left" vertical="top" wrapText="1"/>
    </xf>
    <xf numFmtId="2" fontId="72" fillId="17" borderId="1" xfId="17" applyNumberFormat="1" applyFont="1" applyFill="1" applyBorder="1" applyAlignment="1">
      <alignment horizontal="center" vertical="top" wrapText="1"/>
    </xf>
    <xf numFmtId="2" fontId="70" fillId="0" borderId="0" xfId="12" applyNumberFormat="1" applyFont="1"/>
    <xf numFmtId="2" fontId="72" fillId="17" borderId="1" xfId="0" applyNumberFormat="1" applyFont="1" applyFill="1" applyBorder="1" applyAlignment="1">
      <alignment horizontal="left" vertical="top" wrapText="1"/>
    </xf>
    <xf numFmtId="2" fontId="72" fillId="17" borderId="1" xfId="17" applyNumberFormat="1" applyFont="1" applyFill="1" applyBorder="1" applyAlignment="1">
      <alignment horizontal="center" vertical="top" wrapText="1"/>
    </xf>
    <xf numFmtId="49" fontId="56" fillId="15" borderId="1" xfId="11" applyNumberFormat="1" applyFont="1" applyFill="1" applyBorder="1" applyAlignment="1" applyProtection="1">
      <alignment horizontal="left" vertical="top"/>
      <protection hidden="1"/>
    </xf>
    <xf numFmtId="0" fontId="64" fillId="0" borderId="0" xfId="0" applyFont="1"/>
    <xf numFmtId="0" fontId="56" fillId="0" borderId="0" xfId="0" applyFont="1"/>
    <xf numFmtId="2" fontId="69" fillId="0" borderId="0" xfId="12" applyNumberFormat="1" applyFont="1"/>
    <xf numFmtId="2" fontId="69" fillId="0" borderId="0" xfId="12" applyNumberFormat="1" applyFont="1" applyAlignment="1">
      <alignment vertical="top"/>
    </xf>
    <xf numFmtId="0" fontId="56" fillId="0" borderId="0" xfId="0" applyFont="1" applyAlignment="1">
      <alignment vertical="top" wrapText="1"/>
    </xf>
    <xf numFmtId="169" fontId="47" fillId="0" borderId="1" xfId="0" applyNumberFormat="1" applyFont="1" applyBorder="1" applyAlignment="1">
      <alignment horizontal="left"/>
    </xf>
    <xf numFmtId="0" fontId="47" fillId="18" borderId="1" xfId="0" applyFont="1" applyFill="1" applyBorder="1"/>
    <xf numFmtId="41" fontId="0" fillId="0" borderId="0" xfId="0" applyNumberFormat="1"/>
    <xf numFmtId="43" fontId="0" fillId="0" borderId="0" xfId="0" applyNumberFormat="1"/>
    <xf numFmtId="2" fontId="72" fillId="17" borderId="66" xfId="17" applyNumberFormat="1" applyFont="1" applyFill="1" applyBorder="1" applyAlignment="1">
      <alignment vertical="top"/>
    </xf>
    <xf numFmtId="0" fontId="63" fillId="0" borderId="71" xfId="33" applyFont="1" applyBorder="1"/>
    <xf numFmtId="2" fontId="72" fillId="17" borderId="1" xfId="0" applyNumberFormat="1" applyFont="1" applyFill="1" applyBorder="1" applyAlignment="1">
      <alignment horizontal="center" vertical="top" wrapText="1"/>
    </xf>
    <xf numFmtId="41" fontId="47" fillId="0" borderId="1" xfId="0" applyNumberFormat="1" applyFont="1" applyBorder="1"/>
    <xf numFmtId="43" fontId="47" fillId="16" borderId="1" xfId="0" applyNumberFormat="1" applyFont="1" applyFill="1" applyBorder="1"/>
    <xf numFmtId="43" fontId="47" fillId="0" borderId="1" xfId="0" applyNumberFormat="1" applyFont="1" applyBorder="1"/>
    <xf numFmtId="0" fontId="47" fillId="0" borderId="25" xfId="0" applyFont="1" applyBorder="1"/>
    <xf numFmtId="41" fontId="47" fillId="0" borderId="26" xfId="0" applyNumberFormat="1" applyFont="1" applyBorder="1"/>
    <xf numFmtId="43" fontId="47" fillId="0" borderId="26" xfId="0" applyNumberFormat="1" applyFont="1" applyBorder="1"/>
    <xf numFmtId="44" fontId="47" fillId="0" borderId="28" xfId="0" applyNumberFormat="1" applyFont="1" applyBorder="1"/>
    <xf numFmtId="44" fontId="57" fillId="0" borderId="76" xfId="0" applyNumberFormat="1" applyFont="1" applyBorder="1"/>
    <xf numFmtId="2" fontId="72" fillId="17" borderId="43" xfId="0" applyNumberFormat="1" applyFont="1" applyFill="1" applyBorder="1" applyAlignment="1">
      <alignment horizontal="left" vertical="top" wrapText="1"/>
    </xf>
    <xf numFmtId="0" fontId="47" fillId="0" borderId="43" xfId="0" applyFont="1" applyBorder="1"/>
    <xf numFmtId="0" fontId="47" fillId="0" borderId="28" xfId="0" applyFont="1" applyBorder="1"/>
    <xf numFmtId="2" fontId="72" fillId="17" borderId="70" xfId="0" applyNumberFormat="1" applyFont="1" applyFill="1" applyBorder="1" applyAlignment="1">
      <alignment horizontal="left" vertical="top" wrapText="1"/>
    </xf>
    <xf numFmtId="0" fontId="47" fillId="0" borderId="70" xfId="0" applyFont="1" applyBorder="1"/>
    <xf numFmtId="0" fontId="47" fillId="0" borderId="10" xfId="0" applyFont="1" applyBorder="1"/>
    <xf numFmtId="0" fontId="71" fillId="17" borderId="70" xfId="38" applyFont="1" applyFill="1" applyBorder="1" applyAlignment="1">
      <alignment horizontal="left"/>
    </xf>
    <xf numFmtId="2" fontId="72" fillId="17" borderId="1" xfId="18" applyNumberFormat="1" applyFont="1" applyFill="1" applyBorder="1" applyAlignment="1">
      <alignment vertical="top" wrapText="1"/>
    </xf>
    <xf numFmtId="0" fontId="47" fillId="0" borderId="78" xfId="0" applyFont="1" applyBorder="1"/>
    <xf numFmtId="0" fontId="47" fillId="0" borderId="79" xfId="0" applyFont="1" applyBorder="1"/>
    <xf numFmtId="41" fontId="47" fillId="0" borderId="42" xfId="0" applyNumberFormat="1" applyFont="1" applyBorder="1"/>
    <xf numFmtId="43" fontId="47" fillId="0" borderId="42" xfId="0" applyNumberFormat="1" applyFont="1" applyBorder="1"/>
    <xf numFmtId="44" fontId="47" fillId="0" borderId="42" xfId="0" applyNumberFormat="1" applyFont="1" applyBorder="1"/>
    <xf numFmtId="0" fontId="47" fillId="0" borderId="26" xfId="0" applyFont="1" applyBorder="1"/>
    <xf numFmtId="0" fontId="63" fillId="0" borderId="41" xfId="33" applyFont="1" applyBorder="1" applyAlignment="1">
      <alignment vertical="center"/>
    </xf>
    <xf numFmtId="0" fontId="47" fillId="16" borderId="41" xfId="37" applyFont="1" applyFill="1" applyBorder="1" applyAlignment="1">
      <alignment horizontal="right" vertical="center"/>
    </xf>
    <xf numFmtId="49" fontId="47" fillId="0" borderId="1" xfId="0" applyNumberFormat="1" applyFont="1" applyBorder="1" applyAlignment="1">
      <alignment horizontal="center"/>
    </xf>
    <xf numFmtId="2" fontId="72" fillId="17" borderId="1" xfId="17" applyNumberFormat="1" applyFont="1" applyFill="1" applyBorder="1" applyAlignment="1">
      <alignment horizontal="center" vertical="top" wrapText="1"/>
    </xf>
    <xf numFmtId="4" fontId="47" fillId="0" borderId="51" xfId="28" applyNumberFormat="1" applyFont="1" applyBorder="1"/>
    <xf numFmtId="1" fontId="47" fillId="18" borderId="1" xfId="0" applyNumberFormat="1" applyFont="1" applyFill="1" applyBorder="1" applyAlignment="1"/>
    <xf numFmtId="0" fontId="47" fillId="18" borderId="51" xfId="0" applyFont="1" applyFill="1" applyBorder="1"/>
    <xf numFmtId="0" fontId="47" fillId="3" borderId="2" xfId="26" applyFont="1" applyFill="1" applyBorder="1" applyAlignment="1">
      <alignment horizontal="center"/>
    </xf>
    <xf numFmtId="0" fontId="47" fillId="3" borderId="16" xfId="33" applyFont="1" applyFill="1" applyBorder="1"/>
    <xf numFmtId="168" fontId="47" fillId="18" borderId="1" xfId="7" applyNumberFormat="1" applyFont="1" applyFill="1" applyBorder="1" applyAlignment="1">
      <alignment horizontal="right"/>
    </xf>
    <xf numFmtId="1" fontId="47" fillId="18" borderId="1" xfId="7" applyNumberFormat="1" applyFont="1" applyFill="1" applyBorder="1" applyAlignment="1"/>
    <xf numFmtId="2" fontId="47" fillId="18" borderId="1" xfId="0" applyNumberFormat="1" applyFont="1" applyFill="1" applyBorder="1" applyAlignment="1">
      <alignment horizontal="left"/>
    </xf>
    <xf numFmtId="0" fontId="47" fillId="18" borderId="51" xfId="0" applyFont="1" applyFill="1" applyBorder="1" applyAlignment="1">
      <alignment horizontal="center"/>
    </xf>
    <xf numFmtId="0" fontId="47" fillId="18" borderId="51" xfId="0" applyFont="1" applyFill="1" applyBorder="1" applyAlignment="1">
      <alignment horizontal="left"/>
    </xf>
    <xf numFmtId="169" fontId="47" fillId="18" borderId="51" xfId="0" applyNumberFormat="1" applyFont="1" applyFill="1" applyBorder="1" applyAlignment="1">
      <alignment horizontal="left"/>
    </xf>
    <xf numFmtId="49" fontId="47" fillId="18" borderId="51" xfId="0" applyNumberFormat="1" applyFont="1" applyFill="1" applyBorder="1" applyAlignment="1">
      <alignment horizontal="left" vertical="top"/>
    </xf>
    <xf numFmtId="49" fontId="47" fillId="18" borderId="56" xfId="0" applyNumberFormat="1" applyFont="1" applyFill="1" applyBorder="1" applyAlignment="1">
      <alignment horizontal="left"/>
    </xf>
    <xf numFmtId="168" fontId="47" fillId="18" borderId="51" xfId="7" applyNumberFormat="1" applyFont="1" applyFill="1" applyBorder="1" applyAlignment="1">
      <alignment horizontal="right"/>
    </xf>
    <xf numFmtId="1" fontId="47" fillId="18" borderId="51" xfId="7" applyNumberFormat="1" applyFont="1" applyFill="1" applyBorder="1" applyAlignment="1"/>
    <xf numFmtId="182" fontId="47" fillId="0" borderId="80" xfId="12" applyNumberFormat="1" applyFont="1" applyFill="1" applyBorder="1" applyAlignment="1">
      <alignment horizontal="center"/>
    </xf>
    <xf numFmtId="182" fontId="47" fillId="3" borderId="42" xfId="12" applyNumberFormat="1" applyFont="1" applyFill="1" applyBorder="1" applyAlignment="1">
      <alignment horizontal="center"/>
    </xf>
    <xf numFmtId="2" fontId="72" fillId="17" borderId="82" xfId="18" applyNumberFormat="1" applyFont="1" applyFill="1" applyBorder="1" applyAlignment="1">
      <alignment vertical="top" wrapText="1"/>
    </xf>
    <xf numFmtId="0" fontId="47" fillId="0" borderId="82" xfId="0" applyFont="1" applyBorder="1"/>
    <xf numFmtId="0" fontId="47" fillId="0" borderId="67" xfId="17" applyFont="1" applyBorder="1"/>
    <xf numFmtId="0" fontId="47" fillId="0" borderId="67" xfId="42" applyFont="1" applyBorder="1" applyAlignment="1">
      <alignment horizontal="left" vertical="top"/>
    </xf>
    <xf numFmtId="0" fontId="47" fillId="0" borderId="41" xfId="17" applyFont="1" applyBorder="1" applyAlignment="1">
      <alignment horizontal="center"/>
    </xf>
    <xf numFmtId="2" fontId="47" fillId="0" borderId="41" xfId="17" applyNumberFormat="1" applyFont="1" applyBorder="1" applyAlignment="1">
      <alignment horizontal="right"/>
    </xf>
    <xf numFmtId="180" fontId="47" fillId="0" borderId="67" xfId="42" applyNumberFormat="1" applyFont="1" applyBorder="1" applyAlignment="1">
      <alignment horizontal="center"/>
    </xf>
    <xf numFmtId="44" fontId="47" fillId="0" borderId="67" xfId="98" applyFont="1" applyFill="1" applyBorder="1" applyAlignment="1">
      <alignment horizontal="center"/>
    </xf>
    <xf numFmtId="49" fontId="47" fillId="0" borderId="67" xfId="42" applyNumberFormat="1" applyFont="1" applyBorder="1"/>
    <xf numFmtId="0" fontId="47" fillId="0" borderId="61" xfId="17" applyFont="1" applyBorder="1"/>
    <xf numFmtId="0" fontId="47" fillId="0" borderId="67" xfId="42" applyFont="1" applyBorder="1" applyAlignment="1">
      <alignment horizontal="left"/>
    </xf>
    <xf numFmtId="0" fontId="71" fillId="17" borderId="84" xfId="38" applyFont="1" applyFill="1" applyBorder="1" applyAlignment="1">
      <alignment horizontal="left"/>
    </xf>
    <xf numFmtId="0" fontId="47" fillId="0" borderId="51" xfId="0" applyFont="1" applyBorder="1" applyAlignment="1">
      <alignment horizontal="right"/>
    </xf>
    <xf numFmtId="0" fontId="47" fillId="18" borderId="41" xfId="17" applyFont="1" applyFill="1" applyBorder="1" applyAlignment="1">
      <alignment horizontal="center"/>
    </xf>
    <xf numFmtId="2" fontId="47" fillId="18" borderId="41" xfId="17" applyNumberFormat="1" applyFont="1" applyFill="1" applyBorder="1" applyAlignment="1">
      <alignment horizontal="right"/>
    </xf>
    <xf numFmtId="2" fontId="61" fillId="0" borderId="0" xfId="38" applyNumberFormat="1" applyFont="1" applyFill="1" applyBorder="1" applyAlignment="1">
      <alignment horizontal="left"/>
    </xf>
    <xf numFmtId="44" fontId="47" fillId="16" borderId="1" xfId="34" applyFont="1" applyFill="1" applyBorder="1"/>
    <xf numFmtId="2" fontId="72" fillId="17" borderId="80" xfId="0" applyNumberFormat="1" applyFont="1" applyFill="1" applyBorder="1" applyAlignment="1">
      <alignment horizontal="left" vertical="top" wrapText="1"/>
    </xf>
    <xf numFmtId="0" fontId="47" fillId="3" borderId="1" xfId="23" applyFont="1" applyFill="1" applyBorder="1" applyAlignment="1">
      <alignment horizontal="center"/>
    </xf>
    <xf numFmtId="49" fontId="47" fillId="3" borderId="3" xfId="12" applyNumberFormat="1" applyFont="1" applyFill="1" applyBorder="1" applyAlignment="1"/>
    <xf numFmtId="0" fontId="47" fillId="3" borderId="3" xfId="12" applyNumberFormat="1" applyFont="1" applyFill="1" applyBorder="1" applyAlignment="1">
      <alignment horizontal="center"/>
    </xf>
    <xf numFmtId="0" fontId="47" fillId="3" borderId="3" xfId="12" applyNumberFormat="1" applyFont="1" applyFill="1" applyBorder="1" applyAlignment="1"/>
    <xf numFmtId="182" fontId="47" fillId="3" borderId="17" xfId="12" applyNumberFormat="1" applyFont="1" applyFill="1" applyBorder="1" applyAlignment="1">
      <alignment horizontal="center"/>
    </xf>
    <xf numFmtId="0" fontId="47" fillId="3" borderId="51" xfId="0" applyFont="1" applyFill="1" applyBorder="1" applyAlignment="1">
      <alignment horizontal="center"/>
    </xf>
    <xf numFmtId="0" fontId="47" fillId="3" borderId="51" xfId="0" applyFont="1" applyFill="1" applyBorder="1"/>
    <xf numFmtId="0" fontId="47" fillId="3" borderId="66" xfId="12" applyFont="1" applyFill="1" applyBorder="1"/>
    <xf numFmtId="4" fontId="47" fillId="3" borderId="51" xfId="28" applyNumberFormat="1" applyFont="1" applyFill="1" applyBorder="1"/>
    <xf numFmtId="0" fontId="47" fillId="3" borderId="42" xfId="0" applyFont="1" applyFill="1" applyBorder="1" applyAlignment="1">
      <alignment horizontal="center"/>
    </xf>
    <xf numFmtId="0" fontId="47" fillId="3" borderId="42" xfId="0" applyFont="1" applyFill="1" applyBorder="1"/>
    <xf numFmtId="0" fontId="47" fillId="3" borderId="69" xfId="12" applyNumberFormat="1" applyFont="1" applyFill="1" applyBorder="1" applyAlignment="1">
      <alignment horizontal="center"/>
    </xf>
    <xf numFmtId="0" fontId="47" fillId="3" borderId="69" xfId="12" applyFont="1" applyFill="1" applyBorder="1"/>
    <xf numFmtId="182" fontId="47" fillId="3" borderId="1" xfId="12" applyNumberFormat="1" applyFont="1" applyFill="1" applyBorder="1" applyAlignment="1">
      <alignment horizontal="center"/>
    </xf>
    <xf numFmtId="0" fontId="47" fillId="3" borderId="67" xfId="50" applyFont="1" applyFill="1" applyBorder="1" applyAlignment="1">
      <alignment horizontal="left"/>
    </xf>
    <xf numFmtId="174" fontId="47" fillId="3" borderId="0" xfId="35" applyNumberFormat="1" applyFont="1" applyFill="1" applyAlignment="1">
      <alignment horizontal="left"/>
    </xf>
    <xf numFmtId="0" fontId="3" fillId="0" borderId="1" xfId="33" applyFont="1" applyBorder="1"/>
    <xf numFmtId="0" fontId="3" fillId="0" borderId="66" xfId="33" applyFont="1" applyBorder="1"/>
    <xf numFmtId="189" fontId="47" fillId="16" borderId="1" xfId="34" applyNumberFormat="1" applyFont="1" applyFill="1" applyBorder="1"/>
    <xf numFmtId="44" fontId="50" fillId="0" borderId="0" xfId="12" applyNumberFormat="1" applyFont="1" applyFill="1" applyAlignment="1"/>
    <xf numFmtId="0" fontId="47" fillId="0" borderId="69" xfId="12" applyNumberFormat="1" applyFont="1" applyFill="1" applyBorder="1" applyAlignment="1">
      <alignment horizontal="center"/>
    </xf>
    <xf numFmtId="0" fontId="47" fillId="0" borderId="81" xfId="12" applyFont="1" applyFill="1" applyBorder="1"/>
    <xf numFmtId="0" fontId="47" fillId="0" borderId="0" xfId="0" applyFont="1" applyFill="1"/>
    <xf numFmtId="0" fontId="0" fillId="0" borderId="0" xfId="0" applyBorder="1"/>
    <xf numFmtId="0" fontId="47" fillId="0" borderId="1" xfId="0" applyFont="1" applyBorder="1" applyAlignment="1">
      <alignment vertical="top" wrapText="1"/>
    </xf>
    <xf numFmtId="0" fontId="47" fillId="16" borderId="83" xfId="0" applyNumberFormat="1" applyFont="1" applyFill="1" applyBorder="1" applyAlignment="1">
      <alignment horizontal="center"/>
    </xf>
    <xf numFmtId="0" fontId="47" fillId="16" borderId="1" xfId="0" applyNumberFormat="1" applyFont="1" applyFill="1" applyBorder="1" applyAlignment="1">
      <alignment horizontal="center"/>
    </xf>
    <xf numFmtId="0" fontId="47" fillId="3" borderId="80" xfId="0" applyFont="1" applyFill="1" applyBorder="1" applyAlignment="1">
      <alignment horizontal="center"/>
    </xf>
    <xf numFmtId="0" fontId="47" fillId="3" borderId="80" xfId="0" applyFont="1" applyFill="1" applyBorder="1"/>
    <xf numFmtId="0" fontId="72" fillId="17" borderId="1" xfId="17" applyFont="1" applyFill="1" applyBorder="1" applyAlignment="1">
      <alignment vertical="justify"/>
    </xf>
    <xf numFmtId="2" fontId="72" fillId="17" borderId="1" xfId="17" applyNumberFormat="1" applyFont="1" applyFill="1" applyBorder="1" applyAlignment="1">
      <alignment horizontal="center" vertical="justify"/>
    </xf>
    <xf numFmtId="0" fontId="47" fillId="0" borderId="1" xfId="17" applyFont="1" applyFill="1" applyBorder="1" applyAlignment="1"/>
    <xf numFmtId="0" fontId="2" fillId="0" borderId="67" xfId="33" applyFont="1" applyBorder="1" applyAlignment="1">
      <alignment horizontal="center"/>
    </xf>
    <xf numFmtId="165" fontId="47" fillId="16" borderId="40" xfId="29" applyFont="1" applyFill="1" applyBorder="1" applyAlignment="1"/>
    <xf numFmtId="166" fontId="47" fillId="16" borderId="82" xfId="12" applyNumberFormat="1" applyFont="1" applyFill="1" applyBorder="1" applyAlignment="1"/>
    <xf numFmtId="166" fontId="47" fillId="16" borderId="80" xfId="12" applyNumberFormat="1" applyFont="1" applyFill="1" applyBorder="1"/>
    <xf numFmtId="181" fontId="47" fillId="16" borderId="1" xfId="14" applyNumberFormat="1" applyFont="1" applyFill="1" applyBorder="1" applyAlignment="1">
      <alignment horizontal="center"/>
    </xf>
    <xf numFmtId="0" fontId="47" fillId="0" borderId="83" xfId="0" applyFont="1" applyBorder="1" applyAlignment="1"/>
    <xf numFmtId="0" fontId="47" fillId="0" borderId="82" xfId="0" applyFont="1" applyBorder="1" applyAlignment="1"/>
    <xf numFmtId="0" fontId="47" fillId="0" borderId="0" xfId="0" applyFont="1" applyBorder="1"/>
    <xf numFmtId="41" fontId="47" fillId="0" borderId="0" xfId="0" applyNumberFormat="1" applyFont="1" applyBorder="1"/>
    <xf numFmtId="43" fontId="47" fillId="0" borderId="0" xfId="0" applyNumberFormat="1" applyFont="1" applyBorder="1"/>
    <xf numFmtId="44" fontId="47" fillId="0" borderId="0" xfId="0" applyNumberFormat="1" applyFont="1" applyBorder="1"/>
    <xf numFmtId="44" fontId="57" fillId="0" borderId="0" xfId="0" applyNumberFormat="1" applyFont="1" applyBorder="1"/>
    <xf numFmtId="166" fontId="58" fillId="3" borderId="1" xfId="7" applyFont="1" applyFill="1" applyBorder="1"/>
    <xf numFmtId="176" fontId="58" fillId="3" borderId="1" xfId="36" applyNumberFormat="1" applyFont="1" applyFill="1" applyBorder="1"/>
    <xf numFmtId="0" fontId="57" fillId="0" borderId="83" xfId="36" applyFont="1" applyFill="1" applyBorder="1"/>
    <xf numFmtId="0" fontId="74" fillId="0" borderId="84" xfId="33" applyFont="1" applyBorder="1" applyAlignment="1">
      <alignment horizontal="center"/>
    </xf>
    <xf numFmtId="166" fontId="76" fillId="3" borderId="84" xfId="7" applyFont="1" applyFill="1" applyBorder="1"/>
    <xf numFmtId="176" fontId="76" fillId="3" borderId="82" xfId="36" applyNumberFormat="1" applyFont="1" applyFill="1" applyBorder="1"/>
    <xf numFmtId="0" fontId="56" fillId="16" borderId="82" xfId="36" applyFont="1" applyFill="1" applyBorder="1"/>
    <xf numFmtId="2" fontId="69" fillId="0" borderId="0" xfId="38" applyNumberFormat="1" applyFont="1"/>
    <xf numFmtId="2" fontId="58" fillId="0" borderId="0" xfId="36" applyNumberFormat="1" applyFont="1"/>
    <xf numFmtId="2" fontId="69" fillId="0" borderId="0" xfId="49" applyNumberFormat="1" applyFont="1"/>
    <xf numFmtId="2" fontId="70" fillId="0" borderId="0" xfId="36" applyNumberFormat="1" applyFont="1" applyAlignment="1">
      <alignment vertical="center"/>
    </xf>
    <xf numFmtId="2" fontId="72" fillId="17" borderId="80" xfId="0" applyNumberFormat="1" applyFont="1" applyFill="1" applyBorder="1" applyAlignment="1">
      <alignment horizontal="center" vertical="top" wrapText="1"/>
    </xf>
    <xf numFmtId="2" fontId="49" fillId="0" borderId="0" xfId="36" applyNumberFormat="1" applyFont="1" applyAlignment="1">
      <alignment vertical="center" wrapText="1"/>
    </xf>
    <xf numFmtId="0" fontId="47" fillId="19" borderId="82" xfId="17" applyFont="1" applyFill="1" applyBorder="1" applyAlignment="1">
      <alignment vertical="center"/>
    </xf>
    <xf numFmtId="0" fontId="47" fillId="16" borderId="82" xfId="17" applyFont="1" applyFill="1" applyBorder="1" applyAlignment="1" applyProtection="1">
      <alignment horizontal="center" vertical="center" wrapText="1"/>
      <protection hidden="1"/>
    </xf>
    <xf numFmtId="168" fontId="47" fillId="19" borderId="82" xfId="7" applyNumberFormat="1" applyFont="1" applyFill="1" applyBorder="1" applyAlignment="1" applyProtection="1">
      <alignment horizontal="center" vertical="center" wrapText="1"/>
      <protection hidden="1"/>
    </xf>
    <xf numFmtId="0" fontId="47" fillId="0" borderId="82" xfId="17" applyFont="1" applyBorder="1" applyAlignment="1" applyProtection="1">
      <alignment horizontal="center" vertical="center"/>
      <protection hidden="1"/>
    </xf>
    <xf numFmtId="0" fontId="47" fillId="19" borderId="82" xfId="17" applyFont="1" applyFill="1" applyBorder="1" applyAlignment="1" applyProtection="1">
      <alignment vertical="center"/>
      <protection hidden="1"/>
    </xf>
    <xf numFmtId="168" fontId="47" fillId="19" borderId="82" xfId="7" applyNumberFormat="1" applyFont="1" applyFill="1" applyBorder="1" applyAlignment="1" applyProtection="1">
      <alignment horizontal="center" vertical="center"/>
      <protection hidden="1"/>
    </xf>
    <xf numFmtId="0" fontId="47" fillId="0" borderId="82" xfId="17" applyFont="1" applyBorder="1" applyAlignment="1" applyProtection="1">
      <alignment vertical="center"/>
      <protection hidden="1"/>
    </xf>
    <xf numFmtId="0" fontId="47" fillId="16" borderId="82" xfId="17" applyFont="1" applyFill="1" applyBorder="1" applyAlignment="1" applyProtection="1">
      <alignment horizontal="center" vertical="center"/>
      <protection hidden="1"/>
    </xf>
    <xf numFmtId="0" fontId="47" fillId="0" borderId="82" xfId="17" applyFont="1" applyBorder="1" applyAlignment="1" applyProtection="1">
      <alignment horizontal="center" vertical="center" wrapText="1"/>
      <protection hidden="1"/>
    </xf>
    <xf numFmtId="176" fontId="47" fillId="16" borderId="82" xfId="17" applyNumberFormat="1" applyFont="1" applyFill="1" applyBorder="1" applyAlignment="1" applyProtection="1">
      <alignment vertical="center"/>
      <protection hidden="1"/>
    </xf>
    <xf numFmtId="0" fontId="76" fillId="0" borderId="0" xfId="36" applyFont="1"/>
    <xf numFmtId="176" fontId="76" fillId="0" borderId="0" xfId="36" applyNumberFormat="1" applyFont="1"/>
    <xf numFmtId="0" fontId="47" fillId="16" borderId="0" xfId="0" applyFont="1" applyFill="1" applyAlignment="1">
      <alignment horizontal="left"/>
    </xf>
    <xf numFmtId="2" fontId="61" fillId="0" borderId="0" xfId="12" applyNumberFormat="1" applyFont="1" applyFill="1" applyBorder="1" applyAlignment="1"/>
    <xf numFmtId="0" fontId="47" fillId="3" borderId="0" xfId="0" applyFont="1" applyFill="1"/>
    <xf numFmtId="44" fontId="57" fillId="3" borderId="15" xfId="0" applyNumberFormat="1" applyFont="1" applyFill="1" applyBorder="1"/>
    <xf numFmtId="0" fontId="64" fillId="3" borderId="0" xfId="0" applyFont="1" applyFill="1"/>
    <xf numFmtId="168" fontId="64" fillId="3" borderId="0" xfId="7" applyNumberFormat="1" applyFont="1" applyFill="1"/>
    <xf numFmtId="0" fontId="57" fillId="0" borderId="0" xfId="0" applyFont="1" applyBorder="1"/>
    <xf numFmtId="49" fontId="57" fillId="0" borderId="0" xfId="7" applyNumberFormat="1" applyFont="1" applyBorder="1" applyAlignment="1">
      <alignment horizontal="center"/>
    </xf>
    <xf numFmtId="165" fontId="57" fillId="0" borderId="0" xfId="0" applyNumberFormat="1" applyFont="1" applyBorder="1"/>
    <xf numFmtId="0" fontId="47" fillId="3" borderId="1" xfId="0" applyFont="1" applyFill="1" applyBorder="1" applyAlignment="1">
      <alignment horizontal="center"/>
    </xf>
    <xf numFmtId="0" fontId="47" fillId="3" borderId="82" xfId="0" applyFont="1" applyFill="1" applyBorder="1" applyAlignment="1">
      <alignment horizontal="left"/>
    </xf>
    <xf numFmtId="169" fontId="47" fillId="3" borderId="1" xfId="0" applyNumberFormat="1" applyFont="1" applyFill="1" applyBorder="1" applyAlignment="1">
      <alignment horizontal="left"/>
    </xf>
    <xf numFmtId="49" fontId="47" fillId="3" borderId="1" xfId="0" applyNumberFormat="1" applyFont="1" applyFill="1" applyBorder="1" applyAlignment="1">
      <alignment horizontal="left" vertical="top"/>
    </xf>
    <xf numFmtId="0" fontId="47" fillId="3" borderId="1" xfId="0" applyFont="1" applyFill="1" applyBorder="1"/>
    <xf numFmtId="49" fontId="47" fillId="3" borderId="1" xfId="0" applyNumberFormat="1" applyFont="1" applyFill="1" applyBorder="1" applyAlignment="1">
      <alignment horizontal="left"/>
    </xf>
    <xf numFmtId="168" fontId="47" fillId="3" borderId="1" xfId="7" applyNumberFormat="1" applyFont="1" applyFill="1" applyBorder="1" applyAlignment="1">
      <alignment horizontal="right"/>
    </xf>
    <xf numFmtId="0" fontId="47" fillId="3" borderId="82" xfId="0" applyFont="1" applyFill="1" applyBorder="1"/>
    <xf numFmtId="44" fontId="47" fillId="0" borderId="82" xfId="34" applyFont="1" applyBorder="1"/>
    <xf numFmtId="180" fontId="47" fillId="0" borderId="82" xfId="42" applyNumberFormat="1" applyFont="1" applyBorder="1" applyAlignment="1">
      <alignment horizontal="center"/>
    </xf>
    <xf numFmtId="44" fontId="60" fillId="3" borderId="56" xfId="7" applyNumberFormat="1" applyFont="1" applyFill="1" applyBorder="1" applyAlignment="1" applyProtection="1">
      <alignment horizontal="right" vertical="center"/>
      <protection hidden="1"/>
    </xf>
    <xf numFmtId="2" fontId="57" fillId="0" borderId="0" xfId="0" applyNumberFormat="1" applyFont="1" applyBorder="1"/>
    <xf numFmtId="2" fontId="57" fillId="0" borderId="0" xfId="0" applyNumberFormat="1" applyFont="1" applyBorder="1" applyAlignment="1">
      <alignment vertical="top" wrapText="1"/>
    </xf>
    <xf numFmtId="0" fontId="63" fillId="0" borderId="0" xfId="33" applyFont="1" applyBorder="1"/>
    <xf numFmtId="0" fontId="47" fillId="0" borderId="85" xfId="12" applyNumberFormat="1" applyFont="1" applyFill="1" applyBorder="1" applyAlignment="1">
      <alignment horizontal="center"/>
    </xf>
    <xf numFmtId="0" fontId="47" fillId="0" borderId="85" xfId="12" applyFont="1" applyFill="1" applyBorder="1"/>
    <xf numFmtId="49" fontId="47" fillId="3" borderId="82" xfId="0" applyNumberFormat="1" applyFont="1" applyFill="1" applyBorder="1" applyAlignment="1">
      <alignment horizontal="left"/>
    </xf>
    <xf numFmtId="0" fontId="47" fillId="3" borderId="83" xfId="0" applyFont="1" applyFill="1" applyBorder="1"/>
    <xf numFmtId="2" fontId="72" fillId="17" borderId="1" xfId="0" applyNumberFormat="1" applyFont="1" applyFill="1" applyBorder="1" applyAlignment="1">
      <alignment horizontal="left" vertical="top" wrapText="1"/>
    </xf>
    <xf numFmtId="2" fontId="72" fillId="17" borderId="1" xfId="17" applyNumberFormat="1" applyFont="1" applyFill="1" applyBorder="1" applyAlignment="1">
      <alignment horizontal="center" vertical="top" wrapText="1"/>
    </xf>
    <xf numFmtId="43" fontId="47" fillId="16" borderId="42" xfId="0" applyNumberFormat="1" applyFont="1" applyFill="1" applyBorder="1"/>
    <xf numFmtId="49" fontId="56" fillId="15" borderId="82" xfId="11" applyNumberFormat="1" applyFont="1" applyFill="1" applyBorder="1" applyAlignment="1" applyProtection="1">
      <alignment horizontal="left" vertical="top"/>
      <protection hidden="1"/>
    </xf>
    <xf numFmtId="0" fontId="47" fillId="16" borderId="71" xfId="0" applyFont="1" applyFill="1" applyBorder="1" applyAlignment="1">
      <alignment horizontal="left"/>
    </xf>
    <xf numFmtId="0" fontId="72" fillId="17" borderId="82" xfId="42" applyFont="1" applyFill="1" applyBorder="1" applyAlignment="1">
      <alignment vertical="top" wrapText="1"/>
    </xf>
    <xf numFmtId="0" fontId="47" fillId="0" borderId="84" xfId="17" applyFont="1" applyBorder="1"/>
    <xf numFmtId="0" fontId="47" fillId="0" borderId="71" xfId="17" applyFont="1" applyBorder="1" applyAlignment="1">
      <alignment horizontal="center"/>
    </xf>
    <xf numFmtId="0" fontId="47" fillId="0" borderId="71" xfId="17" applyFont="1" applyBorder="1" applyAlignment="1">
      <alignment horizontal="center" vertical="center"/>
    </xf>
    <xf numFmtId="0" fontId="47" fillId="3" borderId="82" xfId="0" applyFont="1" applyFill="1" applyBorder="1" applyAlignment="1">
      <alignment horizontal="center"/>
    </xf>
    <xf numFmtId="169" fontId="47" fillId="3" borderId="82" xfId="0" applyNumberFormat="1" applyFont="1" applyFill="1" applyBorder="1" applyAlignment="1">
      <alignment horizontal="left"/>
    </xf>
    <xf numFmtId="49" fontId="47" fillId="3" borderId="82" xfId="0" applyNumberFormat="1" applyFont="1" applyFill="1" applyBorder="1" applyAlignment="1">
      <alignment horizontal="left" vertical="top"/>
    </xf>
    <xf numFmtId="168" fontId="47" fillId="3" borderId="82" xfId="7" applyNumberFormat="1" applyFont="1" applyFill="1" applyBorder="1" applyAlignment="1">
      <alignment horizontal="right"/>
    </xf>
    <xf numFmtId="0" fontId="47" fillId="3" borderId="82" xfId="0" applyFont="1" applyFill="1" applyBorder="1" applyAlignment="1">
      <alignment vertical="top" wrapText="1"/>
    </xf>
    <xf numFmtId="0" fontId="1" fillId="3" borderId="82" xfId="7" applyNumberFormat="1" applyFont="1" applyFill="1" applyBorder="1" applyAlignment="1"/>
    <xf numFmtId="0" fontId="1" fillId="3" borderId="82" xfId="0" applyFont="1" applyFill="1" applyBorder="1"/>
    <xf numFmtId="0" fontId="64" fillId="0" borderId="0" xfId="12" applyFont="1"/>
    <xf numFmtId="49" fontId="47" fillId="0" borderId="82" xfId="11" applyNumberFormat="1" applyFont="1" applyBorder="1" applyAlignment="1" applyProtection="1">
      <alignment horizontal="left"/>
      <protection hidden="1"/>
    </xf>
    <xf numFmtId="0" fontId="54" fillId="16" borderId="17" xfId="0" applyFont="1" applyFill="1" applyBorder="1" applyAlignment="1">
      <alignment horizontal="center" vertical="center" wrapText="1"/>
    </xf>
    <xf numFmtId="2" fontId="70" fillId="16" borderId="0" xfId="38" applyNumberFormat="1" applyFont="1" applyFill="1"/>
    <xf numFmtId="0" fontId="47" fillId="16" borderId="0" xfId="22" applyFont="1" applyFill="1"/>
    <xf numFmtId="14" fontId="54" fillId="16" borderId="17" xfId="0" applyNumberFormat="1" applyFont="1" applyFill="1" applyBorder="1" applyAlignment="1">
      <alignment horizontal="center" vertical="center" wrapText="1"/>
    </xf>
    <xf numFmtId="49" fontId="72" fillId="17" borderId="72" xfId="38" applyNumberFormat="1" applyFont="1" applyFill="1" applyBorder="1" applyAlignment="1">
      <alignment horizontal="left" vertical="top" wrapText="1"/>
    </xf>
    <xf numFmtId="49" fontId="72" fillId="17" borderId="73" xfId="38" applyNumberFormat="1" applyFont="1" applyFill="1" applyBorder="1" applyAlignment="1">
      <alignment horizontal="left" vertical="top" wrapText="1"/>
    </xf>
    <xf numFmtId="49" fontId="72" fillId="17" borderId="74" xfId="38" applyNumberFormat="1" applyFont="1" applyFill="1" applyBorder="1" applyAlignment="1">
      <alignment horizontal="left" vertical="top" wrapText="1"/>
    </xf>
    <xf numFmtId="49" fontId="72" fillId="17" borderId="75" xfId="38" applyNumberFormat="1" applyFont="1" applyFill="1" applyBorder="1" applyAlignment="1">
      <alignment horizontal="left" vertical="top" wrapText="1"/>
    </xf>
    <xf numFmtId="49" fontId="72" fillId="17" borderId="5" xfId="38" applyNumberFormat="1" applyFont="1" applyFill="1" applyBorder="1" applyAlignment="1">
      <alignment horizontal="left" vertical="top" wrapText="1"/>
    </xf>
    <xf numFmtId="49" fontId="72" fillId="17" borderId="27" xfId="38" applyNumberFormat="1" applyFont="1" applyFill="1" applyBorder="1" applyAlignment="1">
      <alignment horizontal="left" vertical="top" wrapText="1"/>
    </xf>
    <xf numFmtId="0" fontId="71" fillId="17" borderId="3" xfId="38" applyFont="1" applyFill="1" applyBorder="1" applyAlignment="1">
      <alignment horizontal="center"/>
    </xf>
    <xf numFmtId="0" fontId="71" fillId="17" borderId="70" xfId="38" applyFont="1" applyFill="1" applyBorder="1" applyAlignment="1">
      <alignment horizontal="center"/>
    </xf>
    <xf numFmtId="0" fontId="71" fillId="17" borderId="71" xfId="38" applyFont="1" applyFill="1" applyBorder="1" applyAlignment="1">
      <alignment horizontal="center"/>
    </xf>
    <xf numFmtId="166" fontId="72" fillId="17" borderId="68" xfId="7" applyFont="1" applyFill="1" applyBorder="1" applyAlignment="1">
      <alignment horizontal="center" vertical="top" wrapText="1"/>
    </xf>
    <xf numFmtId="166" fontId="72" fillId="17" borderId="22" xfId="7" applyFont="1" applyFill="1" applyBorder="1" applyAlignment="1">
      <alignment horizontal="center" vertical="top" wrapText="1"/>
    </xf>
    <xf numFmtId="166" fontId="72" fillId="17" borderId="41" xfId="7" applyFont="1" applyFill="1" applyBorder="1" applyAlignment="1">
      <alignment horizontal="center" vertical="top" wrapText="1"/>
    </xf>
    <xf numFmtId="2" fontId="72" fillId="17" borderId="1" xfId="0" applyNumberFormat="1" applyFont="1" applyFill="1" applyBorder="1" applyAlignment="1">
      <alignment horizontal="left" vertical="top" wrapText="1"/>
    </xf>
    <xf numFmtId="0" fontId="63" fillId="0" borderId="1" xfId="193" applyFont="1" applyBorder="1" applyAlignment="1">
      <alignment horizontal="left"/>
    </xf>
    <xf numFmtId="0" fontId="56" fillId="16" borderId="1" xfId="36" applyFont="1" applyFill="1" applyBorder="1" applyAlignment="1">
      <alignment horizontal="left"/>
    </xf>
    <xf numFmtId="0" fontId="47" fillId="0" borderId="1" xfId="17" applyFont="1" applyFill="1" applyBorder="1" applyAlignment="1">
      <alignment horizontal="left"/>
    </xf>
    <xf numFmtId="2" fontId="72" fillId="17" borderId="1" xfId="17" applyNumberFormat="1" applyFont="1" applyFill="1" applyBorder="1" applyAlignment="1">
      <alignment horizontal="center" vertical="top" wrapText="1"/>
    </xf>
    <xf numFmtId="0" fontId="71" fillId="17" borderId="83" xfId="11" applyNumberFormat="1" applyFont="1" applyFill="1" applyBorder="1" applyAlignment="1" applyProtection="1">
      <alignment horizontal="left" vertical="top" wrapText="1"/>
      <protection hidden="1"/>
    </xf>
    <xf numFmtId="0" fontId="71" fillId="17" borderId="84" xfId="11" applyNumberFormat="1" applyFont="1" applyFill="1" applyBorder="1" applyAlignment="1" applyProtection="1">
      <alignment horizontal="left" vertical="top" wrapText="1"/>
      <protection hidden="1"/>
    </xf>
    <xf numFmtId="0" fontId="71" fillId="17" borderId="71" xfId="11" applyNumberFormat="1" applyFont="1" applyFill="1" applyBorder="1" applyAlignment="1" applyProtection="1">
      <alignment horizontal="left" vertical="top" wrapText="1"/>
      <protection hidden="1"/>
    </xf>
    <xf numFmtId="0" fontId="72" fillId="17" borderId="12" xfId="11" applyFont="1" applyFill="1" applyBorder="1" applyAlignment="1" applyProtection="1">
      <alignment horizontal="center"/>
      <protection hidden="1"/>
    </xf>
    <xf numFmtId="0" fontId="72" fillId="17" borderId="11" xfId="11" applyFont="1" applyFill="1" applyBorder="1" applyAlignment="1" applyProtection="1">
      <alignment horizontal="center"/>
      <protection hidden="1"/>
    </xf>
    <xf numFmtId="0" fontId="71" fillId="17" borderId="3" xfId="11" applyNumberFormat="1" applyFont="1" applyFill="1" applyBorder="1" applyAlignment="1" applyProtection="1">
      <alignment horizontal="left" vertical="top" wrapText="1"/>
      <protection hidden="1"/>
    </xf>
    <xf numFmtId="0" fontId="71" fillId="17" borderId="70" xfId="11" applyNumberFormat="1" applyFont="1" applyFill="1" applyBorder="1" applyAlignment="1" applyProtection="1">
      <alignment horizontal="left" vertical="top" wrapText="1"/>
      <protection hidden="1"/>
    </xf>
    <xf numFmtId="0" fontId="57" fillId="0" borderId="0" xfId="0" applyFont="1" applyBorder="1" applyAlignment="1">
      <alignment horizontal="left" vertical="top"/>
    </xf>
    <xf numFmtId="0" fontId="63" fillId="0" borderId="43" xfId="33" applyFont="1" applyBorder="1" applyAlignment="1">
      <alignment horizontal="left" wrapText="1"/>
    </xf>
    <xf numFmtId="0" fontId="63" fillId="0" borderId="71" xfId="33" applyFont="1" applyBorder="1" applyAlignment="1">
      <alignment horizontal="left" wrapText="1"/>
    </xf>
    <xf numFmtId="0" fontId="77" fillId="0" borderId="0" xfId="17" applyFont="1" applyAlignment="1">
      <alignment horizontal="left" vertical="top" wrapText="1"/>
    </xf>
    <xf numFmtId="14" fontId="51" fillId="0" borderId="0" xfId="12" applyNumberFormat="1" applyFont="1" applyAlignment="1">
      <alignment horizontal="left"/>
    </xf>
  </cellXfs>
  <cellStyles count="209">
    <cellStyle name="Bad" xfId="60" xr:uid="{00000000-0005-0000-0000-000000000000}"/>
    <cellStyle name="Calculation" xfId="61" xr:uid="{00000000-0005-0000-0000-000001000000}"/>
    <cellStyle name="Calculation 10" xfId="197" xr:uid="{00000000-0005-0000-0000-000002000000}"/>
    <cellStyle name="Calculation 11" xfId="196" xr:uid="{00000000-0005-0000-0000-000003000000}"/>
    <cellStyle name="Calculation 12" xfId="199" xr:uid="{00000000-0005-0000-0000-000004000000}"/>
    <cellStyle name="Calculation 2" xfId="100" xr:uid="{00000000-0005-0000-0000-000005000000}"/>
    <cellStyle name="Calculation 2 2" xfId="101" xr:uid="{00000000-0005-0000-0000-000006000000}"/>
    <cellStyle name="Calculation 3" xfId="102" xr:uid="{00000000-0005-0000-0000-000007000000}"/>
    <cellStyle name="Calculation 3 2" xfId="103" xr:uid="{00000000-0005-0000-0000-000008000000}"/>
    <cellStyle name="Calculation 4" xfId="104" xr:uid="{00000000-0005-0000-0000-000009000000}"/>
    <cellStyle name="Calculation 4 2" xfId="105" xr:uid="{00000000-0005-0000-0000-00000A000000}"/>
    <cellStyle name="Calculation 5" xfId="106" xr:uid="{00000000-0005-0000-0000-00000B000000}"/>
    <cellStyle name="Calculation 5 2" xfId="107" xr:uid="{00000000-0005-0000-0000-00000C000000}"/>
    <cellStyle name="Calculation 6" xfId="108" xr:uid="{00000000-0005-0000-0000-00000D000000}"/>
    <cellStyle name="Calculation 6 2" xfId="109" xr:uid="{00000000-0005-0000-0000-00000E000000}"/>
    <cellStyle name="Calculation 7" xfId="110" xr:uid="{00000000-0005-0000-0000-00000F000000}"/>
    <cellStyle name="Calculation 7 2" xfId="111" xr:uid="{00000000-0005-0000-0000-000010000000}"/>
    <cellStyle name="Calculation 8" xfId="112" xr:uid="{00000000-0005-0000-0000-000011000000}"/>
    <cellStyle name="Calculation 8 2" xfId="113" xr:uid="{00000000-0005-0000-0000-000012000000}"/>
    <cellStyle name="Calculation 9" xfId="114" xr:uid="{00000000-0005-0000-0000-000013000000}"/>
    <cellStyle name="Check Cell" xfId="62" xr:uid="{00000000-0005-0000-0000-000014000000}"/>
    <cellStyle name="Comma [0]" xfId="1" xr:uid="{00000000-0005-0000-0000-000015000000}"/>
    <cellStyle name="Comma_AA BCR/ Basis ruimtestaat 13.0" xfId="2" xr:uid="{00000000-0005-0000-0000-000016000000}"/>
    <cellStyle name="Currency [0]" xfId="63" xr:uid="{00000000-0005-0000-0000-000018000000}"/>
    <cellStyle name="Currency_2.objekten aanbestedi#B9BC8.xls" xfId="90" xr:uid="{00000000-0005-0000-0000-000019000000}"/>
    <cellStyle name="Currency_CALCULATIEBLAD.XLS" xfId="35" xr:uid="{00000000-0005-0000-0000-00001A000000}"/>
    <cellStyle name="Euro" xfId="3" xr:uid="{00000000-0005-0000-0000-00001B000000}"/>
    <cellStyle name="Euro 2" xfId="4" xr:uid="{00000000-0005-0000-0000-00001C000000}"/>
    <cellStyle name="Euro 3" xfId="44" xr:uid="{00000000-0005-0000-0000-00001D000000}"/>
    <cellStyle name="Euro 3 2" xfId="87" xr:uid="{00000000-0005-0000-0000-00001E000000}"/>
    <cellStyle name="Euro 4" xfId="47" xr:uid="{00000000-0005-0000-0000-00001F000000}"/>
    <cellStyle name="Euro 5" xfId="55" xr:uid="{00000000-0005-0000-0000-000020000000}"/>
    <cellStyle name="Euro_Roto Smeets Hilversum v-1" xfId="5" xr:uid="{00000000-0005-0000-0000-000021000000}"/>
    <cellStyle name="Explanatory Text" xfId="64" xr:uid="{00000000-0005-0000-0000-000022000000}"/>
    <cellStyle name="Followed Hyperlink_Aantal groepen per school.xls" xfId="6" xr:uid="{00000000-0005-0000-0000-000023000000}"/>
    <cellStyle name="Good" xfId="65" xr:uid="{00000000-0005-0000-0000-000024000000}"/>
    <cellStyle name="Heading 1" xfId="66" xr:uid="{00000000-0005-0000-0000-000025000000}"/>
    <cellStyle name="Heading 2" xfId="67" xr:uid="{00000000-0005-0000-0000-000026000000}"/>
    <cellStyle name="Heading 3" xfId="68" xr:uid="{00000000-0005-0000-0000-000027000000}"/>
    <cellStyle name="Heading 4" xfId="69" xr:uid="{00000000-0005-0000-0000-000028000000}"/>
    <cellStyle name="Input" xfId="70" xr:uid="{00000000-0005-0000-0000-000029000000}"/>
    <cellStyle name="Input 10" xfId="201" xr:uid="{00000000-0005-0000-0000-00002A000000}"/>
    <cellStyle name="Input 11" xfId="200" xr:uid="{00000000-0005-0000-0000-00002B000000}"/>
    <cellStyle name="Input 12" xfId="194" xr:uid="{00000000-0005-0000-0000-00002C000000}"/>
    <cellStyle name="Input 2" xfId="115" xr:uid="{00000000-0005-0000-0000-00002D000000}"/>
    <cellStyle name="Input 2 2" xfId="116" xr:uid="{00000000-0005-0000-0000-00002E000000}"/>
    <cellStyle name="Input 3" xfId="117" xr:uid="{00000000-0005-0000-0000-00002F000000}"/>
    <cellStyle name="Input 3 2" xfId="118" xr:uid="{00000000-0005-0000-0000-000030000000}"/>
    <cellStyle name="Input 4" xfId="119" xr:uid="{00000000-0005-0000-0000-000031000000}"/>
    <cellStyle name="Input 4 2" xfId="120" xr:uid="{00000000-0005-0000-0000-000032000000}"/>
    <cellStyle name="Input 5" xfId="121" xr:uid="{00000000-0005-0000-0000-000033000000}"/>
    <cellStyle name="Input 5 2" xfId="122" xr:uid="{00000000-0005-0000-0000-000034000000}"/>
    <cellStyle name="Input 6" xfId="123" xr:uid="{00000000-0005-0000-0000-000035000000}"/>
    <cellStyle name="Input 6 2" xfId="124" xr:uid="{00000000-0005-0000-0000-000036000000}"/>
    <cellStyle name="Input 7" xfId="125" xr:uid="{00000000-0005-0000-0000-000037000000}"/>
    <cellStyle name="Input 7 2" xfId="126" xr:uid="{00000000-0005-0000-0000-000038000000}"/>
    <cellStyle name="Input 8" xfId="127" xr:uid="{00000000-0005-0000-0000-000039000000}"/>
    <cellStyle name="Input 8 2" xfId="128" xr:uid="{00000000-0005-0000-0000-00003A000000}"/>
    <cellStyle name="Input 9" xfId="129" xr:uid="{00000000-0005-0000-0000-00003B000000}"/>
    <cellStyle name="Komma" xfId="7" builtinId="3"/>
    <cellStyle name="Komma [0] 2" xfId="52" xr:uid="{00000000-0005-0000-0000-00003D000000}"/>
    <cellStyle name="Komma [0] 3" xfId="91" xr:uid="{00000000-0005-0000-0000-00003E000000}"/>
    <cellStyle name="Komma 2" xfId="8" xr:uid="{00000000-0005-0000-0000-00003F000000}"/>
    <cellStyle name="Komma 3" xfId="32" xr:uid="{00000000-0005-0000-0000-000040000000}"/>
    <cellStyle name="Komma 3 2" xfId="43" xr:uid="{00000000-0005-0000-0000-000041000000}"/>
    <cellStyle name="Komma 4" xfId="51" xr:uid="{00000000-0005-0000-0000-000042000000}"/>
    <cellStyle name="Komma 4 2" xfId="89" xr:uid="{00000000-0005-0000-0000-000043000000}"/>
    <cellStyle name="Komma 5" xfId="59" xr:uid="{00000000-0005-0000-0000-000044000000}"/>
    <cellStyle name="Komma 6" xfId="85" xr:uid="{00000000-0005-0000-0000-000045000000}"/>
    <cellStyle name="Komma 6 2" xfId="207" xr:uid="{00000000-0005-0000-0000-000046000000}"/>
    <cellStyle name="kop" xfId="9" xr:uid="{00000000-0005-0000-0000-000047000000}"/>
    <cellStyle name="Koppen_rekenblad" xfId="71" xr:uid="{00000000-0005-0000-0000-000048000000}"/>
    <cellStyle name="koppenrekenblad2" xfId="72" xr:uid="{00000000-0005-0000-0000-000049000000}"/>
    <cellStyle name="Linked Cell" xfId="73" xr:uid="{00000000-0005-0000-0000-00004A000000}"/>
    <cellStyle name="m2" xfId="74" xr:uid="{00000000-0005-0000-0000-00004B000000}"/>
    <cellStyle name="Neutral" xfId="75" xr:uid="{00000000-0005-0000-0000-00004C000000}"/>
    <cellStyle name="Normaal 2" xfId="45" xr:uid="{00000000-0005-0000-0000-00004D000000}"/>
    <cellStyle name="Normaal_Basis Inventarisatielijst. xls.xls" xfId="10" xr:uid="{00000000-0005-0000-0000-00004E000000}"/>
    <cellStyle name="Normal_ KLM-CTR(STA)-Recap.xls" xfId="11" xr:uid="{00000000-0005-0000-0000-00004F000000}"/>
    <cellStyle name="Normal_AFRPPRIJS.xls" xfId="36" xr:uid="{00000000-0005-0000-0000-000050000000}"/>
    <cellStyle name="Normal_CALCULATIEBLAD.XLS" xfId="12" xr:uid="{00000000-0005-0000-0000-000051000000}"/>
    <cellStyle name="Normal_CALCULATIEBLAD.XLS 2" xfId="38" xr:uid="{00000000-0005-0000-0000-000052000000}"/>
    <cellStyle name="Normal_CALCULATIEBLAD.XLS 3" xfId="49" xr:uid="{00000000-0005-0000-0000-000053000000}"/>
    <cellStyle name="Normal_Uurtarieven 2000 LEVERANCIER" xfId="39" xr:uid="{00000000-0005-0000-0000-000054000000}"/>
    <cellStyle name="Normal_Uurtarieven 2000 LEVERANCIER 2" xfId="48" xr:uid="{00000000-0005-0000-0000-000055000000}"/>
    <cellStyle name="Normal_Workbook1_AFRPPRIJS.xls" xfId="40" xr:uid="{00000000-0005-0000-0000-000056000000}"/>
    <cellStyle name="Note" xfId="76" xr:uid="{00000000-0005-0000-0000-000057000000}"/>
    <cellStyle name="Note 10" xfId="130" xr:uid="{00000000-0005-0000-0000-000058000000}"/>
    <cellStyle name="Note 10 2" xfId="131" xr:uid="{00000000-0005-0000-0000-000059000000}"/>
    <cellStyle name="Note 11" xfId="132" xr:uid="{00000000-0005-0000-0000-00005A000000}"/>
    <cellStyle name="Note 12" xfId="202" xr:uid="{00000000-0005-0000-0000-00005B000000}"/>
    <cellStyle name="Note 13" xfId="198" xr:uid="{00000000-0005-0000-0000-00005C000000}"/>
    <cellStyle name="Note 14" xfId="208" xr:uid="{00000000-0005-0000-0000-00005D000000}"/>
    <cellStyle name="Note 2" xfId="133" xr:uid="{00000000-0005-0000-0000-00005E000000}"/>
    <cellStyle name="Note 2 2" xfId="134" xr:uid="{00000000-0005-0000-0000-00005F000000}"/>
    <cellStyle name="Note 3" xfId="135" xr:uid="{00000000-0005-0000-0000-000060000000}"/>
    <cellStyle name="Note 3 2" xfId="136" xr:uid="{00000000-0005-0000-0000-000061000000}"/>
    <cellStyle name="Note 4" xfId="137" xr:uid="{00000000-0005-0000-0000-000062000000}"/>
    <cellStyle name="Note 4 2" xfId="138" xr:uid="{00000000-0005-0000-0000-000063000000}"/>
    <cellStyle name="Note 5" xfId="139" xr:uid="{00000000-0005-0000-0000-000064000000}"/>
    <cellStyle name="Note 5 2" xfId="140" xr:uid="{00000000-0005-0000-0000-000065000000}"/>
    <cellStyle name="Note 6" xfId="141" xr:uid="{00000000-0005-0000-0000-000066000000}"/>
    <cellStyle name="Note 6 2" xfId="142" xr:uid="{00000000-0005-0000-0000-000067000000}"/>
    <cellStyle name="Note 7" xfId="143" xr:uid="{00000000-0005-0000-0000-000068000000}"/>
    <cellStyle name="Note 7 2" xfId="144" xr:uid="{00000000-0005-0000-0000-000069000000}"/>
    <cellStyle name="Note 8" xfId="145" xr:uid="{00000000-0005-0000-0000-00006A000000}"/>
    <cellStyle name="Note 8 2" xfId="146" xr:uid="{00000000-0005-0000-0000-00006B000000}"/>
    <cellStyle name="Note 9" xfId="147" xr:uid="{00000000-0005-0000-0000-00006C000000}"/>
    <cellStyle name="Note 9 2" xfId="148" xr:uid="{00000000-0005-0000-0000-00006D000000}"/>
    <cellStyle name="Ongedefinieerd" xfId="13" xr:uid="{00000000-0005-0000-0000-00006E000000}"/>
    <cellStyle name="Ongedefinieerd 2" xfId="53" xr:uid="{00000000-0005-0000-0000-00006F000000}"/>
    <cellStyle name="Output" xfId="77" xr:uid="{00000000-0005-0000-0000-000070000000}"/>
    <cellStyle name="Output 10" xfId="149" xr:uid="{00000000-0005-0000-0000-000071000000}"/>
    <cellStyle name="Output 10 2" xfId="150" xr:uid="{00000000-0005-0000-0000-000072000000}"/>
    <cellStyle name="Output 11" xfId="151" xr:uid="{00000000-0005-0000-0000-000073000000}"/>
    <cellStyle name="Output 12" xfId="203" xr:uid="{00000000-0005-0000-0000-000074000000}"/>
    <cellStyle name="Output 13" xfId="190" xr:uid="{00000000-0005-0000-0000-000075000000}"/>
    <cellStyle name="Output 14" xfId="191" xr:uid="{00000000-0005-0000-0000-000076000000}"/>
    <cellStyle name="Output 2" xfId="152" xr:uid="{00000000-0005-0000-0000-000077000000}"/>
    <cellStyle name="Output 2 2" xfId="153" xr:uid="{00000000-0005-0000-0000-000078000000}"/>
    <cellStyle name="Output 3" xfId="154" xr:uid="{00000000-0005-0000-0000-000079000000}"/>
    <cellStyle name="Output 3 2" xfId="155" xr:uid="{00000000-0005-0000-0000-00007A000000}"/>
    <cellStyle name="Output 4" xfId="156" xr:uid="{00000000-0005-0000-0000-00007B000000}"/>
    <cellStyle name="Output 4 2" xfId="157" xr:uid="{00000000-0005-0000-0000-00007C000000}"/>
    <cellStyle name="Output 5" xfId="158" xr:uid="{00000000-0005-0000-0000-00007D000000}"/>
    <cellStyle name="Output 5 2" xfId="159" xr:uid="{00000000-0005-0000-0000-00007E000000}"/>
    <cellStyle name="Output 6" xfId="160" xr:uid="{00000000-0005-0000-0000-00007F000000}"/>
    <cellStyle name="Output 6 2" xfId="161" xr:uid="{00000000-0005-0000-0000-000080000000}"/>
    <cellStyle name="Output 7" xfId="162" xr:uid="{00000000-0005-0000-0000-000081000000}"/>
    <cellStyle name="Output 7 2" xfId="163" xr:uid="{00000000-0005-0000-0000-000082000000}"/>
    <cellStyle name="Output 8" xfId="164" xr:uid="{00000000-0005-0000-0000-000083000000}"/>
    <cellStyle name="Output 8 2" xfId="165" xr:uid="{00000000-0005-0000-0000-000084000000}"/>
    <cellStyle name="Output 9" xfId="166" xr:uid="{00000000-0005-0000-0000-000085000000}"/>
    <cellStyle name="Output 9 2" xfId="167" xr:uid="{00000000-0005-0000-0000-000086000000}"/>
    <cellStyle name="Procent 2" xfId="14" xr:uid="{00000000-0005-0000-0000-000087000000}"/>
    <cellStyle name="Procent 2 2" xfId="15" xr:uid="{00000000-0005-0000-0000-000088000000}"/>
    <cellStyle name="Procent 2 3" xfId="56" xr:uid="{00000000-0005-0000-0000-000089000000}"/>
    <cellStyle name="Procent 3" xfId="16" xr:uid="{00000000-0005-0000-0000-00008A000000}"/>
    <cellStyle name="Procent 3 2" xfId="92" xr:uid="{00000000-0005-0000-0000-00008B000000}"/>
    <cellStyle name="Procent 4" xfId="57" xr:uid="{00000000-0005-0000-0000-00008C000000}"/>
    <cellStyle name="Procent 4 2" xfId="88" xr:uid="{00000000-0005-0000-0000-00008D000000}"/>
    <cellStyle name="Procent 5" xfId="84" xr:uid="{00000000-0005-0000-0000-00008E000000}"/>
    <cellStyle name="Procent 5 2" xfId="206" xr:uid="{00000000-0005-0000-0000-00008F000000}"/>
    <cellStyle name="Ruimtestaat_Koppen" xfId="78" xr:uid="{00000000-0005-0000-0000-000090000000}"/>
    <cellStyle name="Standaard" xfId="0" builtinId="0"/>
    <cellStyle name="Standaard 10" xfId="31" xr:uid="{00000000-0005-0000-0000-000092000000}"/>
    <cellStyle name="Standaard 10 2" xfId="42" xr:uid="{00000000-0005-0000-0000-000093000000}"/>
    <cellStyle name="Standaard 11" xfId="33" xr:uid="{00000000-0005-0000-0000-000094000000}"/>
    <cellStyle name="Standaard 11 2" xfId="86" xr:uid="{00000000-0005-0000-0000-000095000000}"/>
    <cellStyle name="Standaard 11 3" xfId="168" xr:uid="{00000000-0005-0000-0000-000096000000}"/>
    <cellStyle name="Standaard 11 4" xfId="169" xr:uid="{00000000-0005-0000-0000-000097000000}"/>
    <cellStyle name="Standaard 11 5" xfId="170" xr:uid="{00000000-0005-0000-0000-000098000000}"/>
    <cellStyle name="Standaard 11 6" xfId="193" xr:uid="{00000000-0005-0000-0000-000099000000}"/>
    <cellStyle name="Standaard 12" xfId="46" xr:uid="{00000000-0005-0000-0000-00009A000000}"/>
    <cellStyle name="Standaard 13" xfId="50" xr:uid="{00000000-0005-0000-0000-00009B000000}"/>
    <cellStyle name="Standaard 14" xfId="83" xr:uid="{00000000-0005-0000-0000-00009C000000}"/>
    <cellStyle name="Standaard 14 2" xfId="205" xr:uid="{00000000-0005-0000-0000-00009D000000}"/>
    <cellStyle name="Standaard 2" xfId="17" xr:uid="{00000000-0005-0000-0000-00009E000000}"/>
    <cellStyle name="Standaard 2 2" xfId="18" xr:uid="{00000000-0005-0000-0000-00009F000000}"/>
    <cellStyle name="Standaard 2 2 2" xfId="19" xr:uid="{00000000-0005-0000-0000-0000A0000000}"/>
    <cellStyle name="Standaard 2 2 2 2" xfId="20" xr:uid="{00000000-0005-0000-0000-0000A1000000}"/>
    <cellStyle name="Standaard 2 2 3" xfId="93" xr:uid="{00000000-0005-0000-0000-0000A2000000}"/>
    <cellStyle name="Standaard 2 3" xfId="21" xr:uid="{00000000-0005-0000-0000-0000A3000000}"/>
    <cellStyle name="Standaard 2 3 2" xfId="94" xr:uid="{00000000-0005-0000-0000-0000A4000000}"/>
    <cellStyle name="Standaard 2 4" xfId="79" xr:uid="{00000000-0005-0000-0000-0000A5000000}"/>
    <cellStyle name="Standaard 2 5" xfId="95" xr:uid="{00000000-0005-0000-0000-0000A6000000}"/>
    <cellStyle name="Standaard 3" xfId="22" xr:uid="{00000000-0005-0000-0000-0000A7000000}"/>
    <cellStyle name="Standaard 3 2" xfId="96" xr:uid="{00000000-0005-0000-0000-0000A8000000}"/>
    <cellStyle name="Standaard 4" xfId="23" xr:uid="{00000000-0005-0000-0000-0000A9000000}"/>
    <cellStyle name="Standaard 4 2" xfId="97" xr:uid="{00000000-0005-0000-0000-0000AA000000}"/>
    <cellStyle name="Standaard 5" xfId="24" xr:uid="{00000000-0005-0000-0000-0000AB000000}"/>
    <cellStyle name="Standaard 5 2" xfId="41" xr:uid="{00000000-0005-0000-0000-0000AC000000}"/>
    <cellStyle name="Standaard 5 3" xfId="54" xr:uid="{00000000-0005-0000-0000-0000AD000000}"/>
    <cellStyle name="Standaard 6" xfId="25" xr:uid="{00000000-0005-0000-0000-0000AE000000}"/>
    <cellStyle name="Standaard 7" xfId="26" xr:uid="{00000000-0005-0000-0000-0000AF000000}"/>
    <cellStyle name="Standaard 8" xfId="27" xr:uid="{00000000-0005-0000-0000-0000B0000000}"/>
    <cellStyle name="Standaard 9" xfId="28" xr:uid="{00000000-0005-0000-0000-0000B1000000}"/>
    <cellStyle name="Standaard_Blad1" xfId="37" xr:uid="{00000000-0005-0000-0000-0000B2000000}"/>
    <cellStyle name="Title" xfId="80" xr:uid="{00000000-0005-0000-0000-0000B3000000}"/>
    <cellStyle name="Total" xfId="81" xr:uid="{00000000-0005-0000-0000-0000B4000000}"/>
    <cellStyle name="Total 10" xfId="171" xr:uid="{00000000-0005-0000-0000-0000B5000000}"/>
    <cellStyle name="Total 10 2" xfId="172" xr:uid="{00000000-0005-0000-0000-0000B6000000}"/>
    <cellStyle name="Total 11" xfId="173" xr:uid="{00000000-0005-0000-0000-0000B7000000}"/>
    <cellStyle name="Total 12" xfId="204" xr:uid="{00000000-0005-0000-0000-0000B8000000}"/>
    <cellStyle name="Total 13" xfId="195" xr:uid="{00000000-0005-0000-0000-0000B9000000}"/>
    <cellStyle name="Total 14" xfId="192" xr:uid="{00000000-0005-0000-0000-0000BA000000}"/>
    <cellStyle name="Total 2" xfId="174" xr:uid="{00000000-0005-0000-0000-0000BB000000}"/>
    <cellStyle name="Total 2 2" xfId="175" xr:uid="{00000000-0005-0000-0000-0000BC000000}"/>
    <cellStyle name="Total 3" xfId="176" xr:uid="{00000000-0005-0000-0000-0000BD000000}"/>
    <cellStyle name="Total 3 2" xfId="177" xr:uid="{00000000-0005-0000-0000-0000BE000000}"/>
    <cellStyle name="Total 4" xfId="178" xr:uid="{00000000-0005-0000-0000-0000BF000000}"/>
    <cellStyle name="Total 4 2" xfId="179" xr:uid="{00000000-0005-0000-0000-0000C0000000}"/>
    <cellStyle name="Total 5" xfId="180" xr:uid="{00000000-0005-0000-0000-0000C1000000}"/>
    <cellStyle name="Total 5 2" xfId="181" xr:uid="{00000000-0005-0000-0000-0000C2000000}"/>
    <cellStyle name="Total 6" xfId="182" xr:uid="{00000000-0005-0000-0000-0000C3000000}"/>
    <cellStyle name="Total 6 2" xfId="183" xr:uid="{00000000-0005-0000-0000-0000C4000000}"/>
    <cellStyle name="Total 7" xfId="184" xr:uid="{00000000-0005-0000-0000-0000C5000000}"/>
    <cellStyle name="Total 7 2" xfId="185" xr:uid="{00000000-0005-0000-0000-0000C6000000}"/>
    <cellStyle name="Total 8" xfId="186" xr:uid="{00000000-0005-0000-0000-0000C7000000}"/>
    <cellStyle name="Total 8 2" xfId="187" xr:uid="{00000000-0005-0000-0000-0000C8000000}"/>
    <cellStyle name="Total 9" xfId="188" xr:uid="{00000000-0005-0000-0000-0000C9000000}"/>
    <cellStyle name="Total 9 2" xfId="189" xr:uid="{00000000-0005-0000-0000-0000CA000000}"/>
    <cellStyle name="Valuta" xfId="34" builtinId="4"/>
    <cellStyle name="Valuta 2" xfId="29" xr:uid="{00000000-0005-0000-0000-0000CC000000}"/>
    <cellStyle name="Valuta 2 2" xfId="58" xr:uid="{00000000-0005-0000-0000-0000CD000000}"/>
    <cellStyle name="Valuta 3" xfId="30" xr:uid="{00000000-0005-0000-0000-0000CE000000}"/>
    <cellStyle name="Valuta 4" xfId="98" xr:uid="{00000000-0005-0000-0000-0000CF000000}"/>
    <cellStyle name="Valuta 4 2" xfId="99" xr:uid="{00000000-0005-0000-0000-0000D0000000}"/>
    <cellStyle name="Warning Text" xfId="82" xr:uid="{00000000-0005-0000-0000-0000D1000000}"/>
  </cellStyles>
  <dxfs count="0"/>
  <tableStyles count="0" defaultTableStyle="TableStyleMedium9"/>
  <colors>
    <mruColors>
      <color rgb="FFCCFFCC"/>
      <color rgb="FF99CCFF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6.xml"/><Relationship Id="rId117" Type="http://schemas.openxmlformats.org/officeDocument/2006/relationships/styles" Target="styles.xml"/><Relationship Id="rId21" Type="http://schemas.openxmlformats.org/officeDocument/2006/relationships/externalLink" Target="externalLinks/externalLink1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63" Type="http://schemas.openxmlformats.org/officeDocument/2006/relationships/externalLink" Target="externalLinks/externalLink43.xml"/><Relationship Id="rId68" Type="http://schemas.openxmlformats.org/officeDocument/2006/relationships/externalLink" Target="externalLinks/externalLink48.xml"/><Relationship Id="rId84" Type="http://schemas.openxmlformats.org/officeDocument/2006/relationships/externalLink" Target="externalLinks/externalLink64.xml"/><Relationship Id="rId89" Type="http://schemas.openxmlformats.org/officeDocument/2006/relationships/externalLink" Target="externalLinks/externalLink69.xml"/><Relationship Id="rId112" Type="http://schemas.openxmlformats.org/officeDocument/2006/relationships/externalLink" Target="externalLinks/externalLink92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87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33.xml"/><Relationship Id="rId58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54.xml"/><Relationship Id="rId79" Type="http://schemas.openxmlformats.org/officeDocument/2006/relationships/externalLink" Target="externalLinks/externalLink59.xml"/><Relationship Id="rId102" Type="http://schemas.openxmlformats.org/officeDocument/2006/relationships/externalLink" Target="externalLinks/externalLink82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0.xml"/><Relationship Id="rId95" Type="http://schemas.openxmlformats.org/officeDocument/2006/relationships/externalLink" Target="externalLinks/externalLink75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44.xml"/><Relationship Id="rId69" Type="http://schemas.openxmlformats.org/officeDocument/2006/relationships/externalLink" Target="externalLinks/externalLink49.xml"/><Relationship Id="rId113" Type="http://schemas.openxmlformats.org/officeDocument/2006/relationships/externalLink" Target="externalLinks/externalLink93.xml"/><Relationship Id="rId118" Type="http://schemas.openxmlformats.org/officeDocument/2006/relationships/sharedStrings" Target="sharedStrings.xml"/><Relationship Id="rId80" Type="http://schemas.openxmlformats.org/officeDocument/2006/relationships/externalLink" Target="externalLinks/externalLink60.xml"/><Relationship Id="rId85" Type="http://schemas.openxmlformats.org/officeDocument/2006/relationships/externalLink" Target="externalLinks/externalLink6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59" Type="http://schemas.openxmlformats.org/officeDocument/2006/relationships/externalLink" Target="externalLinks/externalLink39.xml"/><Relationship Id="rId103" Type="http://schemas.openxmlformats.org/officeDocument/2006/relationships/externalLink" Target="externalLinks/externalLink83.xml"/><Relationship Id="rId108" Type="http://schemas.openxmlformats.org/officeDocument/2006/relationships/externalLink" Target="externalLinks/externalLink88.xml"/><Relationship Id="rId54" Type="http://schemas.openxmlformats.org/officeDocument/2006/relationships/externalLink" Target="externalLinks/externalLink34.xml"/><Relationship Id="rId70" Type="http://schemas.openxmlformats.org/officeDocument/2006/relationships/externalLink" Target="externalLinks/externalLink50.xml"/><Relationship Id="rId75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71.xml"/><Relationship Id="rId96" Type="http://schemas.openxmlformats.org/officeDocument/2006/relationships/externalLink" Target="externalLinks/externalLink7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49" Type="http://schemas.openxmlformats.org/officeDocument/2006/relationships/externalLink" Target="externalLinks/externalLink29.xml"/><Relationship Id="rId114" Type="http://schemas.openxmlformats.org/officeDocument/2006/relationships/externalLink" Target="externalLinks/externalLink9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externalLink" Target="externalLinks/externalLink32.xml"/><Relationship Id="rId60" Type="http://schemas.openxmlformats.org/officeDocument/2006/relationships/externalLink" Target="externalLinks/externalLink40.xml"/><Relationship Id="rId65" Type="http://schemas.openxmlformats.org/officeDocument/2006/relationships/externalLink" Target="externalLinks/externalLink45.xml"/><Relationship Id="rId73" Type="http://schemas.openxmlformats.org/officeDocument/2006/relationships/externalLink" Target="externalLinks/externalLink53.xml"/><Relationship Id="rId78" Type="http://schemas.openxmlformats.org/officeDocument/2006/relationships/externalLink" Target="externalLinks/externalLink58.xml"/><Relationship Id="rId81" Type="http://schemas.openxmlformats.org/officeDocument/2006/relationships/externalLink" Target="externalLinks/externalLink61.xml"/><Relationship Id="rId86" Type="http://schemas.openxmlformats.org/officeDocument/2006/relationships/externalLink" Target="externalLinks/externalLink66.xml"/><Relationship Id="rId94" Type="http://schemas.openxmlformats.org/officeDocument/2006/relationships/externalLink" Target="externalLinks/externalLink74.xml"/><Relationship Id="rId99" Type="http://schemas.openxmlformats.org/officeDocument/2006/relationships/externalLink" Target="externalLinks/externalLink79.xml"/><Relationship Id="rId101" Type="http://schemas.openxmlformats.org/officeDocument/2006/relationships/externalLink" Target="externalLinks/externalLink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9.xml"/><Relationship Id="rId109" Type="http://schemas.openxmlformats.org/officeDocument/2006/relationships/externalLink" Target="externalLinks/externalLink89.xml"/><Relationship Id="rId34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30.xml"/><Relationship Id="rId55" Type="http://schemas.openxmlformats.org/officeDocument/2006/relationships/externalLink" Target="externalLinks/externalLink35.xml"/><Relationship Id="rId76" Type="http://schemas.openxmlformats.org/officeDocument/2006/relationships/externalLink" Target="externalLinks/externalLink56.xml"/><Relationship Id="rId97" Type="http://schemas.openxmlformats.org/officeDocument/2006/relationships/externalLink" Target="externalLinks/externalLink77.xml"/><Relationship Id="rId104" Type="http://schemas.openxmlformats.org/officeDocument/2006/relationships/externalLink" Target="externalLinks/externalLink8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1.xml"/><Relationship Id="rId92" Type="http://schemas.openxmlformats.org/officeDocument/2006/relationships/externalLink" Target="externalLinks/externalLink7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9.xml"/><Relationship Id="rId24" Type="http://schemas.openxmlformats.org/officeDocument/2006/relationships/externalLink" Target="externalLinks/externalLink4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46.xml"/><Relationship Id="rId87" Type="http://schemas.openxmlformats.org/officeDocument/2006/relationships/externalLink" Target="externalLinks/externalLink67.xml"/><Relationship Id="rId110" Type="http://schemas.openxmlformats.org/officeDocument/2006/relationships/externalLink" Target="externalLinks/externalLink90.xml"/><Relationship Id="rId115" Type="http://schemas.openxmlformats.org/officeDocument/2006/relationships/externalLink" Target="externalLinks/externalLink95.xml"/><Relationship Id="rId61" Type="http://schemas.openxmlformats.org/officeDocument/2006/relationships/externalLink" Target="externalLinks/externalLink41.xml"/><Relationship Id="rId82" Type="http://schemas.openxmlformats.org/officeDocument/2006/relationships/externalLink" Target="externalLinks/externalLink6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57.xml"/><Relationship Id="rId100" Type="http://schemas.openxmlformats.org/officeDocument/2006/relationships/externalLink" Target="externalLinks/externalLink80.xml"/><Relationship Id="rId105" Type="http://schemas.openxmlformats.org/officeDocument/2006/relationships/externalLink" Target="externalLinks/externalLink8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72" Type="http://schemas.openxmlformats.org/officeDocument/2006/relationships/externalLink" Target="externalLinks/externalLink52.xml"/><Relationship Id="rId93" Type="http://schemas.openxmlformats.org/officeDocument/2006/relationships/externalLink" Target="externalLinks/externalLink73.xml"/><Relationship Id="rId98" Type="http://schemas.openxmlformats.org/officeDocument/2006/relationships/externalLink" Target="externalLinks/externalLink78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5.xml"/><Relationship Id="rId46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47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63.xml"/><Relationship Id="rId88" Type="http://schemas.openxmlformats.org/officeDocument/2006/relationships/externalLink" Target="externalLinks/externalLink68.xml"/><Relationship Id="rId111" Type="http://schemas.openxmlformats.org/officeDocument/2006/relationships/externalLink" Target="externalLinks/externalLink9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37.xml"/><Relationship Id="rId106" Type="http://schemas.openxmlformats.org/officeDocument/2006/relationships/externalLink" Target="externalLinks/externalLink8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UvA\Calculatie\Q3\Ruimtestaat%20en%20factuurbedragen%20Q3%202017%20Science%20Park%20-%20CSU%20obv%20rev%2037_prullebakke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SG\01025%20Telfort%20A'dam\01025%20Programma\Progr.Telfort-Entree1-kan25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9098%20SER\Aanbesteding\01%20Voorbereidend%20werk\Werkdocumenten\10%200718%20Calculatie%20SER%209.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-server\sw\Offerte\Noord\Motel%20Spier\Excel\Calc\AZR\AZR%20psychiatri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~1\VAARKA~1\LOCALS~1\Temp\Temporary%20Directory%201%20for%20Offerte%20ISS.zip\Invulform%2000007-2005-SNSZuid%20versie%201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Gegevens/Excel/Calc/AZR/AZR%20psychiatri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~1\hnijenhu\LOCALS~1\Temp\Gegevens\Excel\Calc\AZR\AZR%20psychiatri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%20(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Sovon%20-%20Inkada\Calculatie\Calc%20SOVON%20perceel%202_NvI_1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\Projecten\Holland%20casino\Plattegronden%20gebouwen\X5062.01.01-Amsterdam%20Kruisgebouw-meetstaten-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Zakelijk\ISS%20HK\Mantels\RGN\Tempo%20Team\vestigingenoverzicht%20Tempo-Tea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jn%20documenten\mijn%20documenten\01-%20offertes%20en%20in%20onderhoud\00-IN%20ONDERHOUD\Solvay%20Pharmaceuticals\2005-Solvay%20Pharmaceutials\04.424Aa-off%20DEFINITIEF%20jun%2005%20Solvay%20Pharmaceuticals%20begr.%202005%20opb.%20200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schrijfbiljetten%20leeg%20oude%20methode1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West\97032%20NKI-AVL%202004\Schoonmaak\Nieuwbouw\Contractbeheer\Calculaties\20040104%20Calculatie%20NKI%20nieuwbouw%20revisie%20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nts%20and%20Settings\Emilie\Mijn%20documenten\FA%20-%20ISS%20Werkmappen\Documents%20and%20Settings\gcorneli\Desktop\objecten\berichtenformulieren\berichtenformulier%20diensten%20abonnemen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D:\Yamaha\Calculatie%20concep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Marco%20Engbers%20%20-%20Asito/13.%20Voorstellen/Vestiging%20Doetinchem%20&amp;%20Zutpen/1.%20In%20Behandeling/Verosol%20Eibergen/Calculatie%20Verosol%2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Documents%20and%20Settings\svheck\Local%20Settings\Temporary%20Internet%20Files\Content.Outlook\ZZITY942\Nico\Calculatie\Akkoord\1655434a%20VeenCampus%20Vathors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Documents%20and%20Settings\Serge\Local%20Settings\Temporary%20Internet%20Files\OLK1F\Papyrus%20BSC%20Beginmeting%20en%20Voorcalculati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an.van.stratum\Local%20Settings\Temporary%20Internet%20Files\OLK5\Gegevens\Excel\Calc\AZR\AZR%20psychiatri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gemeen\algemeen$\Afdelingen\Commercie\Offertes\Noordwest\2019\Stg%20Interconfessioneel%20RK%20PC%20VO%20Gregor%20Mendel%20-%20Inkada\Calculatie\Calc_Kennemer%20Lyceum_V1_GN_MVH_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recht\Common\IFS-Sales\Accounts\Prospects%20-%20Leads\UWV%20Multiservices%202012\Calculatie\Pricing%2095%25\20120731%20P&amp;L%20-%20UWV%20pricing%2095%25%20EK%20JP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Fujitsu%20-Post%20Submission%20-%20TUPE%20Compliant%20Extra%20Sites%20Benchmarked.xlsb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arssen\Common\CBD\Afdeling%20Commercie\OFFERTE\TEKST%20(UITGEBRACHT)\ISS%20C&amp;C%20-%20Hospital\Prospect\1%20ZIEKENHUIZEN\UMC%20St%20Radboud\OFFERTE\Bid%20commitee\20121015_Overnamegegevens%20berekening%20ISS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Users\lhotting\Desktop\alpha\Inschrijfbiljetten_OGN_v2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a2.know.hp.com/Documents%20and%20Settings/jhatfield/Local%20Settings/Temporary%20Internet%20Files/OLK5A/Site%20Info%20-%2011-27-06%20(2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07%20Diamant%20Groep%20Tilburg\Schoonmaak\Aanbestedingsstukken\09%200831%20Bijlage%205%20calculatiemode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BD\Offertes%202004\Haagse%20Hogeschool\HHS-origineel%20offerte%20definitief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F00372\users$\Yaw.Mante\Working%20Folders\Yaw\Work\4.%202011\10.%20October\FM_Project%20Unity\Mockup%20of%20Data%20Colletion%20Sheet%20draft7cou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ra1rg1\data\Sales\Oud%20Lavold%20Data\IJekel\06\Landelijke%20accounts\UWV%20Gak%202003\Contracten%202004\Zuid%20West\Rijswijk%20-%20J.C.%20van%20Markenlaan%205-pp200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HD%20PB%20Rob%20ATIR%20Werkdocumenten\%20%20ATIR%20in%20%20behandeling\Tarieven%202004\atir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9\Stichting%20Nederlands%20Scheepvaartmuseum%20Amsterdam%20(RFP)%20-%20SMC\Calculatie\RB\NvI%204\HSM%20Rekenmodel%202019%20v4_unprotected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Program%20Files\Common%20Files\ncie-share\XLmacr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H13vfs01\Department_Data$\ISA\Noord-West\Calculatie\CALCULATIE%20BENODIGDHEDEN\AFROEPPRIJZEN%2020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WINDOWS\Temporary%20Internet%20Files\OLK2\WERKPROGRAMMA%20PSU%20ONDERWIJS%2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Totaal%20voorstel%20Stegeman%2027042012%2014.00%20uur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OPDRACHTGEVERS\Marenland,%20Onderwijsbureau\Aanbesteding%202007\Bestek\Inventarisaties%20voor%20EA\Abt%20Emo%20School%20Westeremden%2019060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SG%20Klanten%20actief\CSG%20Zuid\97008%20DS%20Pierson%20College\Schoonmaak\Aanbesteding%202011\08%20Calculatie\10%201229%20Rev%2000Calculatie%20Ds%20Pierson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anettek\AppData\Local\Microsoft\Windows\Temporary%20Internet%20Files\Content.Outlook\MOI7SDBL\ruimtestaat%20Nazareth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Cleaning%20data%20CE_final_sen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7015%20Altrecht\Schoonmaak\Programma\07%201018%20Calculatie%20Altrech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's%20Huidig/Nieuw%20en%20Oudbouw%20Samen/CSG/01025%20Telfort%20A'dam/01025%20Programma/Progr.Telfort-Entree1-kan25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West\97032%20NKI-AVL\Schoonmaak\Programma%20tbv%20Aanbesteding\06%200328%20Programma%20NKIAv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AtirLLSProductie\Atir\Projecten%20algemeen\In%20behandeling\Provincie%20Zuid%20Holland\Aanbesteding%202012\PZH%20calculatie\Calculatiemodel%20proquere%20definitief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Users\r.toorenburgh\AppData\Local\Microsoft\Windows\Temporary%20Internet%20Files\Content.Outlook\83YS3KGK\Westerveld%20oude%20calculatie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irLLSProductie\Atir\Projecten%20algemeen\In%20behandeling\GVB\1.%202018\1.%20Stations\0.%20Aanbesteding%202020\NVI\Perceel%201%20Comfortschoonmaak%20NVI%201%20leeg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%20behandeling\Belastingdienst2003\ISS-Belastingdienst200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Users\nicole\AppData\Local\Microsoft\Windows\Temporary%20Internet%20Files\Content.Outlook\P4414I6B\Mutatie%20GVB%20Kraaijenest%20NvB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AtirLLSProductie\Atir\Projecten%20algemeen\In%20behandeling\Provincie%20Zuid%20Holland\Aanbesteding%202012\PZH%20calculatie\GLV-Calculatiemodel%20DEF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mercial\James\Oldham\Olham%20Coster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Users/lhotting/AppData/Local/Microsoft/Windows/Temporary%20Internet%20Files/Content.Outlook/73BBDHCT/Kopie%20van%20Simiss%20%20v11%20GGZ%20versie%202%200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Stichting%20Horizon%20en%20St.%20Altra%20jeugdzorg%20en%20speciaal%20onderwijs%20(Icca)\Calculatie\1e%20versie\Bijlage%20D1%20Calculatiemodel%20perceel%203-V1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personal/emilie_meijnen_nl_issworld_com/Documents/AB%20Prijzen/2016/2013/Af%20b%20-%20nog%20naar%20CBDschijf/GGZ-1%20v1a%2009-03-24em%20mut%20en%204x%20nieuw%20--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C\Documents%20and%20Settings\Naomi\Local%20Settings\Temporary%20Internet%20Files\Content.Outlook\ILGDZFKW\HD%20MBP%20ErikUsers\fred\Desktop\Nota%20Fred\DELTA%20N.V.-Calculati#3F4559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Beheer\Beheer%20KLPD\Beheer2000\OffAsito04-12-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dewerkers\02.%20Offertes\01.%20In%20Behandeling\2011\Gemeente%20Heerenveen-2011274-Off\03%20Calculatie\Bijlage%204a%20Ruimtestaat%20en%20kostenmatrix%20Schoonmaak%20Perceel%2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lanten\Papyrus\TV\Papyrus-TV-BeginMeting03083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gemeen\algemeen$\Afdelingen\Commercie\Offertes\Noordwest\2020\WNF%20-%20SMC\Calculatie\Calc%20WNF255%20v1%2005-02-2020em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uisv\Oude%20indeling%20L-schijf\Daphne%20auditing\KPN\mobiele%20telefonie\analyse%20mobiele%20telefonie\vergelijkemiskpnfebruari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io%20Esther%20Westerhuis\SVVE\Calculatie\2009\SVVE%20De%20Orangerie\RBS%20De%20Orangerie%2013-03-09%20jh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en\Catering\981.035Fuji\corresp\ModelP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ostensoorten%20standaard\TV\Tarieven%20TV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support\Projects%20-%202000\Holland%20-%20CSU\Quick%20valuation%20model%20-%20NEW%20Version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Gom%20Schoonhouden\Calculatiemodellen\kladmarco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9\TMG%20(Heyday)\Calculatie\TMG_calc_v3_rvs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avnfsr02\avnshr018\In%20behandeling\UWV\Amsterdam%20-%20Delflandlaan%203-5%20pp2003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523%20Ruimtestaat%20Avenier1.0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rakse\AppData\Local\Microsoft\Windows\Temporary%20Internet%20Files\Content.Outlook\U6Y32292\NAW-bestand%20tbv%20contractwissel%2013-11-2014%20Zwanenberg%20Almelo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jlagen\Calculatie%20Dienstencentrum%20de%20ma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D\CBD\Gegevens\Excel\Calc\AZR\AZR%20psychiatri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nts%20and%20Settings\dewis0\Local%20Settings\Temporary%20Internet%20Files\OLK1\PROEF%20TEMPLATE%20vereenvoudigd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Foodcalc%202009%20v2%20CONCEP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A%20-%20Werkmappen%20Cure&amp;Care\AA%20Onderhanden%20werk\2012%2009%20Radboud%20UMC%20%20Nijmegen\Calculatie%20ISS\UMC%20Utrecht%20Calculatie2011%20ISS%2011-12-12em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National%20Accounts\Healthcare\Calculatie%20Zorg\Archipel%20nieuw%20model\Archipel%20Calculatie%20Totaal%202019%20v06%20tm%20191001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irData\AtirLLSProductie\Atir\Projecten%20algemeen\In%20behandeling\OLVG\OLVG%202012\OLVG-Calculatie\calculatiemodel%202012%20HSO%20per%201-1-2012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Users\marleen\AppData\Local\Microsoft\Windows\Temporary%20Internet%20Files\Content.Outlook\BAL0A37R\Calculatiemodel%20voor%20SED%202%20(3)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leen\AppData\Local\Microsoft\Windows\Temporary%20Internet%20Files\Content.Outlook\BAL0A37R\Calculatiemodel%20voor%20SED%202%20(3)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SSNL\Maarssen\Common\CBD\Afdeling%20Calculatie\Calculaties\Klanten\Regio%20Astri%20van%20Bilsen\Zaans%20Medisch%20Centrum\Calculaties%202008\ZMC-Calculatie%20v9a%2009-01-14em%20glas%20B15-B11-zazofs%20PB09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.schellingerhout\AppData\Local\Microsoft\Windows\Temporary%20Internet%20Files\Content.Outlook\MZRJO3S8\umcu%20voorcalc%20atir%20def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Beheer\Beheer%20PGZ%20(ISS)\Actueel\Basisbestand%20PGZ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West\97032%20NKI-AVL\Schoonmaak\Programma%20tbv%20Aanbesteding\06%200328%20Programma%20NKIAvL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Afdelingen\Commercie\Offertes\West\2014\GVB%20Perrons\Perceel%206\Prijslijst\Bijlage%201f%20GVB%20Calculatiemodel%20perceel%206%20(leeg)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706%20Ruimtestaat%20Avenier%20&amp;%20Horizon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~1\clstn0\LOCALS~1\Temp\Oude%20calculaties\Prijzen%20gouden%20versie%2012-02-03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ersteldeExterneKoppeling1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wolle\Common\Contracten%20backoffice%20Zwolle\Calculatie\Key%20Accounts\ABN%20AMRO%202003\2009\OPG's\12%20-%20ABN%20AMRO%20per%201%20december%20OPG-2008%20incl.%203,6%25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Zuid\05017%20Waterschap%20De%20Dommel\Programma\Calculatie%202005%20versie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G_macros"/>
      <sheetName val="scrprogramma"/>
      <sheetName val="scrvloersoort"/>
      <sheetName val="scrruimtestaten"/>
      <sheetName val="variabelen"/>
      <sheetName val="Begroting"/>
      <sheetName val="Opbouw"/>
      <sheetName val="Vaste gegevens"/>
      <sheetName val="totaal"/>
      <sheetName val="ma_vr_1"/>
      <sheetName val="ma_vr_1_nlp"/>
      <sheetName val="za_1"/>
      <sheetName val="zo_1"/>
      <sheetName val="Werkelijke dagen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MA-VR"/>
      <sheetName val="IVM Smo ma-vr"/>
      <sheetName val="IVM Specials"/>
      <sheetName val="Tariefopbouw Contract"/>
      <sheetName val="Uurtarieven Contract"/>
      <sheetName val="Uurtarieven Regiewerkzaamheden"/>
      <sheetName val="IVM Regie"/>
      <sheetName val="IVM Glas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L"/>
      <sheetName val="Kan_N"/>
      <sheetName val="Kan_T"/>
      <sheetName val="Kle_L"/>
      <sheetName val="Kle_S"/>
      <sheetName val="Kle_T"/>
      <sheetName val="Lif_L"/>
      <sheetName val="Pan_L"/>
      <sheetName val="Pan_N"/>
      <sheetName val="Pan_S"/>
      <sheetName val="Pan_T"/>
      <sheetName val="Rep_L"/>
      <sheetName val="Res_H"/>
      <sheetName val="Roo_L"/>
      <sheetName val="San_S"/>
      <sheetName val="Tou_T"/>
      <sheetName val="Tra_B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ychiatrie"/>
      <sheetName val="Blad3 (3)"/>
      <sheetName val="Blad3 (2)"/>
      <sheetName val="Blad1"/>
      <sheetName val="Blad2"/>
      <sheetName val="Blad3"/>
      <sheetName val="Blad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s"/>
      <sheetName val="Opslagen BL"/>
      <sheetName val="Tariefopbouw"/>
      <sheetName val="Regietarief"/>
      <sheetName val="Add prijzen"/>
      <sheetName val="matrix smo ind. loc&amp;rayons"/>
      <sheetName val="matrix glas "/>
      <sheetName val="Breda"/>
      <sheetName val="Eindhoven"/>
      <sheetName val="Heerlen"/>
      <sheetName val="Maastricht"/>
      <sheetName val="Venlo"/>
      <sheetName val="Overige kantoren"/>
      <sheetName val="Rayontotaal"/>
      <sheetName val="Kengeta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 refreshError="1">
        <row r="12">
          <cell r="D12">
            <v>1</v>
          </cell>
        </row>
        <row r="15">
          <cell r="C15">
            <v>1</v>
          </cell>
        </row>
        <row r="26">
          <cell r="D26">
            <v>7.0000000000000007E-2</v>
          </cell>
        </row>
      </sheetData>
      <sheetData sheetId="1" refreshError="1">
        <row r="13">
          <cell r="C13">
            <v>0</v>
          </cell>
        </row>
      </sheetData>
      <sheetData sheetId="2"/>
      <sheetData sheetId="3" refreshError="1">
        <row r="4">
          <cell r="B4" t="str">
            <v xml:space="preserve">Profit and loss statement </v>
          </cell>
          <cell r="C4">
            <v>0</v>
          </cell>
        </row>
        <row r="6">
          <cell r="B6">
            <v>0</v>
          </cell>
          <cell r="C6">
            <v>-5</v>
          </cell>
          <cell r="D6">
            <v>-4</v>
          </cell>
          <cell r="E6">
            <v>-3</v>
          </cell>
          <cell r="F6">
            <v>-2</v>
          </cell>
          <cell r="G6">
            <v>-1</v>
          </cell>
        </row>
        <row r="7">
          <cell r="B7" t="str">
            <v>Thousands</v>
          </cell>
        </row>
        <row r="9">
          <cell r="B9" t="str">
            <v>Revenue</v>
          </cell>
        </row>
        <row r="10">
          <cell r="B10" t="str">
            <v>Wages and social costs</v>
          </cell>
        </row>
        <row r="11">
          <cell r="B11" t="str">
            <v>Subcontractors</v>
          </cell>
        </row>
        <row r="12">
          <cell r="B12" t="str">
            <v>Transportation</v>
          </cell>
        </row>
        <row r="13">
          <cell r="B13" t="str">
            <v>Material consumption</v>
          </cell>
        </row>
        <row r="14">
          <cell r="B14" t="str">
            <v>Machinery and equipment</v>
          </cell>
        </row>
        <row r="15">
          <cell r="B15" t="str">
            <v>Supervision</v>
          </cell>
        </row>
        <row r="16">
          <cell r="B16" t="str">
            <v>Other production costs</v>
          </cell>
        </row>
        <row r="18">
          <cell r="B18" t="str">
            <v>Contract contribution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 t="str">
            <v>Contract contribution margin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1">
          <cell r="B21" t="str">
            <v>Branch costs</v>
          </cell>
        </row>
        <row r="22">
          <cell r="B22" t="str">
            <v>District costs</v>
          </cell>
        </row>
        <row r="23">
          <cell r="B23" t="str">
            <v>Regional costs</v>
          </cell>
        </row>
        <row r="24">
          <cell r="B24" t="str">
            <v>Head office costs</v>
          </cell>
        </row>
        <row r="26">
          <cell r="B26" t="str">
            <v>EBITA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 t="str">
            <v>EBITA margin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9">
          <cell r="B29" t="str">
            <v>Other income and expenses</v>
          </cell>
        </row>
        <row r="30">
          <cell r="B30" t="str">
            <v>Royalty</v>
          </cell>
        </row>
        <row r="31">
          <cell r="B31" t="str">
            <v>Interest income</v>
          </cell>
        </row>
        <row r="32">
          <cell r="B32" t="str">
            <v>Interest expenses</v>
          </cell>
        </row>
        <row r="33">
          <cell r="B33" t="str">
            <v>Gains / loss on foreign exchange</v>
          </cell>
        </row>
        <row r="34">
          <cell r="B34" t="str">
            <v>Income from associated companies</v>
          </cell>
        </row>
        <row r="36">
          <cell r="B36" t="str">
            <v>Profit ordinary operations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8">
          <cell r="B38" t="str">
            <v>Tax on ordinary operations</v>
          </cell>
        </row>
        <row r="39">
          <cell r="B39" t="str">
            <v>Minority interests</v>
          </cell>
        </row>
        <row r="41">
          <cell r="B41" t="str">
            <v>Net profit ordinary operations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3">
          <cell r="B43" t="str">
            <v>Amortisation of goodwill after tax</v>
          </cell>
        </row>
        <row r="44">
          <cell r="B44" t="str">
            <v>Amortisation of customer contracts after tax</v>
          </cell>
        </row>
        <row r="45">
          <cell r="B45" t="str">
            <v>Extraordinary items after tax</v>
          </cell>
        </row>
        <row r="47">
          <cell r="B47" t="str">
            <v>Net profit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9">
          <cell r="B49" t="str">
            <v>Depreciation (included in the above figures)</v>
          </cell>
        </row>
        <row r="51">
          <cell r="B51" t="str">
            <v>Other key figures</v>
          </cell>
        </row>
        <row r="52">
          <cell r="B52" t="str">
            <v>Revenue growth pct.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 t="str">
            <v>Contract contribution growth pct.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>EBITA growth pct.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 t="str">
            <v>Contract contribution margin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 t="str">
            <v>EBITA margin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 t="str">
            <v>Tax rate, pct.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 t="str">
            <v>Interest rate, pct.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64">
          <cell r="B64" t="str">
            <v xml:space="preserve">Balance sheet </v>
          </cell>
          <cell r="C64">
            <v>0</v>
          </cell>
        </row>
        <row r="65">
          <cell r="B65">
            <v>0</v>
          </cell>
        </row>
        <row r="66">
          <cell r="B66" t="str">
            <v>Thousands</v>
          </cell>
          <cell r="C66">
            <v>-5</v>
          </cell>
          <cell r="D66">
            <v>-4</v>
          </cell>
          <cell r="E66">
            <v>-3</v>
          </cell>
          <cell r="F66">
            <v>-2</v>
          </cell>
          <cell r="G66">
            <v>-1</v>
          </cell>
        </row>
        <row r="68">
          <cell r="B68" t="str">
            <v>Assets</v>
          </cell>
        </row>
        <row r="70">
          <cell r="B70" t="str">
            <v>Goodwill</v>
          </cell>
        </row>
        <row r="71">
          <cell r="B71" t="str">
            <v>Value of customer contracts</v>
          </cell>
        </row>
        <row r="72">
          <cell r="B72" t="str">
            <v>Leasehold improvements</v>
          </cell>
        </row>
        <row r="73">
          <cell r="B73" t="str">
            <v>Land and buildings</v>
          </cell>
        </row>
        <row r="74">
          <cell r="B74" t="str">
            <v>Machinery, fixtures etc.</v>
          </cell>
        </row>
        <row r="75">
          <cell r="B75" t="str">
            <v>Work in progress</v>
          </cell>
        </row>
        <row r="76">
          <cell r="B76" t="str">
            <v>Intangible and tangible fixed assets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8">
          <cell r="B78" t="str">
            <v>Receivable and investments (non-interest bearing)</v>
          </cell>
        </row>
        <row r="79">
          <cell r="B79" t="str">
            <v>Receivable and investments (interest bearing)</v>
          </cell>
        </row>
        <row r="80">
          <cell r="B80" t="str">
            <v>Investment subsidiaries</v>
          </cell>
        </row>
        <row r="81">
          <cell r="B81" t="str">
            <v>Investment associated companies</v>
          </cell>
        </row>
        <row r="82">
          <cell r="B82" t="str">
            <v>Financial fixed assets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4">
          <cell r="B84" t="str">
            <v>Inventory</v>
          </cell>
        </row>
        <row r="85">
          <cell r="B85" t="str">
            <v>Accounts receivable</v>
          </cell>
        </row>
        <row r="86">
          <cell r="B86" t="str">
            <v xml:space="preserve">Work in progress </v>
          </cell>
        </row>
        <row r="87">
          <cell r="B87" t="str">
            <v xml:space="preserve">Unbilled receivables </v>
          </cell>
        </row>
        <row r="88">
          <cell r="B88" t="str">
            <v>Other receivables (non-interest bearing)</v>
          </cell>
        </row>
        <row r="89">
          <cell r="B89" t="str">
            <v>Other receivables (interest bearing)</v>
          </cell>
        </row>
        <row r="90">
          <cell r="B90" t="str">
            <v xml:space="preserve">Accruals </v>
          </cell>
        </row>
        <row r="91">
          <cell r="B91" t="str">
            <v>Liquid funds (interest bearing)</v>
          </cell>
        </row>
        <row r="92">
          <cell r="B92" t="str">
            <v>Current assets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4">
          <cell r="B94" t="str">
            <v>Total assets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7">
          <cell r="B97" t="str">
            <v xml:space="preserve">Liabilities </v>
          </cell>
        </row>
        <row r="99">
          <cell r="B99" t="str">
            <v>Equity</v>
          </cell>
        </row>
        <row r="100">
          <cell r="B100" t="str">
            <v>Minority interests</v>
          </cell>
        </row>
        <row r="101">
          <cell r="B101" t="str">
            <v>Deferred tax</v>
          </cell>
        </row>
        <row r="102">
          <cell r="B102" t="str">
            <v>Provision for pensions</v>
          </cell>
        </row>
        <row r="103">
          <cell r="B103" t="str">
            <v>Other provisions</v>
          </cell>
        </row>
        <row r="104">
          <cell r="B104" t="str">
            <v>Long term interest bearing debt</v>
          </cell>
        </row>
        <row r="106">
          <cell r="B106" t="str">
            <v>Short term part of long term debt (interest bearing)</v>
          </cell>
        </row>
        <row r="107">
          <cell r="B107" t="str">
            <v>Bank overdrafts and other loans (interest bearing)</v>
          </cell>
        </row>
        <row r="108">
          <cell r="B108" t="str">
            <v>Accounts payable</v>
          </cell>
        </row>
        <row r="109">
          <cell r="B109" t="str">
            <v>Prepayments from customers</v>
          </cell>
        </row>
        <row r="110">
          <cell r="B110" t="str">
            <v xml:space="preserve">Other payables and accruals </v>
          </cell>
        </row>
        <row r="111">
          <cell r="B111" t="str">
            <v>Company tax</v>
          </cell>
        </row>
        <row r="112">
          <cell r="B112" t="str">
            <v>Current liabilities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4">
          <cell r="B114" t="str">
            <v>Total liabilities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8">
          <cell r="B118" t="str">
            <v>Key figures</v>
          </cell>
        </row>
        <row r="119">
          <cell r="B119" t="str">
            <v>Net working capital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 t="str">
            <v>Net operating assets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 t="str">
            <v>Net interest bearing assets / (liabilities)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 t="str">
            <v>Equity ratio, pct.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 t="str">
            <v>Accounts receivable, days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</row>
        <row r="129">
          <cell r="B129" t="str">
            <v xml:space="preserve">Cash flow </v>
          </cell>
          <cell r="C129">
            <v>0</v>
          </cell>
        </row>
        <row r="130">
          <cell r="B130">
            <v>0</v>
          </cell>
        </row>
        <row r="131">
          <cell r="B131" t="str">
            <v>Thousands</v>
          </cell>
          <cell r="C131">
            <v>-5</v>
          </cell>
          <cell r="D131">
            <v>-4</v>
          </cell>
          <cell r="E131">
            <v>-3</v>
          </cell>
          <cell r="F131">
            <v>-2</v>
          </cell>
          <cell r="G131">
            <v>-1</v>
          </cell>
        </row>
        <row r="133">
          <cell r="B133" t="str">
            <v>EBITA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 t="str">
            <v>Depreciation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 t="str">
            <v>Changes in inventory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 t="str">
            <v>Changes in accounts receivable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B137" t="str">
            <v xml:space="preserve">Changes in work in progress 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 t="str">
            <v xml:space="preserve">Changes in unbilled receivables 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 t="str">
            <v>Changes in other receivables and accruals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B140" t="str">
            <v>Changes in accounts payable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B141" t="str">
            <v>Changes in prepayments from customers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B142" t="str">
            <v>Changes in other payables and accruals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B143" t="str">
            <v>Changes in provison for pension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</row>
        <row r="144">
          <cell r="B144" t="str">
            <v>Changes in other provisions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B145" t="str">
            <v>Other income / expenses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B146" t="str">
            <v>Royalty payment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B147" t="str">
            <v>Interest income / expenses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B148" t="str">
            <v>Tax paid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50">
          <cell r="B150" t="str">
            <v>Cash flow from operation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 t="str">
            <v>Investment in fixed assets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3">
          <cell r="B153" t="str">
            <v>Free cash flow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5">
          <cell r="B155" t="str">
            <v>Extraordinary items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 t="str">
            <v>Acquisition / divestment of business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 t="str">
            <v>Changes in financial receivables and investments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B158" t="str">
            <v>Changes in long term debt (incl. the short term part)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B159" t="str">
            <v>Capital increase / (reduction)</v>
          </cell>
        </row>
        <row r="160">
          <cell r="B160" t="str">
            <v>Dividends to shareholders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 t="str">
            <v>Minority interests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3">
          <cell r="B163" t="str">
            <v>Cash flow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7">
          <cell r="B167" t="str">
            <v>Sustainable cash flow</v>
          </cell>
        </row>
        <row r="168">
          <cell r="B168" t="str">
            <v>Operational cash flow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 t="str">
            <v>Depreciation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 t="str">
            <v>Sustainable cash flow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3">
          <cell r="B173" t="str">
            <v>Control</v>
          </cell>
        </row>
        <row r="174">
          <cell r="B174" t="str">
            <v>Net liquidity at beginning of year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 t="str">
            <v>Cash flow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 t="str">
            <v>Exchange rate adjustments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 t="str">
            <v>Net liquidity at end of year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9">
          <cell r="B179" t="str">
            <v>Net liquiduty (end of the year) according to balance sheet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</row>
        <row r="422">
          <cell r="B422" t="str">
            <v>Financial Data (Summary)</v>
          </cell>
        </row>
        <row r="426">
          <cell r="C426">
            <v>-5</v>
          </cell>
          <cell r="D426">
            <v>-4</v>
          </cell>
          <cell r="E426">
            <v>-3</v>
          </cell>
          <cell r="F426">
            <v>-2</v>
          </cell>
          <cell r="G426">
            <v>-1</v>
          </cell>
        </row>
      </sheetData>
      <sheetData sheetId="4"/>
      <sheetData sheetId="5"/>
      <sheetData sheetId="6"/>
      <sheetData sheetId="7"/>
      <sheetData sheetId="8"/>
      <sheetData sheetId="9" refreshError="1">
        <row r="2">
          <cell r="B2" t="str">
            <v xml:space="preserve">Budget assumptions for </v>
          </cell>
        </row>
        <row r="5">
          <cell r="B5" t="str">
            <v>Thousands</v>
          </cell>
          <cell r="C5">
            <v>-5</v>
          </cell>
          <cell r="D5">
            <v>-4</v>
          </cell>
          <cell r="E5">
            <v>-3</v>
          </cell>
          <cell r="F5">
            <v>-2</v>
          </cell>
          <cell r="G5">
            <v>-1</v>
          </cell>
        </row>
      </sheetData>
      <sheetData sheetId="10"/>
      <sheetData sheetId="11"/>
      <sheetData sheetId="12"/>
      <sheetData sheetId="13"/>
      <sheetData sheetId="14" refreshError="1">
        <row r="2">
          <cell r="B2" t="str">
            <v>Valuation</v>
          </cell>
        </row>
      </sheetData>
      <sheetData sheetId="15"/>
      <sheetData sheetId="16"/>
      <sheetData sheetId="17"/>
      <sheetData sheetId="18"/>
      <sheetData sheetId="19"/>
      <sheetData sheetId="20"/>
      <sheetData sheetId="21" refreshError="1">
        <row r="2">
          <cell r="B2" t="str">
            <v>Sensitivity analysis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ndleiding"/>
      <sheetName val="Legenda"/>
      <sheetName val="Tariefsopbouw"/>
      <sheetName val="Prestatie"/>
      <sheetName val="Programma"/>
      <sheetName val="Bouw m2"/>
      <sheetName val="GC"/>
      <sheetName val="RS"/>
      <sheetName val="normblad"/>
      <sheetName val="Recap"/>
      <sheetName val="Uurtarieven"/>
      <sheetName val="Toeslagen"/>
      <sheetName val="Percentages"/>
      <sheetName val="Extra werkzhdn"/>
      <sheetName val="San. Voorz."/>
      <sheetName val="Totalisatie"/>
      <sheetName val="Opgave m2 prijz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-1"/>
      <sheetName val="B-2"/>
      <sheetName val="C"/>
      <sheetName val="Totaal"/>
      <sheetName val="DT-inhoud"/>
      <sheetName val="DT-oppevl"/>
      <sheetName val="Laag 1"/>
      <sheetName val="BVO"/>
      <sheetName val="Categorie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eve vestigingen"/>
      <sheetName val="data"/>
      <sheetName val="inactieve vestigingen"/>
    </sheetNames>
    <sheetDataSet>
      <sheetData sheetId="0"/>
      <sheetData sheetId="1">
        <row r="1">
          <cell r="C1" t="str">
            <v>FTE</v>
          </cell>
        </row>
        <row r="2">
          <cell r="B2">
            <v>1</v>
          </cell>
          <cell r="C2">
            <v>6.9</v>
          </cell>
        </row>
        <row r="3">
          <cell r="B3">
            <v>2</v>
          </cell>
          <cell r="C3">
            <v>3.6</v>
          </cell>
        </row>
        <row r="4">
          <cell r="B4">
            <v>3</v>
          </cell>
          <cell r="C4">
            <v>9.5</v>
          </cell>
        </row>
        <row r="5">
          <cell r="B5">
            <v>11</v>
          </cell>
          <cell r="C5">
            <v>3.65</v>
          </cell>
        </row>
        <row r="6">
          <cell r="B6">
            <v>12</v>
          </cell>
          <cell r="C6">
            <v>3.6</v>
          </cell>
        </row>
        <row r="7">
          <cell r="B7">
            <v>14</v>
          </cell>
          <cell r="C7">
            <v>4.9000000000000004</v>
          </cell>
        </row>
        <row r="8">
          <cell r="B8">
            <v>20</v>
          </cell>
          <cell r="C8">
            <v>2.7</v>
          </cell>
        </row>
        <row r="9">
          <cell r="B9">
            <v>21</v>
          </cell>
          <cell r="C9">
            <v>4.55</v>
          </cell>
        </row>
        <row r="10">
          <cell r="B10">
            <v>23</v>
          </cell>
          <cell r="C10">
            <v>4.3</v>
          </cell>
        </row>
        <row r="11">
          <cell r="B11">
            <v>27</v>
          </cell>
          <cell r="C11">
            <v>3.9</v>
          </cell>
        </row>
        <row r="12">
          <cell r="B12">
            <v>28</v>
          </cell>
          <cell r="C12">
            <v>0.8</v>
          </cell>
        </row>
        <row r="13">
          <cell r="B13">
            <v>28</v>
          </cell>
          <cell r="C13">
            <v>4.8</v>
          </cell>
        </row>
        <row r="14">
          <cell r="B14">
            <v>29</v>
          </cell>
          <cell r="C14">
            <v>2.2000000000000002</v>
          </cell>
        </row>
        <row r="15">
          <cell r="B15">
            <v>30</v>
          </cell>
          <cell r="C15">
            <v>4</v>
          </cell>
        </row>
        <row r="16">
          <cell r="B16">
            <v>32</v>
          </cell>
          <cell r="C16">
            <v>2.5</v>
          </cell>
        </row>
        <row r="17">
          <cell r="B17">
            <v>50</v>
          </cell>
          <cell r="C17">
            <v>7</v>
          </cell>
        </row>
        <row r="18">
          <cell r="B18">
            <v>51</v>
          </cell>
          <cell r="C18">
            <v>2.4</v>
          </cell>
        </row>
        <row r="19">
          <cell r="B19">
            <v>52</v>
          </cell>
          <cell r="C19">
            <v>3.8</v>
          </cell>
        </row>
        <row r="20">
          <cell r="B20">
            <v>53</v>
          </cell>
          <cell r="C20">
            <v>2</v>
          </cell>
        </row>
        <row r="21">
          <cell r="B21">
            <v>54</v>
          </cell>
          <cell r="C21">
            <v>16.350000000000001</v>
          </cell>
        </row>
        <row r="22">
          <cell r="B22">
            <v>60</v>
          </cell>
          <cell r="C22">
            <v>4.9000000000000004</v>
          </cell>
        </row>
        <row r="23">
          <cell r="B23">
            <v>61</v>
          </cell>
          <cell r="C23">
            <v>1.6</v>
          </cell>
        </row>
        <row r="24">
          <cell r="B24">
            <v>62</v>
          </cell>
          <cell r="C24">
            <v>4.2</v>
          </cell>
        </row>
        <row r="25">
          <cell r="B25">
            <v>63</v>
          </cell>
          <cell r="C25">
            <v>3</v>
          </cell>
        </row>
        <row r="26">
          <cell r="B26">
            <v>65</v>
          </cell>
          <cell r="C26">
            <v>5.8</v>
          </cell>
        </row>
        <row r="27">
          <cell r="B27">
            <v>66</v>
          </cell>
          <cell r="C27">
            <v>2.5</v>
          </cell>
        </row>
        <row r="28">
          <cell r="B28">
            <v>69</v>
          </cell>
          <cell r="C28">
            <v>0.7</v>
          </cell>
        </row>
        <row r="29">
          <cell r="B29">
            <v>71</v>
          </cell>
          <cell r="C29">
            <v>2.6</v>
          </cell>
        </row>
        <row r="30">
          <cell r="B30">
            <v>72</v>
          </cell>
          <cell r="C30">
            <v>2.6</v>
          </cell>
        </row>
        <row r="31">
          <cell r="B31">
            <v>73</v>
          </cell>
          <cell r="C31">
            <v>2.7</v>
          </cell>
        </row>
        <row r="32">
          <cell r="B32">
            <v>73</v>
          </cell>
          <cell r="C32">
            <v>1</v>
          </cell>
        </row>
        <row r="33">
          <cell r="B33">
            <v>74</v>
          </cell>
          <cell r="C33">
            <v>4.9000000000000004</v>
          </cell>
        </row>
        <row r="34">
          <cell r="B34">
            <v>78</v>
          </cell>
          <cell r="C34">
            <v>7.7</v>
          </cell>
        </row>
        <row r="35">
          <cell r="B35">
            <v>79</v>
          </cell>
          <cell r="C35">
            <v>6.5</v>
          </cell>
        </row>
        <row r="36">
          <cell r="B36">
            <v>81</v>
          </cell>
          <cell r="C36">
            <v>0.8</v>
          </cell>
        </row>
        <row r="37">
          <cell r="B37">
            <v>97</v>
          </cell>
          <cell r="C37">
            <v>5.3</v>
          </cell>
        </row>
        <row r="38">
          <cell r="B38">
            <v>98</v>
          </cell>
          <cell r="C38">
            <v>6.1</v>
          </cell>
        </row>
        <row r="39">
          <cell r="B39">
            <v>98</v>
          </cell>
          <cell r="C39">
            <v>1</v>
          </cell>
        </row>
        <row r="40">
          <cell r="B40">
            <v>6102</v>
          </cell>
          <cell r="C40">
            <v>9.5299999999999994</v>
          </cell>
        </row>
        <row r="41">
          <cell r="B41">
            <v>6103</v>
          </cell>
          <cell r="C41">
            <v>5.6</v>
          </cell>
        </row>
        <row r="42">
          <cell r="B42">
            <v>6104</v>
          </cell>
          <cell r="C42">
            <v>7.45</v>
          </cell>
        </row>
        <row r="43">
          <cell r="B43">
            <v>6105</v>
          </cell>
          <cell r="C43">
            <v>3.4</v>
          </cell>
        </row>
        <row r="44">
          <cell r="B44">
            <v>6106</v>
          </cell>
          <cell r="C44">
            <v>3.7</v>
          </cell>
        </row>
        <row r="45">
          <cell r="B45">
            <v>6107</v>
          </cell>
          <cell r="C45">
            <v>4</v>
          </cell>
        </row>
        <row r="46">
          <cell r="B46">
            <v>6108</v>
          </cell>
          <cell r="C46">
            <v>2.65</v>
          </cell>
        </row>
        <row r="47">
          <cell r="B47">
            <v>6109</v>
          </cell>
          <cell r="C47">
            <v>18.8</v>
          </cell>
        </row>
        <row r="48">
          <cell r="B48">
            <v>6110</v>
          </cell>
          <cell r="C48">
            <v>3.8</v>
          </cell>
        </row>
        <row r="49">
          <cell r="B49">
            <v>6111</v>
          </cell>
          <cell r="C49">
            <v>4.3</v>
          </cell>
        </row>
        <row r="50">
          <cell r="B50">
            <v>6112</v>
          </cell>
          <cell r="C50">
            <v>2.5</v>
          </cell>
        </row>
        <row r="51">
          <cell r="B51">
            <v>6113</v>
          </cell>
          <cell r="C51">
            <v>7.1</v>
          </cell>
        </row>
        <row r="52">
          <cell r="B52">
            <v>6114</v>
          </cell>
          <cell r="C52">
            <v>7.08</v>
          </cell>
        </row>
        <row r="53">
          <cell r="B53">
            <v>6115</v>
          </cell>
          <cell r="C53">
            <v>9.5500000000000007</v>
          </cell>
        </row>
        <row r="54">
          <cell r="B54">
            <v>6116</v>
          </cell>
          <cell r="C54">
            <v>4.3</v>
          </cell>
        </row>
        <row r="55">
          <cell r="B55">
            <v>6117</v>
          </cell>
          <cell r="C55">
            <v>4.8</v>
          </cell>
        </row>
        <row r="56">
          <cell r="B56">
            <v>6119</v>
          </cell>
          <cell r="C56">
            <v>3.2</v>
          </cell>
        </row>
        <row r="57">
          <cell r="B57">
            <v>6120</v>
          </cell>
          <cell r="C57">
            <v>5.9</v>
          </cell>
        </row>
        <row r="58">
          <cell r="B58">
            <v>6121</v>
          </cell>
          <cell r="C58">
            <v>4.4000000000000004</v>
          </cell>
        </row>
        <row r="59">
          <cell r="B59">
            <v>6122</v>
          </cell>
          <cell r="C59">
            <v>4.2</v>
          </cell>
        </row>
        <row r="60">
          <cell r="B60">
            <v>6123</v>
          </cell>
          <cell r="C60">
            <v>10.199999999999999</v>
          </cell>
        </row>
        <row r="61">
          <cell r="B61">
            <v>6125</v>
          </cell>
          <cell r="C61">
            <v>8.92</v>
          </cell>
        </row>
        <row r="62">
          <cell r="B62">
            <v>6126</v>
          </cell>
          <cell r="C62">
            <v>5.6</v>
          </cell>
        </row>
        <row r="63">
          <cell r="B63">
            <v>6127</v>
          </cell>
          <cell r="C63">
            <v>5.4</v>
          </cell>
        </row>
        <row r="64">
          <cell r="B64">
            <v>6128</v>
          </cell>
          <cell r="C64">
            <v>8.9</v>
          </cell>
        </row>
        <row r="65">
          <cell r="B65">
            <v>6129</v>
          </cell>
          <cell r="C65">
            <v>7.6</v>
          </cell>
        </row>
        <row r="66">
          <cell r="B66">
            <v>6130</v>
          </cell>
          <cell r="C66">
            <v>3</v>
          </cell>
        </row>
        <row r="67">
          <cell r="B67">
            <v>6132</v>
          </cell>
          <cell r="C67">
            <v>5.0999999999999996</v>
          </cell>
        </row>
        <row r="68">
          <cell r="B68">
            <v>6133</v>
          </cell>
          <cell r="C68">
            <v>4.53</v>
          </cell>
        </row>
        <row r="69">
          <cell r="B69">
            <v>6134</v>
          </cell>
          <cell r="C69">
            <v>4.53</v>
          </cell>
        </row>
        <row r="70">
          <cell r="B70">
            <v>6135</v>
          </cell>
          <cell r="C70">
            <v>6.5</v>
          </cell>
        </row>
        <row r="71">
          <cell r="B71">
            <v>6136</v>
          </cell>
          <cell r="C71">
            <v>7.1</v>
          </cell>
        </row>
        <row r="72">
          <cell r="B72">
            <v>6137</v>
          </cell>
          <cell r="C72">
            <v>9.8000000000000007</v>
          </cell>
        </row>
        <row r="73">
          <cell r="B73">
            <v>6138</v>
          </cell>
          <cell r="C73">
            <v>3.9</v>
          </cell>
        </row>
        <row r="74">
          <cell r="B74">
            <v>6139</v>
          </cell>
          <cell r="C74">
            <v>1.6</v>
          </cell>
        </row>
        <row r="75">
          <cell r="B75">
            <v>6140</v>
          </cell>
          <cell r="C75">
            <v>10.6</v>
          </cell>
        </row>
        <row r="76">
          <cell r="B76">
            <v>6141</v>
          </cell>
          <cell r="C76">
            <v>4</v>
          </cell>
        </row>
        <row r="77">
          <cell r="B77">
            <v>6145</v>
          </cell>
          <cell r="C77">
            <v>11.75</v>
          </cell>
        </row>
        <row r="78">
          <cell r="B78">
            <v>6147</v>
          </cell>
          <cell r="C78">
            <v>5.0999999999999996</v>
          </cell>
        </row>
        <row r="79">
          <cell r="B79">
            <v>6148</v>
          </cell>
          <cell r="C79">
            <v>10.4</v>
          </cell>
        </row>
        <row r="80">
          <cell r="B80">
            <v>6149</v>
          </cell>
          <cell r="C80">
            <v>2</v>
          </cell>
        </row>
        <row r="81">
          <cell r="B81">
            <v>6151</v>
          </cell>
          <cell r="C81">
            <v>5.9</v>
          </cell>
        </row>
        <row r="82">
          <cell r="B82">
            <v>6152</v>
          </cell>
          <cell r="C82">
            <v>2</v>
          </cell>
        </row>
        <row r="83">
          <cell r="B83">
            <v>6153</v>
          </cell>
          <cell r="C83">
            <v>5.18</v>
          </cell>
        </row>
        <row r="84">
          <cell r="B84">
            <v>6154</v>
          </cell>
          <cell r="C84">
            <v>3.7</v>
          </cell>
        </row>
        <row r="85">
          <cell r="B85">
            <v>6155</v>
          </cell>
          <cell r="C85">
            <v>6.28</v>
          </cell>
        </row>
        <row r="86">
          <cell r="B86">
            <v>6156</v>
          </cell>
          <cell r="C86">
            <v>3</v>
          </cell>
        </row>
        <row r="87">
          <cell r="B87">
            <v>6157</v>
          </cell>
          <cell r="C87">
            <v>1.8</v>
          </cell>
        </row>
        <row r="88">
          <cell r="B88">
            <v>6158</v>
          </cell>
          <cell r="C88">
            <v>3.3</v>
          </cell>
        </row>
        <row r="89">
          <cell r="B89">
            <v>6159</v>
          </cell>
          <cell r="C89">
            <v>4</v>
          </cell>
        </row>
        <row r="90">
          <cell r="B90">
            <v>6160</v>
          </cell>
          <cell r="C90">
            <v>3.8</v>
          </cell>
        </row>
        <row r="91">
          <cell r="B91">
            <v>6161</v>
          </cell>
          <cell r="C91">
            <v>3.89</v>
          </cell>
        </row>
        <row r="92">
          <cell r="B92">
            <v>6162</v>
          </cell>
          <cell r="C92">
            <v>5</v>
          </cell>
        </row>
        <row r="93">
          <cell r="B93">
            <v>6163</v>
          </cell>
          <cell r="C93">
            <v>6.6</v>
          </cell>
        </row>
        <row r="94">
          <cell r="B94">
            <v>6164</v>
          </cell>
          <cell r="C94">
            <v>3.8</v>
          </cell>
        </row>
        <row r="95">
          <cell r="B95">
            <v>6165</v>
          </cell>
          <cell r="C95">
            <v>2.5</v>
          </cell>
        </row>
        <row r="96">
          <cell r="B96">
            <v>6166</v>
          </cell>
          <cell r="C96">
            <v>6.2</v>
          </cell>
        </row>
        <row r="97">
          <cell r="B97">
            <v>6167</v>
          </cell>
          <cell r="C97">
            <v>3.5</v>
          </cell>
        </row>
        <row r="98">
          <cell r="B98">
            <v>6170</v>
          </cell>
          <cell r="C98">
            <v>2.86</v>
          </cell>
        </row>
        <row r="99">
          <cell r="B99">
            <v>6171</v>
          </cell>
          <cell r="C99">
            <v>3.5</v>
          </cell>
        </row>
        <row r="100">
          <cell r="B100">
            <v>6172</v>
          </cell>
          <cell r="C100">
            <v>1.6</v>
          </cell>
        </row>
        <row r="101">
          <cell r="B101">
            <v>6173</v>
          </cell>
          <cell r="C101">
            <v>2</v>
          </cell>
        </row>
        <row r="102">
          <cell r="B102">
            <v>6174</v>
          </cell>
          <cell r="C102">
            <v>3.2</v>
          </cell>
        </row>
        <row r="103">
          <cell r="B103">
            <v>6175</v>
          </cell>
          <cell r="C103">
            <v>1.9</v>
          </cell>
        </row>
        <row r="104">
          <cell r="B104">
            <v>6176</v>
          </cell>
          <cell r="C104">
            <v>2.6</v>
          </cell>
        </row>
        <row r="105">
          <cell r="B105">
            <v>6177</v>
          </cell>
          <cell r="C105">
            <v>2.9</v>
          </cell>
        </row>
        <row r="106">
          <cell r="B106">
            <v>6178</v>
          </cell>
          <cell r="C106">
            <v>0.9</v>
          </cell>
        </row>
        <row r="107">
          <cell r="B107">
            <v>6179</v>
          </cell>
          <cell r="C107">
            <v>3.2</v>
          </cell>
        </row>
        <row r="108">
          <cell r="B108">
            <v>6180</v>
          </cell>
          <cell r="C108">
            <v>2.6</v>
          </cell>
        </row>
        <row r="109">
          <cell r="B109">
            <v>6181</v>
          </cell>
          <cell r="C109">
            <v>2.5</v>
          </cell>
        </row>
        <row r="110">
          <cell r="B110">
            <v>6182</v>
          </cell>
          <cell r="C110">
            <v>4.75</v>
          </cell>
        </row>
        <row r="111">
          <cell r="B111">
            <v>6183</v>
          </cell>
          <cell r="C111">
            <v>6.7</v>
          </cell>
        </row>
        <row r="112">
          <cell r="B112">
            <v>6187</v>
          </cell>
          <cell r="C112">
            <v>1.98</v>
          </cell>
        </row>
        <row r="113">
          <cell r="B113">
            <v>6188</v>
          </cell>
          <cell r="C113">
            <v>1.8</v>
          </cell>
        </row>
        <row r="114">
          <cell r="B114">
            <v>6189</v>
          </cell>
          <cell r="C114">
            <v>1.6</v>
          </cell>
        </row>
        <row r="115">
          <cell r="B115">
            <v>6190</v>
          </cell>
          <cell r="C115">
            <v>2.65</v>
          </cell>
        </row>
        <row r="116">
          <cell r="B116">
            <v>6191</v>
          </cell>
          <cell r="C116">
            <v>4</v>
          </cell>
        </row>
        <row r="117">
          <cell r="B117">
            <v>6193</v>
          </cell>
          <cell r="C117">
            <v>4</v>
          </cell>
        </row>
        <row r="118">
          <cell r="B118">
            <v>6195</v>
          </cell>
          <cell r="C118">
            <v>2.5</v>
          </cell>
        </row>
        <row r="119">
          <cell r="B119">
            <v>6196</v>
          </cell>
          <cell r="C119">
            <v>3</v>
          </cell>
        </row>
        <row r="120">
          <cell r="B120">
            <v>6197</v>
          </cell>
          <cell r="C120">
            <v>2.9</v>
          </cell>
        </row>
        <row r="121">
          <cell r="B121">
            <v>6199</v>
          </cell>
          <cell r="C121">
            <v>2.4</v>
          </cell>
        </row>
        <row r="122">
          <cell r="B122">
            <v>6200</v>
          </cell>
          <cell r="C122">
            <v>2.2999999999999998</v>
          </cell>
        </row>
        <row r="123">
          <cell r="B123">
            <v>6203</v>
          </cell>
          <cell r="C123">
            <v>2</v>
          </cell>
        </row>
        <row r="124">
          <cell r="B124">
            <v>6204</v>
          </cell>
          <cell r="C124">
            <v>2.6</v>
          </cell>
        </row>
        <row r="125">
          <cell r="B125">
            <v>6206</v>
          </cell>
          <cell r="C125">
            <v>1.5</v>
          </cell>
        </row>
        <row r="126">
          <cell r="B126">
            <v>6209</v>
          </cell>
          <cell r="C126">
            <v>2.9</v>
          </cell>
        </row>
        <row r="127">
          <cell r="B127">
            <v>6210</v>
          </cell>
          <cell r="C127">
            <v>1.4</v>
          </cell>
        </row>
        <row r="128">
          <cell r="B128">
            <v>6215</v>
          </cell>
          <cell r="C128">
            <v>1.65</v>
          </cell>
        </row>
        <row r="129">
          <cell r="B129">
            <v>6227</v>
          </cell>
          <cell r="C129">
            <v>1.55</v>
          </cell>
        </row>
        <row r="130">
          <cell r="B130">
            <v>6228</v>
          </cell>
          <cell r="C130">
            <v>0.6</v>
          </cell>
        </row>
        <row r="131">
          <cell r="B131">
            <v>6232</v>
          </cell>
          <cell r="C131">
            <v>1.5</v>
          </cell>
        </row>
        <row r="132">
          <cell r="B132">
            <v>6233</v>
          </cell>
          <cell r="C132">
            <v>1.9</v>
          </cell>
        </row>
        <row r="133">
          <cell r="B133">
            <v>6238</v>
          </cell>
          <cell r="C133">
            <v>3.8</v>
          </cell>
        </row>
        <row r="134">
          <cell r="B134">
            <v>6239</v>
          </cell>
          <cell r="C134">
            <v>1</v>
          </cell>
        </row>
        <row r="135">
          <cell r="B135">
            <v>6240</v>
          </cell>
          <cell r="C135">
            <v>3</v>
          </cell>
        </row>
        <row r="136">
          <cell r="B136">
            <v>6265</v>
          </cell>
          <cell r="C136">
            <v>3.7</v>
          </cell>
        </row>
        <row r="137">
          <cell r="B137">
            <v>6272</v>
          </cell>
          <cell r="C137">
            <v>3.8</v>
          </cell>
        </row>
        <row r="138">
          <cell r="B138">
            <v>6275</v>
          </cell>
          <cell r="C138">
            <v>1</v>
          </cell>
        </row>
        <row r="139">
          <cell r="B139">
            <v>6279</v>
          </cell>
          <cell r="C139">
            <v>1</v>
          </cell>
        </row>
        <row r="140">
          <cell r="B140">
            <v>6282</v>
          </cell>
          <cell r="C140">
            <v>3</v>
          </cell>
        </row>
        <row r="141">
          <cell r="B141">
            <v>6285</v>
          </cell>
          <cell r="C141">
            <v>11.81</v>
          </cell>
        </row>
        <row r="142">
          <cell r="B142">
            <v>6297</v>
          </cell>
          <cell r="C142">
            <v>1</v>
          </cell>
        </row>
        <row r="143">
          <cell r="B143">
            <v>6305</v>
          </cell>
          <cell r="C143">
            <v>0.8</v>
          </cell>
        </row>
        <row r="144">
          <cell r="B144">
            <v>6312</v>
          </cell>
          <cell r="C144">
            <v>5</v>
          </cell>
        </row>
        <row r="145">
          <cell r="B145">
            <v>6331</v>
          </cell>
          <cell r="C145">
            <v>1.9</v>
          </cell>
        </row>
        <row r="146">
          <cell r="B146">
            <v>6379</v>
          </cell>
          <cell r="C146">
            <v>1.8</v>
          </cell>
        </row>
        <row r="147">
          <cell r="B147">
            <v>6451</v>
          </cell>
          <cell r="C147">
            <v>1.4</v>
          </cell>
        </row>
        <row r="148">
          <cell r="B148">
            <v>6452</v>
          </cell>
          <cell r="C148">
            <v>2.4</v>
          </cell>
        </row>
        <row r="149">
          <cell r="B149">
            <v>6453</v>
          </cell>
          <cell r="C149">
            <v>2</v>
          </cell>
        </row>
        <row r="150">
          <cell r="B150">
            <v>6455</v>
          </cell>
          <cell r="C150">
            <v>2.14</v>
          </cell>
        </row>
        <row r="151">
          <cell r="B151">
            <v>6456</v>
          </cell>
          <cell r="C151">
            <v>1.8</v>
          </cell>
        </row>
        <row r="152">
          <cell r="B152">
            <v>6457</v>
          </cell>
          <cell r="C152">
            <v>2.6</v>
          </cell>
        </row>
        <row r="153">
          <cell r="B153">
            <v>6472</v>
          </cell>
          <cell r="C153">
            <v>1</v>
          </cell>
        </row>
        <row r="154">
          <cell r="B154">
            <v>6491</v>
          </cell>
          <cell r="C154">
            <v>1.6</v>
          </cell>
        </row>
        <row r="155">
          <cell r="B155">
            <v>6492</v>
          </cell>
          <cell r="C155">
            <v>7</v>
          </cell>
        </row>
        <row r="156">
          <cell r="B156">
            <v>6738</v>
          </cell>
          <cell r="C156">
            <v>1.1000000000000001</v>
          </cell>
        </row>
        <row r="157">
          <cell r="B157">
            <v>6740</v>
          </cell>
          <cell r="C157">
            <v>3.65</v>
          </cell>
        </row>
        <row r="158">
          <cell r="B158">
            <v>6809</v>
          </cell>
          <cell r="C158">
            <v>0.6</v>
          </cell>
        </row>
        <row r="159">
          <cell r="B159">
            <v>6811</v>
          </cell>
          <cell r="C159">
            <v>4.7</v>
          </cell>
        </row>
        <row r="160">
          <cell r="B160">
            <v>6812</v>
          </cell>
          <cell r="C160">
            <v>3.35</v>
          </cell>
        </row>
        <row r="161">
          <cell r="B161">
            <v>6814</v>
          </cell>
          <cell r="C161">
            <v>1</v>
          </cell>
        </row>
        <row r="162">
          <cell r="B162">
            <v>6815</v>
          </cell>
          <cell r="C162">
            <v>4.2</v>
          </cell>
        </row>
        <row r="163">
          <cell r="B163">
            <v>6819</v>
          </cell>
          <cell r="C163">
            <v>2.9</v>
          </cell>
        </row>
        <row r="164">
          <cell r="B164">
            <v>6828</v>
          </cell>
          <cell r="C164">
            <v>1.5</v>
          </cell>
        </row>
        <row r="165">
          <cell r="B165">
            <v>6831</v>
          </cell>
          <cell r="C165">
            <v>2.5</v>
          </cell>
        </row>
        <row r="166">
          <cell r="B166">
            <v>6844</v>
          </cell>
          <cell r="C166">
            <v>2.8</v>
          </cell>
        </row>
        <row r="167">
          <cell r="B167">
            <v>6907</v>
          </cell>
          <cell r="C167">
            <v>2</v>
          </cell>
        </row>
        <row r="168">
          <cell r="B168">
            <v>6914</v>
          </cell>
          <cell r="C168">
            <v>2.4500000000000002</v>
          </cell>
        </row>
        <row r="169">
          <cell r="B169">
            <v>6918</v>
          </cell>
          <cell r="C169">
            <v>1</v>
          </cell>
        </row>
        <row r="170">
          <cell r="B170">
            <v>6924</v>
          </cell>
          <cell r="C170">
            <v>1</v>
          </cell>
        </row>
        <row r="171">
          <cell r="B171">
            <v>6926</v>
          </cell>
          <cell r="C171">
            <v>0.9</v>
          </cell>
        </row>
        <row r="172">
          <cell r="B172">
            <v>6930</v>
          </cell>
          <cell r="C172">
            <v>3.5</v>
          </cell>
        </row>
        <row r="173">
          <cell r="B173">
            <v>6937</v>
          </cell>
          <cell r="C173">
            <v>1</v>
          </cell>
        </row>
        <row r="174">
          <cell r="B174">
            <v>6941</v>
          </cell>
          <cell r="C174">
            <v>1.6</v>
          </cell>
        </row>
        <row r="175">
          <cell r="B175">
            <v>6951</v>
          </cell>
          <cell r="C175">
            <v>0.8</v>
          </cell>
        </row>
        <row r="176">
          <cell r="B176">
            <v>6955</v>
          </cell>
          <cell r="C176">
            <v>0.6</v>
          </cell>
        </row>
        <row r="177">
          <cell r="B177">
            <v>6988</v>
          </cell>
          <cell r="C177">
            <v>4.5999999999999996</v>
          </cell>
        </row>
        <row r="178">
          <cell r="B178">
            <v>6989</v>
          </cell>
          <cell r="C178">
            <v>4.4000000000000004</v>
          </cell>
        </row>
        <row r="179">
          <cell r="B179">
            <v>6990</v>
          </cell>
          <cell r="C179">
            <v>4.2</v>
          </cell>
        </row>
        <row r="180">
          <cell r="B180">
            <v>6993</v>
          </cell>
          <cell r="C180">
            <v>3.6</v>
          </cell>
        </row>
        <row r="181">
          <cell r="B181">
            <v>6994</v>
          </cell>
          <cell r="C181">
            <v>3.88</v>
          </cell>
        </row>
        <row r="182">
          <cell r="B182">
            <v>6997</v>
          </cell>
          <cell r="C182">
            <v>4</v>
          </cell>
        </row>
        <row r="183">
          <cell r="B183">
            <v>6998</v>
          </cell>
          <cell r="C183">
            <v>2.98</v>
          </cell>
        </row>
        <row r="184">
          <cell r="B184">
            <v>6999</v>
          </cell>
          <cell r="C184">
            <v>5.8</v>
          </cell>
        </row>
        <row r="185">
          <cell r="B185">
            <v>7000</v>
          </cell>
          <cell r="C185">
            <v>1.9</v>
          </cell>
        </row>
        <row r="186">
          <cell r="B186">
            <v>7001</v>
          </cell>
          <cell r="C186">
            <v>5.8</v>
          </cell>
        </row>
        <row r="187">
          <cell r="B187">
            <v>7002</v>
          </cell>
          <cell r="C187">
            <v>2.8</v>
          </cell>
        </row>
        <row r="188">
          <cell r="B188">
            <v>7003</v>
          </cell>
          <cell r="C188">
            <v>2</v>
          </cell>
        </row>
        <row r="189">
          <cell r="B189">
            <v>7005</v>
          </cell>
          <cell r="C189">
            <v>2</v>
          </cell>
        </row>
        <row r="190">
          <cell r="B190">
            <v>7007</v>
          </cell>
          <cell r="C190">
            <v>3.35</v>
          </cell>
        </row>
        <row r="191">
          <cell r="B191">
            <v>7008</v>
          </cell>
          <cell r="C191">
            <v>3.45</v>
          </cell>
        </row>
        <row r="192">
          <cell r="B192">
            <v>7009</v>
          </cell>
          <cell r="C192">
            <v>4.0999999999999996</v>
          </cell>
        </row>
        <row r="193">
          <cell r="B193">
            <v>7010</v>
          </cell>
          <cell r="C193">
            <v>0.9</v>
          </cell>
        </row>
        <row r="194">
          <cell r="B194">
            <v>7011</v>
          </cell>
          <cell r="C194">
            <v>2.4</v>
          </cell>
        </row>
        <row r="195">
          <cell r="B195">
            <v>7012</v>
          </cell>
          <cell r="C195">
            <v>2</v>
          </cell>
        </row>
        <row r="196">
          <cell r="B196">
            <v>7013</v>
          </cell>
          <cell r="C196">
            <v>3</v>
          </cell>
        </row>
        <row r="197">
          <cell r="B197">
            <v>7015</v>
          </cell>
          <cell r="C197">
            <v>2.8</v>
          </cell>
        </row>
        <row r="198">
          <cell r="B198">
            <v>7016</v>
          </cell>
          <cell r="C198">
            <v>1.8</v>
          </cell>
        </row>
        <row r="199">
          <cell r="B199">
            <v>7017</v>
          </cell>
          <cell r="C199">
            <v>2</v>
          </cell>
        </row>
        <row r="200">
          <cell r="B200">
            <v>7021</v>
          </cell>
          <cell r="C200">
            <v>7.56</v>
          </cell>
        </row>
        <row r="201">
          <cell r="B201">
            <v>7022</v>
          </cell>
          <cell r="C201">
            <v>3.8</v>
          </cell>
        </row>
        <row r="202">
          <cell r="B202">
            <v>7029</v>
          </cell>
          <cell r="C202">
            <v>0.9</v>
          </cell>
        </row>
        <row r="203">
          <cell r="B203">
            <v>7030</v>
          </cell>
          <cell r="C203">
            <v>4.2</v>
          </cell>
        </row>
        <row r="204">
          <cell r="B204">
            <v>7031</v>
          </cell>
          <cell r="C204">
            <v>1.46</v>
          </cell>
        </row>
        <row r="205">
          <cell r="B205">
            <v>7042</v>
          </cell>
          <cell r="C205">
            <v>1</v>
          </cell>
        </row>
        <row r="206">
          <cell r="B206">
            <v>7043</v>
          </cell>
          <cell r="C206">
            <v>9.4</v>
          </cell>
        </row>
        <row r="207">
          <cell r="B207">
            <v>7044</v>
          </cell>
          <cell r="C207">
            <v>1</v>
          </cell>
        </row>
        <row r="208">
          <cell r="B208">
            <v>7056</v>
          </cell>
          <cell r="C208">
            <v>1.8</v>
          </cell>
        </row>
        <row r="209">
          <cell r="B209">
            <v>7062</v>
          </cell>
          <cell r="C209">
            <v>1.3</v>
          </cell>
        </row>
        <row r="210">
          <cell r="B210">
            <v>7071</v>
          </cell>
          <cell r="C210">
            <v>5.2</v>
          </cell>
        </row>
        <row r="211">
          <cell r="B211">
            <v>7073</v>
          </cell>
          <cell r="C211">
            <v>2.2999999999999998</v>
          </cell>
        </row>
        <row r="212">
          <cell r="B212">
            <v>7081</v>
          </cell>
          <cell r="C212">
            <v>3.6</v>
          </cell>
        </row>
        <row r="213">
          <cell r="B213">
            <v>7091</v>
          </cell>
          <cell r="C213">
            <v>2.5</v>
          </cell>
        </row>
        <row r="214">
          <cell r="B214">
            <v>7101</v>
          </cell>
          <cell r="C214">
            <v>5</v>
          </cell>
        </row>
        <row r="215">
          <cell r="B215">
            <v>7121</v>
          </cell>
          <cell r="C215">
            <v>2.96</v>
          </cell>
        </row>
        <row r="216">
          <cell r="B216">
            <v>7131</v>
          </cell>
          <cell r="C216">
            <v>6.45</v>
          </cell>
        </row>
        <row r="217">
          <cell r="B217">
            <v>7141</v>
          </cell>
          <cell r="C217">
            <v>2.98</v>
          </cell>
        </row>
        <row r="218">
          <cell r="B218">
            <v>7151</v>
          </cell>
          <cell r="C218">
            <v>3.6</v>
          </cell>
        </row>
        <row r="219">
          <cell r="B219">
            <v>7171</v>
          </cell>
          <cell r="C219">
            <v>9.68</v>
          </cell>
        </row>
        <row r="220">
          <cell r="B220">
            <v>7181</v>
          </cell>
          <cell r="C220">
            <v>4.7</v>
          </cell>
        </row>
        <row r="221">
          <cell r="B221">
            <v>7182</v>
          </cell>
          <cell r="C221">
            <v>3.7</v>
          </cell>
        </row>
        <row r="222">
          <cell r="B222">
            <v>7191</v>
          </cell>
          <cell r="C222">
            <v>8.1</v>
          </cell>
        </row>
        <row r="223">
          <cell r="B223">
            <v>7201</v>
          </cell>
          <cell r="C223">
            <v>8.1999999999999993</v>
          </cell>
        </row>
        <row r="224">
          <cell r="B224">
            <v>7211</v>
          </cell>
          <cell r="C224">
            <v>10.3</v>
          </cell>
        </row>
        <row r="225">
          <cell r="B225">
            <v>7221</v>
          </cell>
          <cell r="C225">
            <v>7.51</v>
          </cell>
        </row>
        <row r="226">
          <cell r="B226">
            <v>7226</v>
          </cell>
          <cell r="C226">
            <v>3.79</v>
          </cell>
        </row>
        <row r="227">
          <cell r="B227">
            <v>7231</v>
          </cell>
          <cell r="C227">
            <v>1</v>
          </cell>
        </row>
        <row r="228">
          <cell r="B228">
            <v>7241</v>
          </cell>
          <cell r="C228">
            <v>0.53</v>
          </cell>
        </row>
        <row r="229">
          <cell r="B229">
            <v>7251</v>
          </cell>
          <cell r="C229">
            <v>10.1</v>
          </cell>
        </row>
        <row r="230">
          <cell r="B230">
            <v>7252</v>
          </cell>
          <cell r="C230">
            <v>2.3199999999999998</v>
          </cell>
        </row>
        <row r="231">
          <cell r="B231">
            <v>7261</v>
          </cell>
          <cell r="C231">
            <v>2.2999999999999998</v>
          </cell>
        </row>
        <row r="232">
          <cell r="B232">
            <v>7271</v>
          </cell>
          <cell r="C232">
            <v>1.5</v>
          </cell>
        </row>
        <row r="233">
          <cell r="B233">
            <v>7281</v>
          </cell>
          <cell r="C233">
            <v>2.5</v>
          </cell>
        </row>
        <row r="234">
          <cell r="B234">
            <v>7283</v>
          </cell>
          <cell r="C234">
            <v>3.75</v>
          </cell>
        </row>
        <row r="235">
          <cell r="B235">
            <v>7291</v>
          </cell>
          <cell r="C235">
            <v>8.81</v>
          </cell>
        </row>
        <row r="236">
          <cell r="B236">
            <v>7301</v>
          </cell>
          <cell r="C236">
            <v>5.64</v>
          </cell>
        </row>
        <row r="237">
          <cell r="B237">
            <v>7311</v>
          </cell>
          <cell r="C237">
            <v>1.3</v>
          </cell>
        </row>
        <row r="238">
          <cell r="B238">
            <v>7351</v>
          </cell>
          <cell r="C238">
            <v>5.3</v>
          </cell>
        </row>
        <row r="239">
          <cell r="B239">
            <v>7352</v>
          </cell>
          <cell r="C239">
            <v>2.8</v>
          </cell>
        </row>
        <row r="240">
          <cell r="B240">
            <v>7372</v>
          </cell>
          <cell r="C240">
            <v>2</v>
          </cell>
        </row>
        <row r="241">
          <cell r="B241">
            <v>7375</v>
          </cell>
          <cell r="C241">
            <v>1</v>
          </cell>
        </row>
        <row r="242">
          <cell r="B242">
            <v>7392</v>
          </cell>
          <cell r="C242">
            <v>4.0999999999999996</v>
          </cell>
        </row>
        <row r="243">
          <cell r="B243">
            <v>7541</v>
          </cell>
          <cell r="C243">
            <v>1.9</v>
          </cell>
        </row>
        <row r="244">
          <cell r="B244">
            <v>7543</v>
          </cell>
          <cell r="C244">
            <v>1</v>
          </cell>
        </row>
        <row r="245">
          <cell r="B245">
            <v>9009</v>
          </cell>
          <cell r="C245">
            <v>3.3</v>
          </cell>
        </row>
        <row r="246">
          <cell r="B246">
            <v>9011</v>
          </cell>
          <cell r="C246">
            <v>4.7</v>
          </cell>
        </row>
        <row r="247">
          <cell r="B247">
            <v>9017</v>
          </cell>
          <cell r="C247">
            <v>3.8</v>
          </cell>
        </row>
        <row r="248">
          <cell r="B248">
            <v>9201</v>
          </cell>
          <cell r="C248">
            <v>2.9</v>
          </cell>
        </row>
        <row r="249">
          <cell r="B249">
            <v>9203</v>
          </cell>
          <cell r="C249">
            <v>2.8</v>
          </cell>
        </row>
        <row r="250">
          <cell r="B250">
            <v>9204</v>
          </cell>
          <cell r="C250">
            <v>2.9</v>
          </cell>
        </row>
        <row r="251">
          <cell r="B251">
            <v>9205</v>
          </cell>
          <cell r="C251">
            <v>1.9</v>
          </cell>
        </row>
        <row r="252">
          <cell r="B252">
            <v>9206</v>
          </cell>
          <cell r="C252">
            <v>1.9</v>
          </cell>
        </row>
        <row r="253">
          <cell r="B253">
            <v>9207</v>
          </cell>
          <cell r="C253">
            <v>5</v>
          </cell>
        </row>
        <row r="254">
          <cell r="B254">
            <v>9209</v>
          </cell>
          <cell r="C254">
            <v>1.9</v>
          </cell>
        </row>
        <row r="255">
          <cell r="B255">
            <v>9213</v>
          </cell>
          <cell r="C255">
            <v>2.6</v>
          </cell>
        </row>
        <row r="256">
          <cell r="B256">
            <v>9214</v>
          </cell>
          <cell r="C256">
            <v>1.8</v>
          </cell>
        </row>
        <row r="257">
          <cell r="B257">
            <v>9216</v>
          </cell>
          <cell r="C257">
            <v>1.4</v>
          </cell>
        </row>
        <row r="258">
          <cell r="B258">
            <v>9217</v>
          </cell>
          <cell r="C258">
            <v>2.7</v>
          </cell>
        </row>
        <row r="259">
          <cell r="B259">
            <v>9218</v>
          </cell>
          <cell r="C259">
            <v>4</v>
          </cell>
        </row>
        <row r="260">
          <cell r="B260">
            <v>9220</v>
          </cell>
          <cell r="C260">
            <v>2.7</v>
          </cell>
        </row>
        <row r="261">
          <cell r="B261">
            <v>9221</v>
          </cell>
          <cell r="C261">
            <v>3.29</v>
          </cell>
        </row>
        <row r="262">
          <cell r="B262">
            <v>9222</v>
          </cell>
          <cell r="C262">
            <v>4.78</v>
          </cell>
        </row>
        <row r="263">
          <cell r="B263">
            <v>9223</v>
          </cell>
          <cell r="C263">
            <v>1.5</v>
          </cell>
        </row>
        <row r="264">
          <cell r="B264">
            <v>9224</v>
          </cell>
          <cell r="C264">
            <v>2.4</v>
          </cell>
        </row>
        <row r="265">
          <cell r="B265">
            <v>9225</v>
          </cell>
          <cell r="C265">
            <v>2.4</v>
          </cell>
        </row>
        <row r="266">
          <cell r="B266">
            <v>9226</v>
          </cell>
          <cell r="C266">
            <v>1.2</v>
          </cell>
        </row>
        <row r="267">
          <cell r="B267">
            <v>9228</v>
          </cell>
          <cell r="C267">
            <v>1.5</v>
          </cell>
        </row>
        <row r="268">
          <cell r="B268">
            <v>9505</v>
          </cell>
          <cell r="C268">
            <v>28.5</v>
          </cell>
        </row>
        <row r="269">
          <cell r="B269">
            <v>9506</v>
          </cell>
          <cell r="C269">
            <v>33.56</v>
          </cell>
        </row>
        <row r="270">
          <cell r="B270">
            <v>9507</v>
          </cell>
          <cell r="C270">
            <v>5.6</v>
          </cell>
        </row>
      </sheetData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Voortgang"/>
      <sheetName val="aanpassingen"/>
      <sheetName val="Prijsbladen"/>
      <sheetName val="vanaf hier printen"/>
      <sheetName val="Toelichting begroting 2005"/>
      <sheetName val="Totaal kostenoverzicht 2005"/>
      <sheetName val="Tarieven"/>
      <sheetName val="overzicht vaste bonnen 2005"/>
      <sheetName val="overzicht uren totaal 2004"/>
      <sheetName val="Afschrijving mach. + materiaal"/>
      <sheetName val="glasbewassing"/>
      <sheetName val="inloopmatten"/>
      <sheetName val="hygiëne containers"/>
      <sheetName val="tot hier printen"/>
      <sheetName val="2004 amve"/>
      <sheetName val="kengetal afd."/>
      <sheetName val="kengetal cleanroom overig"/>
      <sheetName val="kengetal WWP per rmt."/>
      <sheetName val="kengetal WWP dag-avond"/>
      <sheetName val="kengetal radiologische labs"/>
      <sheetName val="mid-mat-kleding-inleen-glas"/>
      <sheetName val="Kompas 2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verzamelblad"/>
      <sheetName val="basisgegevens opdrachtgever"/>
      <sheetName val="basisgegevens bestek contract"/>
      <sheetName val="basisgegevens aannemer"/>
      <sheetName val="uurtariefopbouw"/>
      <sheetName val="overige m2 prijzen"/>
      <sheetName val="10-101"/>
      <sheetName val="10-102"/>
      <sheetName val="10-103"/>
      <sheetName val="10-104"/>
      <sheetName val="10-105"/>
      <sheetName val="10-106"/>
      <sheetName val="10-107"/>
      <sheetName val="10-108"/>
      <sheetName val="10-109"/>
      <sheetName val="10-110"/>
      <sheetName val="10-111"/>
      <sheetName val="10-112"/>
      <sheetName val="10-113"/>
      <sheetName val="10-114"/>
      <sheetName val="10-115"/>
      <sheetName val="10-116"/>
      <sheetName val="10-117"/>
      <sheetName val="10-118"/>
      <sheetName val="10-119"/>
      <sheetName val="10-120"/>
      <sheetName val="10-121"/>
      <sheetName val="10-122"/>
      <sheetName val="10-123"/>
      <sheetName val="10-124"/>
      <sheetName val="10-125"/>
      <sheetName val="10-126"/>
      <sheetName val="10-127"/>
      <sheetName val="10-128"/>
      <sheetName val="10-129"/>
      <sheetName val="10-130"/>
      <sheetName val="10-131"/>
      <sheetName val="10-132"/>
      <sheetName val="10-133"/>
      <sheetName val="10-134"/>
      <sheetName val="Uitvoergegevens"/>
      <sheetName val="Inhoud"/>
      <sheetName val="Samenvatting"/>
      <sheetName val="Inschrijfbiljet 1"/>
      <sheetName val="Inschrijfbiljet 2"/>
      <sheetName val="Inschrijfbiljet 3"/>
      <sheetName val="Inschrijfbiljet 4"/>
      <sheetName val="Inschrijfbiljet 5"/>
      <sheetName val="Blad50"/>
      <sheetName val="Blad51"/>
      <sheetName val="Blad52"/>
    </sheetNames>
    <sheetDataSet>
      <sheetData sheetId="0" refreshError="1"/>
      <sheetData sheetId="1">
        <row r="2">
          <cell r="A2" t="str">
            <v>besteknummer</v>
          </cell>
          <cell r="B2" t="str">
            <v>locatie</v>
          </cell>
          <cell r="C2" t="str">
            <v>plaats</v>
          </cell>
          <cell r="D2" t="str">
            <v>maandbedrag</v>
          </cell>
          <cell r="E2" t="str">
            <v>jaaruren</v>
          </cell>
          <cell r="F2" t="str">
            <v>5/5 - 1/5 - 1/20</v>
          </cell>
          <cell r="G2" t="str">
            <v>uren</v>
          </cell>
          <cell r="H2" t="str">
            <v>kwartaal</v>
          </cell>
          <cell r="I2" t="str">
            <v>uren</v>
          </cell>
          <cell r="J2" t="str">
            <v>jaar</v>
          </cell>
          <cell r="K2" t="str">
            <v>uren</v>
          </cell>
          <cell r="L2" t="str">
            <v>sprayen m2</v>
          </cell>
          <cell r="M2" t="str">
            <v>sprayen prijs</v>
          </cell>
          <cell r="N2" t="str">
            <v>polymeren prijs</v>
          </cell>
          <cell r="O2" t="str">
            <v>conserveren prijs</v>
          </cell>
          <cell r="P2" t="str">
            <v>glas incl</v>
          </cell>
          <cell r="Q2" t="str">
            <v>glas excl</v>
          </cell>
          <cell r="R2" t="str">
            <v>buitenglas</v>
          </cell>
          <cell r="S2" t="str">
            <v>binnenglas</v>
          </cell>
          <cell r="T2" t="str">
            <v>separatieglas</v>
          </cell>
          <cell r="U2" t="str">
            <v>koepelglas</v>
          </cell>
          <cell r="V2" t="str">
            <v>gevelbeplating</v>
          </cell>
          <cell r="W2" t="str">
            <v>A HF</v>
          </cell>
          <cell r="X2" t="str">
            <v>A LF</v>
          </cell>
          <cell r="Y2" t="str">
            <v>B HF</v>
          </cell>
          <cell r="Z2" t="str">
            <v>B LF</v>
          </cell>
          <cell r="AA2" t="str">
            <v>C HF</v>
          </cell>
          <cell r="AB2" t="str">
            <v>C LF</v>
          </cell>
          <cell r="AC2" t="str">
            <v>D HF</v>
          </cell>
          <cell r="AD2" t="str">
            <v>D LF</v>
          </cell>
          <cell r="AE2" t="str">
            <v>E HF</v>
          </cell>
          <cell r="AF2" t="str">
            <v>E LF</v>
          </cell>
          <cell r="AG2" t="str">
            <v>E1 HF</v>
          </cell>
          <cell r="AH2" t="str">
            <v>E1 LF</v>
          </cell>
          <cell r="AI2" t="str">
            <v>E2 HF</v>
          </cell>
          <cell r="AJ2" t="str">
            <v>E2 LF</v>
          </cell>
          <cell r="AK2" t="str">
            <v>F HF</v>
          </cell>
          <cell r="AL2" t="str">
            <v>F LF</v>
          </cell>
          <cell r="AM2" t="str">
            <v>F1 HF</v>
          </cell>
          <cell r="AN2" t="str">
            <v>F1 LF</v>
          </cell>
          <cell r="AO2" t="str">
            <v>F2 HF</v>
          </cell>
          <cell r="AP2" t="str">
            <v>F2 LF</v>
          </cell>
          <cell r="AQ2" t="str">
            <v>G HF</v>
          </cell>
          <cell r="AR2" t="str">
            <v>G LF</v>
          </cell>
          <cell r="AS2" t="str">
            <v>Inspectie</v>
          </cell>
          <cell r="AT2" t="str">
            <v>cat</v>
          </cell>
          <cell r="AU2" t="str">
            <v>hf</v>
          </cell>
          <cell r="AV2" t="str">
            <v>lf</v>
          </cell>
          <cell r="AW2" t="str">
            <v>cat</v>
          </cell>
          <cell r="AX2" t="str">
            <v>hf</v>
          </cell>
          <cell r="AY2" t="str">
            <v>lf</v>
          </cell>
          <cell r="AZ2" t="str">
            <v>cat</v>
          </cell>
          <cell r="BA2" t="str">
            <v>hf</v>
          </cell>
          <cell r="BB2" t="str">
            <v>lf</v>
          </cell>
          <cell r="BC2" t="str">
            <v>cat</v>
          </cell>
          <cell r="BD2" t="str">
            <v>hf</v>
          </cell>
          <cell r="BE2" t="str">
            <v>lf</v>
          </cell>
          <cell r="BF2" t="str">
            <v>cat</v>
          </cell>
          <cell r="BG2" t="str">
            <v>hf</v>
          </cell>
          <cell r="BH2" t="str">
            <v>lf</v>
          </cell>
          <cell r="BI2" t="str">
            <v>cat</v>
          </cell>
          <cell r="BJ2" t="str">
            <v>hf</v>
          </cell>
          <cell r="BK2" t="str">
            <v>lf</v>
          </cell>
          <cell r="BL2" t="str">
            <v>cat</v>
          </cell>
          <cell r="BM2" t="str">
            <v>hf</v>
          </cell>
          <cell r="BN2" t="str">
            <v>lf</v>
          </cell>
          <cell r="BO2" t="str">
            <v>cat</v>
          </cell>
          <cell r="BP2" t="str">
            <v>hf</v>
          </cell>
          <cell r="BQ2" t="str">
            <v>lf</v>
          </cell>
          <cell r="BR2" t="str">
            <v>cat</v>
          </cell>
          <cell r="BS2" t="str">
            <v>hf</v>
          </cell>
          <cell r="BT2" t="str">
            <v>lf</v>
          </cell>
          <cell r="BU2" t="str">
            <v>cat</v>
          </cell>
          <cell r="BV2" t="str">
            <v>hf</v>
          </cell>
          <cell r="BW2" t="str">
            <v>lf</v>
          </cell>
          <cell r="BX2" t="str">
            <v>cat</v>
          </cell>
          <cell r="BY2" t="str">
            <v>hf</v>
          </cell>
          <cell r="BZ2" t="str">
            <v>lf</v>
          </cell>
        </row>
        <row r="3">
          <cell r="A3" t="str">
            <v>10-401</v>
          </cell>
          <cell r="B3" t="str">
            <v xml:space="preserve">Abt Emoschool </v>
          </cell>
          <cell r="C3" t="str">
            <v>Huizingerweg 7a, Westeremden</v>
          </cell>
          <cell r="D3">
            <v>0</v>
          </cell>
          <cell r="E3"/>
          <cell r="F3">
            <v>0</v>
          </cell>
          <cell r="G3"/>
          <cell r="H3">
            <v>0</v>
          </cell>
          <cell r="I3"/>
          <cell r="J3">
            <v>0</v>
          </cell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/>
          <cell r="AH3"/>
          <cell r="AI3"/>
          <cell r="AJ3"/>
          <cell r="AK3">
            <v>0</v>
          </cell>
          <cell r="AL3">
            <v>0</v>
          </cell>
          <cell r="AM3"/>
          <cell r="AN3"/>
          <cell r="AO3"/>
          <cell r="AP3"/>
          <cell r="AQ3">
            <v>0</v>
          </cell>
          <cell r="AR3">
            <v>0</v>
          </cell>
          <cell r="AS3">
            <v>0</v>
          </cell>
          <cell r="AT3" t="str">
            <v>A</v>
          </cell>
          <cell r="AU3"/>
          <cell r="AV3"/>
          <cell r="AW3" t="str">
            <v>B</v>
          </cell>
          <cell r="AX3"/>
          <cell r="AY3"/>
          <cell r="AZ3" t="str">
            <v>C</v>
          </cell>
          <cell r="BA3"/>
          <cell r="BB3"/>
          <cell r="BC3" t="str">
            <v>D</v>
          </cell>
          <cell r="BD3"/>
          <cell r="BE3"/>
          <cell r="BF3" t="str">
            <v>E</v>
          </cell>
          <cell r="BG3"/>
          <cell r="BH3"/>
          <cell r="BI3" t="str">
            <v>F</v>
          </cell>
          <cell r="BJ3"/>
          <cell r="BK3"/>
          <cell r="BL3" t="str">
            <v>G</v>
          </cell>
          <cell r="BM3"/>
          <cell r="BN3"/>
          <cell r="BO3"/>
          <cell r="BP3"/>
          <cell r="BQ3"/>
          <cell r="BR3"/>
          <cell r="BS3"/>
          <cell r="BT3"/>
          <cell r="BU3"/>
          <cell r="BV3"/>
          <cell r="BW3"/>
          <cell r="BX3"/>
          <cell r="BY3"/>
          <cell r="BZ3"/>
        </row>
        <row r="4">
          <cell r="A4" t="str">
            <v>10-402</v>
          </cell>
          <cell r="B4" t="str">
            <v xml:space="preserve">Brandaris </v>
          </cell>
          <cell r="C4" t="str">
            <v>Huibertplaat 2, Delfzijl</v>
          </cell>
          <cell r="D4">
            <v>0</v>
          </cell>
          <cell r="E4"/>
          <cell r="F4">
            <v>0</v>
          </cell>
          <cell r="G4"/>
          <cell r="H4">
            <v>0</v>
          </cell>
          <cell r="I4"/>
          <cell r="J4">
            <v>0</v>
          </cell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/>
          <cell r="AH4"/>
          <cell r="AI4"/>
          <cell r="AJ4"/>
          <cell r="AK4">
            <v>0</v>
          </cell>
          <cell r="AL4">
            <v>0</v>
          </cell>
          <cell r="AM4"/>
          <cell r="AN4"/>
          <cell r="AO4"/>
          <cell r="AP4"/>
          <cell r="AQ4">
            <v>0</v>
          </cell>
          <cell r="AR4">
            <v>0</v>
          </cell>
          <cell r="AS4">
            <v>0</v>
          </cell>
          <cell r="AT4" t="str">
            <v>A</v>
          </cell>
          <cell r="AU4"/>
          <cell r="AV4"/>
          <cell r="AW4" t="str">
            <v>B</v>
          </cell>
          <cell r="AX4"/>
          <cell r="AY4"/>
          <cell r="AZ4" t="str">
            <v>C</v>
          </cell>
          <cell r="BA4"/>
          <cell r="BB4"/>
          <cell r="BC4" t="str">
            <v>D</v>
          </cell>
          <cell r="BD4"/>
          <cell r="BE4"/>
          <cell r="BF4" t="str">
            <v>E</v>
          </cell>
          <cell r="BG4"/>
          <cell r="BH4"/>
          <cell r="BI4" t="str">
            <v>F</v>
          </cell>
          <cell r="BJ4"/>
          <cell r="BK4"/>
          <cell r="BL4" t="str">
            <v>G</v>
          </cell>
          <cell r="BM4"/>
          <cell r="BN4"/>
          <cell r="BO4"/>
          <cell r="BP4"/>
          <cell r="BQ4"/>
          <cell r="BR4"/>
          <cell r="BS4"/>
          <cell r="BT4"/>
          <cell r="BU4"/>
          <cell r="BV4"/>
          <cell r="BW4"/>
          <cell r="BX4"/>
          <cell r="BY4"/>
          <cell r="BZ4"/>
        </row>
        <row r="5">
          <cell r="A5" t="str">
            <v>10-403</v>
          </cell>
          <cell r="B5" t="str">
            <v xml:space="preserve">De Bongerd </v>
          </cell>
          <cell r="C5" t="str">
            <v>Hilmaarweg 48, Stedum</v>
          </cell>
          <cell r="D5">
            <v>0</v>
          </cell>
          <cell r="E5"/>
          <cell r="F5">
            <v>0</v>
          </cell>
          <cell r="G5"/>
          <cell r="H5">
            <v>0</v>
          </cell>
          <cell r="I5"/>
          <cell r="J5">
            <v>0</v>
          </cell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/>
          <cell r="AH5"/>
          <cell r="AI5"/>
          <cell r="AJ5"/>
          <cell r="AK5">
            <v>0</v>
          </cell>
          <cell r="AL5">
            <v>0</v>
          </cell>
          <cell r="AM5"/>
          <cell r="AN5"/>
          <cell r="AO5"/>
          <cell r="AP5"/>
          <cell r="AQ5">
            <v>0</v>
          </cell>
          <cell r="AR5">
            <v>0</v>
          </cell>
          <cell r="AS5">
            <v>0</v>
          </cell>
          <cell r="AT5" t="str">
            <v>A</v>
          </cell>
          <cell r="AU5"/>
          <cell r="AV5"/>
          <cell r="AW5" t="str">
            <v>B</v>
          </cell>
          <cell r="AX5"/>
          <cell r="AY5"/>
          <cell r="AZ5" t="str">
            <v>C</v>
          </cell>
          <cell r="BA5"/>
          <cell r="BB5"/>
          <cell r="BC5" t="str">
            <v>D</v>
          </cell>
          <cell r="BD5"/>
          <cell r="BE5"/>
          <cell r="BF5" t="str">
            <v>E</v>
          </cell>
          <cell r="BG5"/>
          <cell r="BH5"/>
          <cell r="BI5" t="str">
            <v>F</v>
          </cell>
          <cell r="BJ5"/>
          <cell r="BK5"/>
          <cell r="BL5" t="str">
            <v>G</v>
          </cell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</row>
        <row r="6">
          <cell r="A6" t="str">
            <v>10-404</v>
          </cell>
          <cell r="B6" t="str">
            <v xml:space="preserve">De Huifkar Ten Boer </v>
          </cell>
          <cell r="C6" t="str">
            <v>Kievitstraat 6, Ten Boer</v>
          </cell>
          <cell r="D6">
            <v>0</v>
          </cell>
          <cell r="E6"/>
          <cell r="F6">
            <v>0</v>
          </cell>
          <cell r="G6"/>
          <cell r="H6">
            <v>0</v>
          </cell>
          <cell r="I6"/>
          <cell r="J6">
            <v>0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/>
          <cell r="AH6"/>
          <cell r="AI6"/>
          <cell r="AJ6"/>
          <cell r="AK6">
            <v>0</v>
          </cell>
          <cell r="AL6">
            <v>0</v>
          </cell>
          <cell r="AM6"/>
          <cell r="AN6"/>
          <cell r="AO6"/>
          <cell r="AP6"/>
          <cell r="AQ6">
            <v>0</v>
          </cell>
          <cell r="AR6">
            <v>0</v>
          </cell>
          <cell r="AS6">
            <v>0</v>
          </cell>
          <cell r="AT6" t="str">
            <v>A</v>
          </cell>
          <cell r="AU6"/>
          <cell r="AV6"/>
          <cell r="AW6" t="str">
            <v>B</v>
          </cell>
          <cell r="AX6"/>
          <cell r="AY6"/>
          <cell r="AZ6" t="str">
            <v>C</v>
          </cell>
          <cell r="BA6"/>
          <cell r="BB6"/>
          <cell r="BC6" t="str">
            <v>D</v>
          </cell>
          <cell r="BD6"/>
          <cell r="BE6"/>
          <cell r="BF6" t="str">
            <v>E</v>
          </cell>
          <cell r="BG6"/>
          <cell r="BH6"/>
          <cell r="BI6" t="str">
            <v>F</v>
          </cell>
          <cell r="BJ6"/>
          <cell r="BK6"/>
          <cell r="BL6" t="str">
            <v>G</v>
          </cell>
          <cell r="BM6"/>
          <cell r="BN6"/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/>
        </row>
        <row r="7">
          <cell r="A7" t="str">
            <v>10-405</v>
          </cell>
          <cell r="B7" t="str">
            <v xml:space="preserve">De Huifkar Woltersum </v>
          </cell>
          <cell r="C7" t="str">
            <v>Kerkpad 10, Woltersum</v>
          </cell>
          <cell r="D7">
            <v>0</v>
          </cell>
          <cell r="E7"/>
          <cell r="F7">
            <v>0</v>
          </cell>
          <cell r="G7"/>
          <cell r="H7">
            <v>0</v>
          </cell>
          <cell r="I7"/>
          <cell r="J7">
            <v>0</v>
          </cell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/>
          <cell r="AH7"/>
          <cell r="AI7"/>
          <cell r="AJ7"/>
          <cell r="AK7">
            <v>0</v>
          </cell>
          <cell r="AL7">
            <v>0</v>
          </cell>
          <cell r="AM7"/>
          <cell r="AN7"/>
          <cell r="AO7"/>
          <cell r="AP7"/>
          <cell r="AQ7">
            <v>0</v>
          </cell>
          <cell r="AR7">
            <v>0</v>
          </cell>
          <cell r="AS7">
            <v>0</v>
          </cell>
          <cell r="AT7" t="str">
            <v>A</v>
          </cell>
          <cell r="AU7"/>
          <cell r="AV7"/>
          <cell r="AW7" t="str">
            <v>B</v>
          </cell>
          <cell r="AX7"/>
          <cell r="AY7"/>
          <cell r="AZ7" t="str">
            <v>C</v>
          </cell>
          <cell r="BA7"/>
          <cell r="BB7"/>
          <cell r="BC7" t="str">
            <v>D</v>
          </cell>
          <cell r="BD7"/>
          <cell r="BE7"/>
          <cell r="BF7" t="str">
            <v>E</v>
          </cell>
          <cell r="BG7"/>
          <cell r="BH7"/>
          <cell r="BI7" t="str">
            <v>F</v>
          </cell>
          <cell r="BJ7"/>
          <cell r="BK7"/>
          <cell r="BL7" t="str">
            <v>G</v>
          </cell>
          <cell r="BM7"/>
          <cell r="BN7"/>
          <cell r="BO7"/>
          <cell r="BP7"/>
          <cell r="BQ7"/>
          <cell r="BR7"/>
          <cell r="BS7"/>
          <cell r="BT7"/>
          <cell r="BU7"/>
          <cell r="BV7"/>
          <cell r="BW7"/>
          <cell r="BX7"/>
          <cell r="BY7"/>
          <cell r="BZ7"/>
        </row>
        <row r="8">
          <cell r="A8" t="str">
            <v>10-406</v>
          </cell>
          <cell r="B8" t="str">
            <v xml:space="preserve">De Iemekörf </v>
          </cell>
          <cell r="C8" t="str">
            <v>Mr A.T. Voslaan 11, Appingedam</v>
          </cell>
          <cell r="D8">
            <v>0</v>
          </cell>
          <cell r="E8"/>
          <cell r="F8">
            <v>0</v>
          </cell>
          <cell r="G8"/>
          <cell r="H8">
            <v>0</v>
          </cell>
          <cell r="I8"/>
          <cell r="J8">
            <v>0</v>
          </cell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/>
          <cell r="AH8"/>
          <cell r="AI8"/>
          <cell r="AJ8"/>
          <cell r="AK8">
            <v>0</v>
          </cell>
          <cell r="AL8">
            <v>0</v>
          </cell>
          <cell r="AM8"/>
          <cell r="AN8"/>
          <cell r="AO8"/>
          <cell r="AP8"/>
          <cell r="AQ8">
            <v>0</v>
          </cell>
          <cell r="AR8">
            <v>0</v>
          </cell>
          <cell r="AS8">
            <v>0</v>
          </cell>
          <cell r="AT8" t="str">
            <v>A</v>
          </cell>
          <cell r="AU8"/>
          <cell r="AV8"/>
          <cell r="AW8" t="str">
            <v>B</v>
          </cell>
          <cell r="AX8"/>
          <cell r="AY8"/>
          <cell r="AZ8" t="str">
            <v>C</v>
          </cell>
          <cell r="BA8"/>
          <cell r="BB8"/>
          <cell r="BC8" t="str">
            <v>D</v>
          </cell>
          <cell r="BD8"/>
          <cell r="BE8"/>
          <cell r="BF8" t="str">
            <v>E</v>
          </cell>
          <cell r="BG8"/>
          <cell r="BH8"/>
          <cell r="BI8" t="str">
            <v>F</v>
          </cell>
          <cell r="BJ8"/>
          <cell r="BK8"/>
          <cell r="BL8" t="str">
            <v>G</v>
          </cell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</row>
        <row r="9">
          <cell r="A9" t="str">
            <v>10-407</v>
          </cell>
          <cell r="B9" t="str">
            <v xml:space="preserve">De Lessenaar </v>
          </cell>
          <cell r="C9" t="str">
            <v>Tammingastraat 26, Ten Post</v>
          </cell>
          <cell r="D9">
            <v>0</v>
          </cell>
          <cell r="E9"/>
          <cell r="F9">
            <v>0</v>
          </cell>
          <cell r="G9"/>
          <cell r="H9">
            <v>0</v>
          </cell>
          <cell r="I9"/>
          <cell r="J9">
            <v>0</v>
          </cell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/>
          <cell r="AH9"/>
          <cell r="AI9"/>
          <cell r="AJ9"/>
          <cell r="AK9">
            <v>0</v>
          </cell>
          <cell r="AL9">
            <v>0</v>
          </cell>
          <cell r="AM9"/>
          <cell r="AN9"/>
          <cell r="AO9"/>
          <cell r="AP9"/>
          <cell r="AQ9">
            <v>0</v>
          </cell>
          <cell r="AR9">
            <v>0</v>
          </cell>
          <cell r="AS9">
            <v>0</v>
          </cell>
          <cell r="AT9" t="str">
            <v>A</v>
          </cell>
          <cell r="AU9"/>
          <cell r="AV9"/>
          <cell r="AW9" t="str">
            <v>B</v>
          </cell>
          <cell r="AX9"/>
          <cell r="AY9"/>
          <cell r="AZ9" t="str">
            <v>C</v>
          </cell>
          <cell r="BA9"/>
          <cell r="BB9"/>
          <cell r="BC9" t="str">
            <v>D</v>
          </cell>
          <cell r="BD9"/>
          <cell r="BE9"/>
          <cell r="BF9" t="str">
            <v>E</v>
          </cell>
          <cell r="BG9"/>
          <cell r="BH9"/>
          <cell r="BI9" t="str">
            <v>F</v>
          </cell>
          <cell r="BJ9"/>
          <cell r="BK9"/>
          <cell r="BL9" t="str">
            <v>G</v>
          </cell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</row>
        <row r="10">
          <cell r="A10" t="str">
            <v>10-408</v>
          </cell>
          <cell r="B10" t="str">
            <v xml:space="preserve">De Munte </v>
          </cell>
          <cell r="C10" t="str">
            <v>A.Verburghwijk 5, Termunterzijl</v>
          </cell>
          <cell r="D10">
            <v>0</v>
          </cell>
          <cell r="E10"/>
          <cell r="F10">
            <v>0</v>
          </cell>
          <cell r="G10"/>
          <cell r="H10">
            <v>0</v>
          </cell>
          <cell r="I10"/>
          <cell r="J10">
            <v>0</v>
          </cell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/>
          <cell r="AH10"/>
          <cell r="AI10"/>
          <cell r="AJ10"/>
          <cell r="AK10">
            <v>0</v>
          </cell>
          <cell r="AL10">
            <v>0</v>
          </cell>
          <cell r="AM10"/>
          <cell r="AN10"/>
          <cell r="AO10"/>
          <cell r="AP10"/>
          <cell r="AQ10">
            <v>0</v>
          </cell>
          <cell r="AR10">
            <v>0</v>
          </cell>
          <cell r="AS10">
            <v>0</v>
          </cell>
          <cell r="AT10" t="str">
            <v>A</v>
          </cell>
          <cell r="AU10"/>
          <cell r="AV10"/>
          <cell r="AW10" t="str">
            <v>B</v>
          </cell>
          <cell r="AX10"/>
          <cell r="AY10"/>
          <cell r="AZ10" t="str">
            <v>C</v>
          </cell>
          <cell r="BA10"/>
          <cell r="BB10"/>
          <cell r="BC10" t="str">
            <v>D</v>
          </cell>
          <cell r="BD10"/>
          <cell r="BE10"/>
          <cell r="BF10" t="str">
            <v>E</v>
          </cell>
          <cell r="BG10"/>
          <cell r="BH10"/>
          <cell r="BI10" t="str">
            <v>F</v>
          </cell>
          <cell r="BJ10"/>
          <cell r="BK10"/>
          <cell r="BL10" t="str">
            <v>G</v>
          </cell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</row>
        <row r="11">
          <cell r="A11" t="str">
            <v>10-409</v>
          </cell>
          <cell r="B11" t="str">
            <v xml:space="preserve">De Viking-Noorman </v>
          </cell>
          <cell r="C11" t="str">
            <v>Sont 1, Delfzijl</v>
          </cell>
          <cell r="D11">
            <v>0</v>
          </cell>
          <cell r="E11"/>
          <cell r="F11">
            <v>0</v>
          </cell>
          <cell r="G11"/>
          <cell r="H11">
            <v>0</v>
          </cell>
          <cell r="I11"/>
          <cell r="J11">
            <v>0</v>
          </cell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/>
          <cell r="AH11"/>
          <cell r="AI11"/>
          <cell r="AJ11"/>
          <cell r="AK11">
            <v>0</v>
          </cell>
          <cell r="AL11">
            <v>0</v>
          </cell>
          <cell r="AM11"/>
          <cell r="AN11"/>
          <cell r="AO11"/>
          <cell r="AP11"/>
          <cell r="AQ11">
            <v>0</v>
          </cell>
          <cell r="AR11">
            <v>0</v>
          </cell>
          <cell r="AS11">
            <v>0</v>
          </cell>
          <cell r="AT11" t="str">
            <v>A</v>
          </cell>
          <cell r="AU11"/>
          <cell r="AV11"/>
          <cell r="AW11" t="str">
            <v>B</v>
          </cell>
          <cell r="AX11"/>
          <cell r="AY11"/>
          <cell r="AZ11" t="str">
            <v>C</v>
          </cell>
          <cell r="BA11"/>
          <cell r="BB11"/>
          <cell r="BC11" t="str">
            <v>D</v>
          </cell>
          <cell r="BD11"/>
          <cell r="BE11"/>
          <cell r="BF11" t="str">
            <v>E</v>
          </cell>
          <cell r="BG11"/>
          <cell r="BH11"/>
          <cell r="BI11" t="str">
            <v>F</v>
          </cell>
          <cell r="BJ11"/>
          <cell r="BK11"/>
          <cell r="BL11" t="str">
            <v>G</v>
          </cell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</row>
        <row r="12">
          <cell r="A12" t="str">
            <v>10-410</v>
          </cell>
          <cell r="B12" t="str">
            <v xml:space="preserve">De Waarborg </v>
          </cell>
          <cell r="C12" t="str">
            <v>Hoofdweg 81, Wagenborgen</v>
          </cell>
          <cell r="D12">
            <v>0</v>
          </cell>
          <cell r="E12"/>
          <cell r="F12">
            <v>0</v>
          </cell>
          <cell r="G12"/>
          <cell r="H12">
            <v>0</v>
          </cell>
          <cell r="I12"/>
          <cell r="J12">
            <v>0</v>
          </cell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/>
          <cell r="AH12"/>
          <cell r="AI12"/>
          <cell r="AJ12"/>
          <cell r="AK12">
            <v>0</v>
          </cell>
          <cell r="AL12">
            <v>0</v>
          </cell>
          <cell r="AM12"/>
          <cell r="AN12"/>
          <cell r="AO12"/>
          <cell r="AP12"/>
          <cell r="AQ12">
            <v>0</v>
          </cell>
          <cell r="AR12">
            <v>0</v>
          </cell>
          <cell r="AS12">
            <v>0</v>
          </cell>
          <cell r="AT12" t="str">
            <v>A</v>
          </cell>
          <cell r="AU12"/>
          <cell r="AV12"/>
          <cell r="AW12" t="str">
            <v>B</v>
          </cell>
          <cell r="AX12"/>
          <cell r="AY12"/>
          <cell r="AZ12" t="str">
            <v>C</v>
          </cell>
          <cell r="BA12"/>
          <cell r="BB12"/>
          <cell r="BC12" t="str">
            <v>D</v>
          </cell>
          <cell r="BD12"/>
          <cell r="BE12"/>
          <cell r="BF12" t="str">
            <v>E</v>
          </cell>
          <cell r="BG12"/>
          <cell r="BH12"/>
          <cell r="BI12" t="str">
            <v>F</v>
          </cell>
          <cell r="BJ12"/>
          <cell r="BK12"/>
          <cell r="BL12" t="str">
            <v>G</v>
          </cell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</row>
        <row r="13">
          <cell r="A13" t="str">
            <v>10-411</v>
          </cell>
          <cell r="B13" t="str">
            <v xml:space="preserve">De Wilster </v>
          </cell>
          <cell r="C13" t="str">
            <v>Florastraat 11, Middelstum</v>
          </cell>
          <cell r="D13">
            <v>0</v>
          </cell>
          <cell r="E13"/>
          <cell r="F13">
            <v>0</v>
          </cell>
          <cell r="G13"/>
          <cell r="H13">
            <v>0</v>
          </cell>
          <cell r="I13"/>
          <cell r="J13">
            <v>0</v>
          </cell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/>
          <cell r="AH13"/>
          <cell r="AI13"/>
          <cell r="AJ13"/>
          <cell r="AK13">
            <v>0</v>
          </cell>
          <cell r="AL13">
            <v>0</v>
          </cell>
          <cell r="AM13"/>
          <cell r="AN13"/>
          <cell r="AO13"/>
          <cell r="AP13"/>
          <cell r="AQ13">
            <v>0</v>
          </cell>
          <cell r="AR13">
            <v>0</v>
          </cell>
          <cell r="AS13">
            <v>0</v>
          </cell>
          <cell r="AT13" t="str">
            <v>A</v>
          </cell>
          <cell r="AU13"/>
          <cell r="AV13"/>
          <cell r="AW13" t="str">
            <v>B</v>
          </cell>
          <cell r="AX13"/>
          <cell r="AY13"/>
          <cell r="AZ13" t="str">
            <v>C</v>
          </cell>
          <cell r="BA13"/>
          <cell r="BB13"/>
          <cell r="BC13" t="str">
            <v>D</v>
          </cell>
          <cell r="BD13"/>
          <cell r="BE13"/>
          <cell r="BF13" t="str">
            <v>E</v>
          </cell>
          <cell r="BG13"/>
          <cell r="BH13"/>
          <cell r="BI13" t="str">
            <v>F</v>
          </cell>
          <cell r="BJ13"/>
          <cell r="BK13"/>
          <cell r="BL13" t="str">
            <v>G</v>
          </cell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</row>
        <row r="14">
          <cell r="A14" t="str">
            <v>10-412</v>
          </cell>
          <cell r="B14" t="str">
            <v xml:space="preserve">De Woldrakkers </v>
          </cell>
          <cell r="C14" t="str">
            <v>Burg. Garreltsweg 33, Woldendorp</v>
          </cell>
          <cell r="D14">
            <v>0</v>
          </cell>
          <cell r="E14"/>
          <cell r="F14">
            <v>0</v>
          </cell>
          <cell r="G14"/>
          <cell r="H14">
            <v>0</v>
          </cell>
          <cell r="I14"/>
          <cell r="J14">
            <v>0</v>
          </cell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/>
          <cell r="AH14"/>
          <cell r="AI14"/>
          <cell r="AJ14"/>
          <cell r="AK14">
            <v>0</v>
          </cell>
          <cell r="AL14">
            <v>0</v>
          </cell>
          <cell r="AM14"/>
          <cell r="AN14"/>
          <cell r="AO14"/>
          <cell r="AP14"/>
          <cell r="AQ14">
            <v>0</v>
          </cell>
          <cell r="AR14">
            <v>0</v>
          </cell>
          <cell r="AS14">
            <v>0</v>
          </cell>
          <cell r="AT14" t="str">
            <v>A</v>
          </cell>
          <cell r="AU14"/>
          <cell r="AV14"/>
          <cell r="AW14" t="str">
            <v>B</v>
          </cell>
          <cell r="AX14"/>
          <cell r="AY14"/>
          <cell r="AZ14" t="str">
            <v>C</v>
          </cell>
          <cell r="BA14"/>
          <cell r="BB14"/>
          <cell r="BC14" t="str">
            <v>D</v>
          </cell>
          <cell r="BD14"/>
          <cell r="BE14"/>
          <cell r="BF14" t="str">
            <v>E</v>
          </cell>
          <cell r="BG14"/>
          <cell r="BH14"/>
          <cell r="BI14" t="str">
            <v>F</v>
          </cell>
          <cell r="BJ14"/>
          <cell r="BK14"/>
          <cell r="BL14" t="str">
            <v>G</v>
          </cell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</row>
        <row r="15">
          <cell r="A15" t="str">
            <v>10-413</v>
          </cell>
          <cell r="B15" t="str">
            <v xml:space="preserve">De Zandplaat </v>
          </cell>
          <cell r="C15" t="str">
            <v>Hoofdstraat 81, 't Zandt</v>
          </cell>
          <cell r="D15">
            <v>0</v>
          </cell>
          <cell r="E15"/>
          <cell r="F15">
            <v>0</v>
          </cell>
          <cell r="G15"/>
          <cell r="H15">
            <v>0</v>
          </cell>
          <cell r="I15"/>
          <cell r="J15">
            <v>0</v>
          </cell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/>
          <cell r="AH15"/>
          <cell r="AI15"/>
          <cell r="AJ15"/>
          <cell r="AK15">
            <v>0</v>
          </cell>
          <cell r="AL15">
            <v>0</v>
          </cell>
          <cell r="AM15"/>
          <cell r="AN15"/>
          <cell r="AO15"/>
          <cell r="AP15"/>
          <cell r="AQ15">
            <v>0</v>
          </cell>
          <cell r="AR15">
            <v>0</v>
          </cell>
          <cell r="AS15">
            <v>0</v>
          </cell>
          <cell r="AT15" t="str">
            <v>A</v>
          </cell>
          <cell r="AU15"/>
          <cell r="AV15"/>
          <cell r="AW15" t="str">
            <v>B</v>
          </cell>
          <cell r="AX15"/>
          <cell r="AY15"/>
          <cell r="AZ15" t="str">
            <v>C</v>
          </cell>
          <cell r="BA15"/>
          <cell r="BB15"/>
          <cell r="BC15" t="str">
            <v>D</v>
          </cell>
          <cell r="BD15"/>
          <cell r="BE15"/>
          <cell r="BF15" t="str">
            <v>E</v>
          </cell>
          <cell r="BG15"/>
          <cell r="BH15"/>
          <cell r="BI15" t="str">
            <v>F</v>
          </cell>
          <cell r="BJ15"/>
          <cell r="BK15"/>
          <cell r="BL15" t="str">
            <v>G</v>
          </cell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</row>
        <row r="16">
          <cell r="A16" t="str">
            <v>10-414</v>
          </cell>
          <cell r="B16" t="str">
            <v xml:space="preserve">Dieftil </v>
          </cell>
          <cell r="C16" t="str">
            <v>Schoolweg 19, Oosterwijtwerd</v>
          </cell>
          <cell r="D16">
            <v>0</v>
          </cell>
          <cell r="E16"/>
          <cell r="F16">
            <v>0</v>
          </cell>
          <cell r="G16"/>
          <cell r="H16">
            <v>0</v>
          </cell>
          <cell r="I16"/>
          <cell r="J16">
            <v>0</v>
          </cell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/>
          <cell r="AH16"/>
          <cell r="AI16"/>
          <cell r="AJ16"/>
          <cell r="AK16">
            <v>0</v>
          </cell>
          <cell r="AL16">
            <v>0</v>
          </cell>
          <cell r="AM16"/>
          <cell r="AN16"/>
          <cell r="AO16"/>
          <cell r="AP16"/>
          <cell r="AQ16">
            <v>0</v>
          </cell>
          <cell r="AR16">
            <v>0</v>
          </cell>
          <cell r="AS16">
            <v>0</v>
          </cell>
          <cell r="AT16" t="str">
            <v>A</v>
          </cell>
          <cell r="AU16"/>
          <cell r="AV16"/>
          <cell r="AW16" t="str">
            <v>B</v>
          </cell>
          <cell r="AX16"/>
          <cell r="AY16"/>
          <cell r="AZ16" t="str">
            <v>C</v>
          </cell>
          <cell r="BA16"/>
          <cell r="BB16"/>
          <cell r="BC16" t="str">
            <v>D</v>
          </cell>
          <cell r="BD16"/>
          <cell r="BE16"/>
          <cell r="BF16" t="str">
            <v>E</v>
          </cell>
          <cell r="BG16"/>
          <cell r="BH16"/>
          <cell r="BI16" t="str">
            <v>F</v>
          </cell>
          <cell r="BJ16"/>
          <cell r="BK16"/>
          <cell r="BL16" t="str">
            <v>G</v>
          </cell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</row>
        <row r="17">
          <cell r="A17" t="str">
            <v>10-415</v>
          </cell>
          <cell r="B17" t="str">
            <v xml:space="preserve">Fiepko Coolman </v>
          </cell>
          <cell r="C17" t="str">
            <v>mevr. Evers-Dijkhuizenlaan 55, Spijk</v>
          </cell>
          <cell r="D17">
            <v>0</v>
          </cell>
          <cell r="E17"/>
          <cell r="F17">
            <v>0</v>
          </cell>
          <cell r="G17"/>
          <cell r="H17">
            <v>0</v>
          </cell>
          <cell r="I17"/>
          <cell r="J17">
            <v>0</v>
          </cell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/>
          <cell r="AH17"/>
          <cell r="AI17"/>
          <cell r="AJ17"/>
          <cell r="AK17">
            <v>0</v>
          </cell>
          <cell r="AL17">
            <v>0</v>
          </cell>
          <cell r="AM17"/>
          <cell r="AN17"/>
          <cell r="AO17"/>
          <cell r="AP17"/>
          <cell r="AQ17">
            <v>0</v>
          </cell>
          <cell r="AR17">
            <v>0</v>
          </cell>
          <cell r="AS17">
            <v>0</v>
          </cell>
          <cell r="AT17" t="str">
            <v>A</v>
          </cell>
          <cell r="AU17"/>
          <cell r="AV17"/>
          <cell r="AW17" t="str">
            <v>B</v>
          </cell>
          <cell r="AX17"/>
          <cell r="AY17"/>
          <cell r="AZ17" t="str">
            <v>C</v>
          </cell>
          <cell r="BA17"/>
          <cell r="BB17"/>
          <cell r="BC17" t="str">
            <v>D</v>
          </cell>
          <cell r="BD17"/>
          <cell r="BE17"/>
          <cell r="BF17" t="str">
            <v>E</v>
          </cell>
          <cell r="BG17"/>
          <cell r="BH17"/>
          <cell r="BI17" t="str">
            <v>F</v>
          </cell>
          <cell r="BJ17"/>
          <cell r="BK17"/>
          <cell r="BL17" t="str">
            <v>G</v>
          </cell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</row>
        <row r="18">
          <cell r="A18" t="str">
            <v>10-416</v>
          </cell>
          <cell r="B18" t="str">
            <v xml:space="preserve">Garmerwolde </v>
          </cell>
          <cell r="C18" t="str">
            <v>Dorpsweg 60, Garmerwolde</v>
          </cell>
          <cell r="D18">
            <v>0</v>
          </cell>
          <cell r="E18"/>
          <cell r="F18">
            <v>0</v>
          </cell>
          <cell r="G18"/>
          <cell r="H18">
            <v>0</v>
          </cell>
          <cell r="I18"/>
          <cell r="J18">
            <v>0</v>
          </cell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/>
          <cell r="AH18"/>
          <cell r="AI18"/>
          <cell r="AJ18"/>
          <cell r="AK18">
            <v>0</v>
          </cell>
          <cell r="AL18">
            <v>0</v>
          </cell>
          <cell r="AM18"/>
          <cell r="AN18"/>
          <cell r="AO18"/>
          <cell r="AP18"/>
          <cell r="AQ18">
            <v>0</v>
          </cell>
          <cell r="AR18">
            <v>0</v>
          </cell>
          <cell r="AS18">
            <v>0</v>
          </cell>
          <cell r="AT18" t="str">
            <v>A</v>
          </cell>
          <cell r="AU18"/>
          <cell r="AV18"/>
          <cell r="AW18" t="str">
            <v>B</v>
          </cell>
          <cell r="AX18"/>
          <cell r="AY18"/>
          <cell r="AZ18" t="str">
            <v>C</v>
          </cell>
          <cell r="BA18"/>
          <cell r="BB18"/>
          <cell r="BC18" t="str">
            <v>D</v>
          </cell>
          <cell r="BD18"/>
          <cell r="BE18"/>
          <cell r="BF18" t="str">
            <v>E</v>
          </cell>
          <cell r="BG18"/>
          <cell r="BH18"/>
          <cell r="BI18" t="str">
            <v>F</v>
          </cell>
          <cell r="BJ18"/>
          <cell r="BK18"/>
          <cell r="BL18" t="str">
            <v>G</v>
          </cell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</row>
        <row r="19">
          <cell r="A19" t="str">
            <v>10-417</v>
          </cell>
          <cell r="B19" t="str">
            <v xml:space="preserve">Hiliglo </v>
          </cell>
          <cell r="C19" t="str">
            <v>Pastorielaan 1, Holwierde</v>
          </cell>
          <cell r="D19">
            <v>0</v>
          </cell>
          <cell r="E19"/>
          <cell r="F19">
            <v>0</v>
          </cell>
          <cell r="G19"/>
          <cell r="H19">
            <v>0</v>
          </cell>
          <cell r="I19"/>
          <cell r="J19">
            <v>0</v>
          </cell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/>
          <cell r="AH19"/>
          <cell r="AI19"/>
          <cell r="AJ19"/>
          <cell r="AK19">
            <v>0</v>
          </cell>
          <cell r="AL19">
            <v>0</v>
          </cell>
          <cell r="AM19"/>
          <cell r="AN19"/>
          <cell r="AO19"/>
          <cell r="AP19"/>
          <cell r="AQ19">
            <v>0</v>
          </cell>
          <cell r="AR19">
            <v>0</v>
          </cell>
          <cell r="AS19">
            <v>0</v>
          </cell>
          <cell r="AT19" t="str">
            <v>A</v>
          </cell>
          <cell r="AU19"/>
          <cell r="AV19"/>
          <cell r="AW19" t="str">
            <v>B</v>
          </cell>
          <cell r="AX19"/>
          <cell r="AY19"/>
          <cell r="AZ19" t="str">
            <v>C</v>
          </cell>
          <cell r="BA19"/>
          <cell r="BB19"/>
          <cell r="BC19" t="str">
            <v>D</v>
          </cell>
          <cell r="BD19"/>
          <cell r="BE19"/>
          <cell r="BF19" t="str">
            <v>E</v>
          </cell>
          <cell r="BG19"/>
          <cell r="BH19"/>
          <cell r="BI19" t="str">
            <v>F</v>
          </cell>
          <cell r="BJ19"/>
          <cell r="BK19"/>
          <cell r="BL19" t="str">
            <v>G</v>
          </cell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</row>
        <row r="20">
          <cell r="A20" t="str">
            <v>10-418</v>
          </cell>
          <cell r="B20" t="str">
            <v xml:space="preserve">Jan Ligthart Appingedam </v>
          </cell>
          <cell r="C20" t="str">
            <v>Postbus 326, Appingedam</v>
          </cell>
          <cell r="D20">
            <v>0</v>
          </cell>
          <cell r="E20"/>
          <cell r="F20">
            <v>0</v>
          </cell>
          <cell r="G20"/>
          <cell r="H20">
            <v>0</v>
          </cell>
          <cell r="I20"/>
          <cell r="J20">
            <v>0</v>
          </cell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/>
          <cell r="AH20"/>
          <cell r="AI20"/>
          <cell r="AJ20"/>
          <cell r="AK20">
            <v>0</v>
          </cell>
          <cell r="AL20">
            <v>0</v>
          </cell>
          <cell r="AM20"/>
          <cell r="AN20"/>
          <cell r="AO20"/>
          <cell r="AP20"/>
          <cell r="AQ20">
            <v>0</v>
          </cell>
          <cell r="AR20">
            <v>0</v>
          </cell>
          <cell r="AS20">
            <v>0</v>
          </cell>
          <cell r="AT20" t="str">
            <v>A</v>
          </cell>
          <cell r="AU20"/>
          <cell r="AV20"/>
          <cell r="AW20" t="str">
            <v>B</v>
          </cell>
          <cell r="AX20"/>
          <cell r="AY20"/>
          <cell r="AZ20" t="str">
            <v>C</v>
          </cell>
          <cell r="BA20"/>
          <cell r="BB20"/>
          <cell r="BC20" t="str">
            <v>D</v>
          </cell>
          <cell r="BD20"/>
          <cell r="BE20"/>
          <cell r="BF20" t="str">
            <v>E</v>
          </cell>
          <cell r="BG20"/>
          <cell r="BH20"/>
          <cell r="BI20" t="str">
            <v>F</v>
          </cell>
          <cell r="BJ20"/>
          <cell r="BK20"/>
          <cell r="BL20" t="str">
            <v>G</v>
          </cell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</row>
        <row r="21">
          <cell r="A21" t="str">
            <v>10-419</v>
          </cell>
          <cell r="B21" t="str">
            <v xml:space="preserve">Jan Ligthart Delfzijl </v>
          </cell>
          <cell r="C21" t="str">
            <v>Botterlaan 1, Delfzijl</v>
          </cell>
          <cell r="D21">
            <v>0</v>
          </cell>
          <cell r="E21"/>
          <cell r="F21">
            <v>0</v>
          </cell>
          <cell r="G21"/>
          <cell r="H21">
            <v>0</v>
          </cell>
          <cell r="I21"/>
          <cell r="J21">
            <v>0</v>
          </cell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/>
          <cell r="AH21"/>
          <cell r="AI21"/>
          <cell r="AJ21"/>
          <cell r="AK21">
            <v>0</v>
          </cell>
          <cell r="AL21">
            <v>0</v>
          </cell>
          <cell r="AM21"/>
          <cell r="AN21"/>
          <cell r="AO21"/>
          <cell r="AP21"/>
          <cell r="AQ21">
            <v>0</v>
          </cell>
          <cell r="AR21">
            <v>0</v>
          </cell>
          <cell r="AS21">
            <v>0</v>
          </cell>
          <cell r="AT21" t="str">
            <v>A</v>
          </cell>
          <cell r="AU21"/>
          <cell r="AV21"/>
          <cell r="AW21" t="str">
            <v>B</v>
          </cell>
          <cell r="AX21"/>
          <cell r="AY21"/>
          <cell r="AZ21" t="str">
            <v>C</v>
          </cell>
          <cell r="BA21"/>
          <cell r="BB21"/>
          <cell r="BC21" t="str">
            <v>D</v>
          </cell>
          <cell r="BD21"/>
          <cell r="BE21"/>
          <cell r="BF21" t="str">
            <v>E</v>
          </cell>
          <cell r="BG21"/>
          <cell r="BH21"/>
          <cell r="BI21" t="str">
            <v>F</v>
          </cell>
          <cell r="BJ21"/>
          <cell r="BK21"/>
          <cell r="BL21" t="str">
            <v>G</v>
          </cell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</row>
        <row r="22">
          <cell r="A22" t="str">
            <v>10-420</v>
          </cell>
          <cell r="B22" t="str">
            <v xml:space="preserve">Jan Nieuwenhuyzen </v>
          </cell>
          <cell r="C22" t="str">
            <v>Postbus 31, Appingedam</v>
          </cell>
          <cell r="D22">
            <v>0</v>
          </cell>
          <cell r="E22"/>
          <cell r="F22">
            <v>0</v>
          </cell>
          <cell r="G22"/>
          <cell r="H22">
            <v>0</v>
          </cell>
          <cell r="I22"/>
          <cell r="J22">
            <v>0</v>
          </cell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/>
          <cell r="AH22"/>
          <cell r="AI22"/>
          <cell r="AJ22"/>
          <cell r="AK22">
            <v>0</v>
          </cell>
          <cell r="AL22">
            <v>0</v>
          </cell>
          <cell r="AM22"/>
          <cell r="AN22"/>
          <cell r="AO22"/>
          <cell r="AP22"/>
          <cell r="AQ22">
            <v>0</v>
          </cell>
          <cell r="AR22">
            <v>0</v>
          </cell>
          <cell r="AS22">
            <v>0</v>
          </cell>
          <cell r="AT22" t="str">
            <v>A</v>
          </cell>
          <cell r="AU22"/>
          <cell r="AV22"/>
          <cell r="AW22" t="str">
            <v>B</v>
          </cell>
          <cell r="AX22"/>
          <cell r="AY22"/>
          <cell r="AZ22" t="str">
            <v>C</v>
          </cell>
          <cell r="BA22"/>
          <cell r="BB22"/>
          <cell r="BC22" t="str">
            <v>D</v>
          </cell>
          <cell r="BD22"/>
          <cell r="BE22"/>
          <cell r="BF22" t="str">
            <v>E</v>
          </cell>
          <cell r="BG22"/>
          <cell r="BH22"/>
          <cell r="BI22" t="str">
            <v>F</v>
          </cell>
          <cell r="BJ22"/>
          <cell r="BK22"/>
          <cell r="BL22" t="str">
            <v>G</v>
          </cell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</row>
        <row r="23">
          <cell r="A23" t="str">
            <v>10-421</v>
          </cell>
          <cell r="B23" t="str">
            <v xml:space="preserve">Meedhuizen </v>
          </cell>
          <cell r="C23" t="str">
            <v>Hoofdstraat 21, Meedhuizen</v>
          </cell>
          <cell r="D23">
            <v>0</v>
          </cell>
          <cell r="E23"/>
          <cell r="F23">
            <v>0</v>
          </cell>
          <cell r="G23"/>
          <cell r="H23">
            <v>0</v>
          </cell>
          <cell r="I23"/>
          <cell r="J23">
            <v>0</v>
          </cell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/>
          <cell r="AH23"/>
          <cell r="AI23"/>
          <cell r="AJ23"/>
          <cell r="AK23">
            <v>0</v>
          </cell>
          <cell r="AL23">
            <v>0</v>
          </cell>
          <cell r="AM23"/>
          <cell r="AN23"/>
          <cell r="AO23"/>
          <cell r="AP23"/>
          <cell r="AQ23">
            <v>0</v>
          </cell>
          <cell r="AR23">
            <v>0</v>
          </cell>
          <cell r="AS23">
            <v>0</v>
          </cell>
          <cell r="AT23" t="str">
            <v>A</v>
          </cell>
          <cell r="AU23"/>
          <cell r="AV23"/>
          <cell r="AW23" t="str">
            <v>B</v>
          </cell>
          <cell r="AX23"/>
          <cell r="AY23"/>
          <cell r="AZ23" t="str">
            <v>C</v>
          </cell>
          <cell r="BA23"/>
          <cell r="BB23"/>
          <cell r="BC23" t="str">
            <v>D</v>
          </cell>
          <cell r="BD23"/>
          <cell r="BE23"/>
          <cell r="BF23" t="str">
            <v>E</v>
          </cell>
          <cell r="BG23"/>
          <cell r="BH23"/>
          <cell r="BI23" t="str">
            <v>F</v>
          </cell>
          <cell r="BJ23"/>
          <cell r="BK23"/>
          <cell r="BL23" t="str">
            <v>G</v>
          </cell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</row>
        <row r="24">
          <cell r="A24" t="str">
            <v>10-422</v>
          </cell>
          <cell r="B24" t="str">
            <v xml:space="preserve">Obs RA Venhuisschool </v>
          </cell>
          <cell r="C24" t="str">
            <v>Van Berumstraat 2, Zuidwolde</v>
          </cell>
          <cell r="D24">
            <v>0</v>
          </cell>
          <cell r="E24"/>
          <cell r="F24">
            <v>0</v>
          </cell>
          <cell r="G24"/>
          <cell r="H24">
            <v>0</v>
          </cell>
          <cell r="I24"/>
          <cell r="J24">
            <v>0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/>
          <cell r="AH24"/>
          <cell r="AI24"/>
          <cell r="AJ24"/>
          <cell r="AK24">
            <v>0</v>
          </cell>
          <cell r="AL24">
            <v>0</v>
          </cell>
          <cell r="AM24"/>
          <cell r="AN24"/>
          <cell r="AO24"/>
          <cell r="AP24"/>
          <cell r="AQ24">
            <v>0</v>
          </cell>
          <cell r="AR24">
            <v>0</v>
          </cell>
          <cell r="AS24">
            <v>0</v>
          </cell>
          <cell r="AT24" t="str">
            <v>A</v>
          </cell>
          <cell r="AU24"/>
          <cell r="AV24"/>
          <cell r="AW24" t="str">
            <v>B</v>
          </cell>
          <cell r="AX24"/>
          <cell r="AY24"/>
          <cell r="AZ24" t="str">
            <v>C</v>
          </cell>
          <cell r="BA24"/>
          <cell r="BB24"/>
          <cell r="BC24" t="str">
            <v>D</v>
          </cell>
          <cell r="BD24"/>
          <cell r="BE24"/>
          <cell r="BF24" t="str">
            <v>E</v>
          </cell>
          <cell r="BG24"/>
          <cell r="BH24"/>
          <cell r="BI24" t="str">
            <v>F</v>
          </cell>
          <cell r="BJ24"/>
          <cell r="BK24"/>
          <cell r="BL24" t="str">
            <v>G</v>
          </cell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</row>
        <row r="25">
          <cell r="A25" t="str">
            <v>10-423</v>
          </cell>
          <cell r="B25" t="str">
            <v xml:space="preserve">Obs Togtemaarschool </v>
          </cell>
          <cell r="C25" t="str">
            <v>De Vlijt 14, Bedum</v>
          </cell>
          <cell r="D25">
            <v>0</v>
          </cell>
          <cell r="E25"/>
          <cell r="F25">
            <v>0</v>
          </cell>
          <cell r="G25"/>
          <cell r="H25">
            <v>0</v>
          </cell>
          <cell r="I25"/>
          <cell r="J25">
            <v>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/>
          <cell r="AH25"/>
          <cell r="AI25"/>
          <cell r="AJ25"/>
          <cell r="AK25">
            <v>0</v>
          </cell>
          <cell r="AL25">
            <v>0</v>
          </cell>
          <cell r="AM25"/>
          <cell r="AN25"/>
          <cell r="AO25"/>
          <cell r="AP25"/>
          <cell r="AQ25">
            <v>0</v>
          </cell>
          <cell r="AR25">
            <v>0</v>
          </cell>
          <cell r="AS25">
            <v>0</v>
          </cell>
          <cell r="AT25" t="str">
            <v>A</v>
          </cell>
          <cell r="AU25"/>
          <cell r="AV25"/>
          <cell r="AW25" t="str">
            <v>B</v>
          </cell>
          <cell r="AX25"/>
          <cell r="AY25"/>
          <cell r="AZ25" t="str">
            <v>C</v>
          </cell>
          <cell r="BA25"/>
          <cell r="BB25"/>
          <cell r="BC25" t="str">
            <v>D</v>
          </cell>
          <cell r="BD25"/>
          <cell r="BE25"/>
          <cell r="BF25" t="str">
            <v>E</v>
          </cell>
          <cell r="BG25"/>
          <cell r="BH25"/>
          <cell r="BI25" t="str">
            <v>F</v>
          </cell>
          <cell r="BJ25"/>
          <cell r="BK25"/>
          <cell r="BL25" t="str">
            <v>G</v>
          </cell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</row>
        <row r="26">
          <cell r="A26" t="str">
            <v>10-424</v>
          </cell>
          <cell r="B26" t="str">
            <v xml:space="preserve">Onderwijsbureau </v>
          </cell>
          <cell r="C26" t="str">
            <v>, Loppersum</v>
          </cell>
          <cell r="D26">
            <v>0</v>
          </cell>
          <cell r="E26"/>
          <cell r="F26">
            <v>0</v>
          </cell>
          <cell r="G26"/>
          <cell r="H26">
            <v>0</v>
          </cell>
          <cell r="I26"/>
          <cell r="J26">
            <v>0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/>
          <cell r="AH26"/>
          <cell r="AI26"/>
          <cell r="AJ26"/>
          <cell r="AK26">
            <v>0</v>
          </cell>
          <cell r="AL26">
            <v>0</v>
          </cell>
          <cell r="AM26"/>
          <cell r="AN26"/>
          <cell r="AO26"/>
          <cell r="AP26"/>
          <cell r="AQ26">
            <v>0</v>
          </cell>
          <cell r="AR26">
            <v>0</v>
          </cell>
          <cell r="AS26">
            <v>0</v>
          </cell>
          <cell r="AT26" t="str">
            <v>A</v>
          </cell>
          <cell r="AU26"/>
          <cell r="AV26"/>
          <cell r="AW26" t="str">
            <v>B</v>
          </cell>
          <cell r="AX26"/>
          <cell r="AY26"/>
          <cell r="AZ26" t="str">
            <v>C</v>
          </cell>
          <cell r="BA26"/>
          <cell r="BB26"/>
          <cell r="BC26" t="str">
            <v>D</v>
          </cell>
          <cell r="BD26"/>
          <cell r="BE26"/>
          <cell r="BF26" t="str">
            <v>E</v>
          </cell>
          <cell r="BG26"/>
          <cell r="BH26"/>
          <cell r="BI26" t="str">
            <v>F</v>
          </cell>
          <cell r="BJ26"/>
          <cell r="BK26"/>
          <cell r="BL26" t="str">
            <v>G</v>
          </cell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</row>
        <row r="27">
          <cell r="A27" t="str">
            <v>10-425</v>
          </cell>
          <cell r="B27" t="str">
            <v xml:space="preserve">Prinses Beatr,De Wilgenstee </v>
          </cell>
          <cell r="C27" t="str">
            <v>Kwekersweg 1, Zeerijp</v>
          </cell>
          <cell r="D27">
            <v>0</v>
          </cell>
          <cell r="E27"/>
          <cell r="F27">
            <v>0</v>
          </cell>
          <cell r="G27"/>
          <cell r="H27">
            <v>0</v>
          </cell>
          <cell r="I27"/>
          <cell r="J27">
            <v>0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/>
          <cell r="AH27"/>
          <cell r="AI27"/>
          <cell r="AJ27"/>
          <cell r="AK27">
            <v>0</v>
          </cell>
          <cell r="AL27">
            <v>0</v>
          </cell>
          <cell r="AM27"/>
          <cell r="AN27"/>
          <cell r="AO27"/>
          <cell r="AP27"/>
          <cell r="AQ27">
            <v>0</v>
          </cell>
          <cell r="AR27">
            <v>0</v>
          </cell>
          <cell r="AS27">
            <v>0</v>
          </cell>
          <cell r="AT27" t="str">
            <v>A</v>
          </cell>
          <cell r="AU27"/>
          <cell r="AV27"/>
          <cell r="AW27" t="str">
            <v>B</v>
          </cell>
          <cell r="AX27"/>
          <cell r="AY27"/>
          <cell r="AZ27" t="str">
            <v>C</v>
          </cell>
          <cell r="BA27"/>
          <cell r="BB27"/>
          <cell r="BC27" t="str">
            <v>D</v>
          </cell>
          <cell r="BD27"/>
          <cell r="BE27"/>
          <cell r="BF27" t="str">
            <v>E</v>
          </cell>
          <cell r="BG27"/>
          <cell r="BH27"/>
          <cell r="BI27" t="str">
            <v>F</v>
          </cell>
          <cell r="BJ27"/>
          <cell r="BK27"/>
          <cell r="BL27" t="str">
            <v>G</v>
          </cell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</row>
        <row r="28">
          <cell r="A28" t="str">
            <v>10-426</v>
          </cell>
          <cell r="B28" t="str">
            <v xml:space="preserve">Prinses Beatrixschool </v>
          </cell>
          <cell r="C28" t="str">
            <v>Pomonaweg 44, Loppersum</v>
          </cell>
          <cell r="D28">
            <v>0</v>
          </cell>
          <cell r="E28"/>
          <cell r="F28">
            <v>0</v>
          </cell>
          <cell r="G28"/>
          <cell r="H28">
            <v>0</v>
          </cell>
          <cell r="I28"/>
          <cell r="J28">
            <v>0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/>
          <cell r="AH28"/>
          <cell r="AI28"/>
          <cell r="AJ28"/>
          <cell r="AK28">
            <v>0</v>
          </cell>
          <cell r="AL28">
            <v>0</v>
          </cell>
          <cell r="AM28"/>
          <cell r="AN28"/>
          <cell r="AO28"/>
          <cell r="AP28"/>
          <cell r="AQ28">
            <v>0</v>
          </cell>
          <cell r="AR28">
            <v>0</v>
          </cell>
          <cell r="AS28">
            <v>0</v>
          </cell>
          <cell r="AT28" t="str">
            <v>A</v>
          </cell>
          <cell r="AU28"/>
          <cell r="AV28"/>
          <cell r="AW28" t="str">
            <v>B</v>
          </cell>
          <cell r="AX28"/>
          <cell r="AY28"/>
          <cell r="AZ28" t="str">
            <v>C</v>
          </cell>
          <cell r="BA28"/>
          <cell r="BB28"/>
          <cell r="BC28" t="str">
            <v>D</v>
          </cell>
          <cell r="BD28"/>
          <cell r="BE28"/>
          <cell r="BF28" t="str">
            <v>E</v>
          </cell>
          <cell r="BG28"/>
          <cell r="BH28"/>
          <cell r="BI28" t="str">
            <v>F</v>
          </cell>
          <cell r="BJ28"/>
          <cell r="BK28"/>
          <cell r="BL28" t="str">
            <v>G</v>
          </cell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</row>
        <row r="29">
          <cell r="A29" t="str">
            <v>10-427</v>
          </cell>
          <cell r="B29" t="str">
            <v xml:space="preserve">Ripperdaborg Dalton Onderw </v>
          </cell>
          <cell r="C29" t="str">
            <v>Postbus 49, Farmsum</v>
          </cell>
          <cell r="D29">
            <v>0</v>
          </cell>
          <cell r="E29"/>
          <cell r="F29">
            <v>0</v>
          </cell>
          <cell r="G29"/>
          <cell r="H29">
            <v>0</v>
          </cell>
          <cell r="I29"/>
          <cell r="J29">
            <v>0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/>
          <cell r="AH29"/>
          <cell r="AI29"/>
          <cell r="AJ29"/>
          <cell r="AK29">
            <v>0</v>
          </cell>
          <cell r="AL29">
            <v>0</v>
          </cell>
          <cell r="AM29"/>
          <cell r="AN29"/>
          <cell r="AO29"/>
          <cell r="AP29"/>
          <cell r="AQ29">
            <v>0</v>
          </cell>
          <cell r="AR29">
            <v>0</v>
          </cell>
          <cell r="AS29">
            <v>0</v>
          </cell>
          <cell r="AT29" t="str">
            <v>A</v>
          </cell>
          <cell r="AU29">
            <v>0</v>
          </cell>
          <cell r="AV29">
            <v>0</v>
          </cell>
          <cell r="AW29" t="str">
            <v>B</v>
          </cell>
          <cell r="AX29">
            <v>0</v>
          </cell>
          <cell r="AY29">
            <v>0</v>
          </cell>
          <cell r="AZ29" t="str">
            <v>C</v>
          </cell>
          <cell r="BA29">
            <v>0</v>
          </cell>
          <cell r="BB29">
            <v>0</v>
          </cell>
          <cell r="BC29" t="str">
            <v>D</v>
          </cell>
          <cell r="BD29">
            <v>0</v>
          </cell>
          <cell r="BE29">
            <v>0</v>
          </cell>
          <cell r="BF29" t="str">
            <v>E</v>
          </cell>
          <cell r="BG29">
            <v>0</v>
          </cell>
          <cell r="BH29">
            <v>0</v>
          </cell>
          <cell r="BI29" t="str">
            <v>F</v>
          </cell>
          <cell r="BJ29">
            <v>0</v>
          </cell>
          <cell r="BK29">
            <v>0</v>
          </cell>
          <cell r="BL29" t="str">
            <v>G</v>
          </cell>
          <cell r="BM29">
            <v>0</v>
          </cell>
          <cell r="BN29">
            <v>0</v>
          </cell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</row>
        <row r="30">
          <cell r="A30" t="str">
            <v>10-428</v>
          </cell>
          <cell r="B30" t="str">
            <v xml:space="preserve">t Zigt </v>
          </cell>
          <cell r="C30" t="str">
            <v>Gersteland 3, Delfzijl</v>
          </cell>
          <cell r="D30">
            <v>0</v>
          </cell>
          <cell r="E30"/>
          <cell r="F30">
            <v>0</v>
          </cell>
          <cell r="G30"/>
          <cell r="H30">
            <v>0</v>
          </cell>
          <cell r="I30"/>
          <cell r="J30">
            <v>0</v>
          </cell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/>
          <cell r="AH30"/>
          <cell r="AI30"/>
          <cell r="AJ30"/>
          <cell r="AK30">
            <v>0</v>
          </cell>
          <cell r="AL30">
            <v>0</v>
          </cell>
          <cell r="AM30"/>
          <cell r="AN30"/>
          <cell r="AO30"/>
          <cell r="AP30"/>
          <cell r="AQ30">
            <v>0</v>
          </cell>
          <cell r="AR30">
            <v>0</v>
          </cell>
          <cell r="AS30">
            <v>0</v>
          </cell>
          <cell r="AT30" t="str">
            <v>A</v>
          </cell>
          <cell r="AU30">
            <v>0</v>
          </cell>
          <cell r="AV30">
            <v>0</v>
          </cell>
          <cell r="AW30" t="str">
            <v>B</v>
          </cell>
          <cell r="AX30">
            <v>0</v>
          </cell>
          <cell r="AY30">
            <v>0</v>
          </cell>
          <cell r="AZ30" t="str">
            <v>C</v>
          </cell>
          <cell r="BA30">
            <v>0</v>
          </cell>
          <cell r="BB30">
            <v>0</v>
          </cell>
          <cell r="BC30" t="str">
            <v>D</v>
          </cell>
          <cell r="BD30">
            <v>0</v>
          </cell>
          <cell r="BE30">
            <v>0</v>
          </cell>
          <cell r="BF30" t="str">
            <v>E</v>
          </cell>
          <cell r="BG30">
            <v>0</v>
          </cell>
          <cell r="BH30">
            <v>0</v>
          </cell>
          <cell r="BI30" t="str">
            <v>F</v>
          </cell>
          <cell r="BJ30">
            <v>0</v>
          </cell>
          <cell r="BK30">
            <v>0</v>
          </cell>
          <cell r="BL30" t="str">
            <v>G</v>
          </cell>
          <cell r="BM30">
            <v>0</v>
          </cell>
          <cell r="BN30">
            <v>0</v>
          </cell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</row>
        <row r="31">
          <cell r="A31" t="str">
            <v>10-429</v>
          </cell>
          <cell r="B31" t="str">
            <v xml:space="preserve">Tasveld </v>
          </cell>
          <cell r="C31" t="str">
            <v>Gevelsteen 2, Delfzijl</v>
          </cell>
          <cell r="D31">
            <v>0</v>
          </cell>
          <cell r="E31"/>
          <cell r="F31">
            <v>0</v>
          </cell>
          <cell r="G31"/>
          <cell r="H31">
            <v>0</v>
          </cell>
          <cell r="I31"/>
          <cell r="J31">
            <v>0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/>
          <cell r="AH31"/>
          <cell r="AI31"/>
          <cell r="AJ31"/>
          <cell r="AK31">
            <v>0</v>
          </cell>
          <cell r="AL31">
            <v>0</v>
          </cell>
          <cell r="AM31"/>
          <cell r="AN31"/>
          <cell r="AO31"/>
          <cell r="AP31"/>
          <cell r="AQ31">
            <v>0</v>
          </cell>
          <cell r="AR31">
            <v>0</v>
          </cell>
          <cell r="AS31">
            <v>0</v>
          </cell>
          <cell r="AT31" t="str">
            <v>A</v>
          </cell>
          <cell r="AU31">
            <v>0</v>
          </cell>
          <cell r="AV31">
            <v>0</v>
          </cell>
          <cell r="AW31" t="str">
            <v>B</v>
          </cell>
          <cell r="AX31">
            <v>0</v>
          </cell>
          <cell r="AY31">
            <v>0</v>
          </cell>
          <cell r="AZ31" t="str">
            <v>C</v>
          </cell>
          <cell r="BA31">
            <v>0</v>
          </cell>
          <cell r="BB31">
            <v>0</v>
          </cell>
          <cell r="BC31" t="str">
            <v>D</v>
          </cell>
          <cell r="BD31">
            <v>0</v>
          </cell>
          <cell r="BE31">
            <v>0</v>
          </cell>
          <cell r="BF31" t="str">
            <v>E</v>
          </cell>
          <cell r="BG31">
            <v>0</v>
          </cell>
          <cell r="BH31">
            <v>0</v>
          </cell>
          <cell r="BI31" t="str">
            <v>F</v>
          </cell>
          <cell r="BJ31">
            <v>0</v>
          </cell>
          <cell r="BK31">
            <v>0</v>
          </cell>
          <cell r="BL31" t="str">
            <v>G</v>
          </cell>
          <cell r="BM31">
            <v>0</v>
          </cell>
          <cell r="BN31">
            <v>0</v>
          </cell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</row>
        <row r="32">
          <cell r="A32" t="str">
            <v>10-430</v>
          </cell>
          <cell r="B32" t="str">
            <v xml:space="preserve">Wirdumerdraaischool </v>
          </cell>
          <cell r="C32" t="str">
            <v>Stadsweg 6, Wirdum</v>
          </cell>
          <cell r="D32">
            <v>0</v>
          </cell>
          <cell r="E32"/>
          <cell r="F32">
            <v>0</v>
          </cell>
          <cell r="G32"/>
          <cell r="H32">
            <v>0</v>
          </cell>
          <cell r="I32"/>
          <cell r="J32">
            <v>0</v>
          </cell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/>
          <cell r="AH32"/>
          <cell r="AI32"/>
          <cell r="AJ32"/>
          <cell r="AK32">
            <v>0</v>
          </cell>
          <cell r="AL32">
            <v>0</v>
          </cell>
          <cell r="AM32"/>
          <cell r="AN32"/>
          <cell r="AO32"/>
          <cell r="AP32"/>
          <cell r="AQ32">
            <v>0</v>
          </cell>
          <cell r="AR32">
            <v>0</v>
          </cell>
          <cell r="AS32">
            <v>0</v>
          </cell>
          <cell r="AT32" t="str">
            <v>A</v>
          </cell>
          <cell r="AU32">
            <v>0</v>
          </cell>
          <cell r="AV32">
            <v>0</v>
          </cell>
          <cell r="AW32" t="str">
            <v>B</v>
          </cell>
          <cell r="AX32">
            <v>0</v>
          </cell>
          <cell r="AY32">
            <v>0</v>
          </cell>
          <cell r="AZ32" t="str">
            <v>C</v>
          </cell>
          <cell r="BA32">
            <v>0</v>
          </cell>
          <cell r="BB32">
            <v>0</v>
          </cell>
          <cell r="BC32" t="str">
            <v>D</v>
          </cell>
          <cell r="BD32">
            <v>0</v>
          </cell>
          <cell r="BE32">
            <v>0</v>
          </cell>
          <cell r="BF32" t="str">
            <v>E</v>
          </cell>
          <cell r="BG32">
            <v>0</v>
          </cell>
          <cell r="BH32">
            <v>0</v>
          </cell>
          <cell r="BI32" t="str">
            <v>F</v>
          </cell>
          <cell r="BJ32">
            <v>0</v>
          </cell>
          <cell r="BK32">
            <v>0</v>
          </cell>
          <cell r="BL32" t="str">
            <v>G</v>
          </cell>
          <cell r="BM32">
            <v>0</v>
          </cell>
          <cell r="BN32">
            <v>0</v>
          </cell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</row>
        <row r="33">
          <cell r="A33">
            <v>31</v>
          </cell>
          <cell r="D33">
            <v>0</v>
          </cell>
          <cell r="E33"/>
          <cell r="F33">
            <v>0</v>
          </cell>
          <cell r="G33"/>
          <cell r="H33">
            <v>0</v>
          </cell>
          <cell r="I33"/>
          <cell r="J33">
            <v>0</v>
          </cell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/>
          <cell r="AH33"/>
          <cell r="AI33"/>
          <cell r="AJ33"/>
          <cell r="AK33">
            <v>0</v>
          </cell>
          <cell r="AL33">
            <v>0</v>
          </cell>
          <cell r="AM33"/>
          <cell r="AN33"/>
          <cell r="AO33"/>
          <cell r="AP33"/>
          <cell r="AQ33">
            <v>0</v>
          </cell>
          <cell r="AR33">
            <v>0</v>
          </cell>
          <cell r="AS33">
            <v>0</v>
          </cell>
          <cell r="AT33" t="str">
            <v>A</v>
          </cell>
          <cell r="AU33">
            <v>0</v>
          </cell>
          <cell r="AV33">
            <v>0</v>
          </cell>
          <cell r="AW33" t="str">
            <v>B</v>
          </cell>
          <cell r="AX33">
            <v>0</v>
          </cell>
          <cell r="AY33">
            <v>0</v>
          </cell>
          <cell r="AZ33" t="str">
            <v>C</v>
          </cell>
          <cell r="BA33">
            <v>0</v>
          </cell>
          <cell r="BB33">
            <v>0</v>
          </cell>
          <cell r="BC33" t="str">
            <v>D</v>
          </cell>
          <cell r="BD33">
            <v>0</v>
          </cell>
          <cell r="BE33">
            <v>0</v>
          </cell>
          <cell r="BF33" t="str">
            <v>E</v>
          </cell>
          <cell r="BG33">
            <v>0</v>
          </cell>
          <cell r="BH33">
            <v>0</v>
          </cell>
          <cell r="BI33" t="str">
            <v>F</v>
          </cell>
          <cell r="BJ33">
            <v>0</v>
          </cell>
          <cell r="BK33">
            <v>0</v>
          </cell>
          <cell r="BL33" t="str">
            <v>G</v>
          </cell>
          <cell r="BM33">
            <v>0</v>
          </cell>
          <cell r="BN33">
            <v>0</v>
          </cell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</row>
        <row r="34">
          <cell r="A34">
            <v>32</v>
          </cell>
          <cell r="D34">
            <v>0</v>
          </cell>
          <cell r="E34"/>
          <cell r="F34">
            <v>0</v>
          </cell>
          <cell r="G34"/>
          <cell r="H34">
            <v>0</v>
          </cell>
          <cell r="I34"/>
          <cell r="J34">
            <v>0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/>
          <cell r="AH34"/>
          <cell r="AI34"/>
          <cell r="AJ34"/>
          <cell r="AK34">
            <v>0</v>
          </cell>
          <cell r="AL34">
            <v>0</v>
          </cell>
          <cell r="AM34"/>
          <cell r="AN34"/>
          <cell r="AO34"/>
          <cell r="AP34"/>
          <cell r="AQ34">
            <v>0</v>
          </cell>
          <cell r="AR34">
            <v>0</v>
          </cell>
          <cell r="AS34">
            <v>0</v>
          </cell>
          <cell r="AT34" t="str">
            <v>A</v>
          </cell>
          <cell r="AU34">
            <v>0</v>
          </cell>
          <cell r="AV34">
            <v>0</v>
          </cell>
          <cell r="AW34" t="str">
            <v>B</v>
          </cell>
          <cell r="AX34">
            <v>0</v>
          </cell>
          <cell r="AY34">
            <v>0</v>
          </cell>
          <cell r="AZ34" t="str">
            <v>C</v>
          </cell>
          <cell r="BA34">
            <v>0</v>
          </cell>
          <cell r="BB34">
            <v>0</v>
          </cell>
          <cell r="BC34" t="str">
            <v>D</v>
          </cell>
          <cell r="BD34">
            <v>0</v>
          </cell>
          <cell r="BE34">
            <v>0</v>
          </cell>
          <cell r="BF34" t="str">
            <v>E</v>
          </cell>
          <cell r="BG34">
            <v>0</v>
          </cell>
          <cell r="BH34">
            <v>0</v>
          </cell>
          <cell r="BI34" t="str">
            <v>F</v>
          </cell>
          <cell r="BJ34">
            <v>0</v>
          </cell>
          <cell r="BK34">
            <v>0</v>
          </cell>
          <cell r="BL34" t="str">
            <v>G</v>
          </cell>
          <cell r="BM34">
            <v>0</v>
          </cell>
          <cell r="BN34">
            <v>0</v>
          </cell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</row>
        <row r="35">
          <cell r="A35">
            <v>33</v>
          </cell>
          <cell r="D35">
            <v>0</v>
          </cell>
          <cell r="E35"/>
          <cell r="F35">
            <v>0</v>
          </cell>
          <cell r="G35"/>
          <cell r="H35">
            <v>0</v>
          </cell>
          <cell r="I35"/>
          <cell r="J35">
            <v>0</v>
          </cell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/>
          <cell r="AH35"/>
          <cell r="AI35"/>
          <cell r="AJ35"/>
          <cell r="AK35">
            <v>0</v>
          </cell>
          <cell r="AL35">
            <v>0</v>
          </cell>
          <cell r="AM35"/>
          <cell r="AN35"/>
          <cell r="AO35"/>
          <cell r="AP35"/>
          <cell r="AQ35">
            <v>0</v>
          </cell>
          <cell r="AR35">
            <v>0</v>
          </cell>
          <cell r="AS35">
            <v>0</v>
          </cell>
          <cell r="AT35" t="str">
            <v>A</v>
          </cell>
          <cell r="AU35">
            <v>0</v>
          </cell>
          <cell r="AV35">
            <v>0</v>
          </cell>
          <cell r="AW35" t="str">
            <v>B</v>
          </cell>
          <cell r="AX35">
            <v>0</v>
          </cell>
          <cell r="AY35">
            <v>0</v>
          </cell>
          <cell r="AZ35" t="str">
            <v>C</v>
          </cell>
          <cell r="BA35">
            <v>0</v>
          </cell>
          <cell r="BB35">
            <v>0</v>
          </cell>
          <cell r="BC35" t="str">
            <v>D</v>
          </cell>
          <cell r="BD35">
            <v>0</v>
          </cell>
          <cell r="BE35">
            <v>0</v>
          </cell>
          <cell r="BF35" t="str">
            <v>E</v>
          </cell>
          <cell r="BG35">
            <v>0</v>
          </cell>
          <cell r="BH35">
            <v>0</v>
          </cell>
          <cell r="BI35" t="str">
            <v>F</v>
          </cell>
          <cell r="BJ35">
            <v>0</v>
          </cell>
          <cell r="BK35">
            <v>0</v>
          </cell>
          <cell r="BL35" t="str">
            <v>G</v>
          </cell>
          <cell r="BM35">
            <v>0</v>
          </cell>
          <cell r="BN35">
            <v>0</v>
          </cell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</row>
        <row r="36">
          <cell r="A36">
            <v>34</v>
          </cell>
          <cell r="D36">
            <v>0</v>
          </cell>
          <cell r="E36"/>
          <cell r="F36">
            <v>0</v>
          </cell>
          <cell r="G36"/>
          <cell r="H36">
            <v>0</v>
          </cell>
          <cell r="I36"/>
          <cell r="J36">
            <v>0</v>
          </cell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/>
          <cell r="AH36"/>
          <cell r="AI36"/>
          <cell r="AJ36"/>
          <cell r="AK36">
            <v>0</v>
          </cell>
          <cell r="AL36">
            <v>0</v>
          </cell>
          <cell r="AM36"/>
          <cell r="AN36"/>
          <cell r="AO36"/>
          <cell r="AP36"/>
          <cell r="AQ36">
            <v>0</v>
          </cell>
          <cell r="AR36">
            <v>0</v>
          </cell>
          <cell r="AS36">
            <v>0</v>
          </cell>
          <cell r="AT36" t="str">
            <v>A</v>
          </cell>
          <cell r="AU36">
            <v>0</v>
          </cell>
          <cell r="AV36">
            <v>0</v>
          </cell>
          <cell r="AW36" t="str">
            <v>B</v>
          </cell>
          <cell r="AX36">
            <v>0</v>
          </cell>
          <cell r="AY36">
            <v>0</v>
          </cell>
          <cell r="AZ36" t="str">
            <v>C</v>
          </cell>
          <cell r="BA36">
            <v>0</v>
          </cell>
          <cell r="BB36">
            <v>0</v>
          </cell>
          <cell r="BC36" t="str">
            <v>D</v>
          </cell>
          <cell r="BD36">
            <v>0</v>
          </cell>
          <cell r="BE36">
            <v>0</v>
          </cell>
          <cell r="BF36" t="str">
            <v>E</v>
          </cell>
          <cell r="BG36">
            <v>0</v>
          </cell>
          <cell r="BH36">
            <v>0</v>
          </cell>
          <cell r="BI36" t="str">
            <v>F</v>
          </cell>
          <cell r="BJ36">
            <v>0</v>
          </cell>
          <cell r="BK36">
            <v>0</v>
          </cell>
          <cell r="BL36" t="str">
            <v>G</v>
          </cell>
          <cell r="BM36">
            <v>0</v>
          </cell>
          <cell r="BN36">
            <v>0</v>
          </cell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</row>
      </sheetData>
      <sheetData sheetId="2">
        <row r="2">
          <cell r="B2" t="str">
            <v>Stichting Baasis</v>
          </cell>
        </row>
        <row r="3">
          <cell r="B3" t="str">
            <v>Zuidlaren</v>
          </cell>
        </row>
      </sheetData>
      <sheetData sheetId="3">
        <row r="28">
          <cell r="A28" t="str">
            <v>contractbeheerder</v>
          </cell>
        </row>
      </sheetData>
      <sheetData sheetId="4"/>
      <sheetData sheetId="5">
        <row r="18">
          <cell r="E18">
            <v>0</v>
          </cell>
          <cell r="G18">
            <v>0</v>
          </cell>
        </row>
        <row r="32">
          <cell r="E32">
            <v>0</v>
          </cell>
          <cell r="G3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2">
          <cell r="C2">
            <v>1</v>
          </cell>
        </row>
        <row r="3">
          <cell r="C3">
            <v>1</v>
          </cell>
        </row>
        <row r="6">
          <cell r="C6" t="e">
            <v>#N/A</v>
          </cell>
        </row>
        <row r="7">
          <cell r="C7" t="e">
            <v>#N/A</v>
          </cell>
        </row>
        <row r="10">
          <cell r="E10" t="e">
            <v>#N/A</v>
          </cell>
          <cell r="I10" t="e">
            <v>#N/A</v>
          </cell>
        </row>
        <row r="11">
          <cell r="E11" t="e">
            <v>#N/A</v>
          </cell>
          <cell r="I11" t="e">
            <v>#N/A</v>
          </cell>
        </row>
        <row r="14">
          <cell r="E14" t="e">
            <v>#N/A</v>
          </cell>
        </row>
        <row r="15">
          <cell r="E15" t="e">
            <v>#N/A</v>
          </cell>
        </row>
        <row r="16">
          <cell r="E16" t="e">
            <v>#N/A</v>
          </cell>
        </row>
        <row r="17">
          <cell r="E17" t="e">
            <v>#N/A</v>
          </cell>
        </row>
        <row r="18">
          <cell r="E18" t="e">
            <v>#N/A</v>
          </cell>
        </row>
        <row r="19">
          <cell r="E19" t="e">
            <v>#N/A</v>
          </cell>
        </row>
        <row r="20">
          <cell r="E20" t="e">
            <v>#N/A</v>
          </cell>
        </row>
        <row r="21">
          <cell r="E21" t="e">
            <v>#N/A</v>
          </cell>
        </row>
        <row r="22">
          <cell r="E22" t="e">
            <v>#N/A</v>
          </cell>
        </row>
        <row r="24">
          <cell r="E24" t="e">
            <v>#N/A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.form.Contractomzet Diensten"/>
      <sheetName val="Uitvoerder"/>
      <sheetName val="Aard werk"/>
      <sheetName val="Frequnetie"/>
    </sheetNames>
    <sheetDataSet>
      <sheetData sheetId="0"/>
      <sheetData sheetId="1"/>
      <sheetData sheetId="2"/>
      <sheetData sheetId="3">
        <row r="3">
          <cell r="A3">
            <v>1</v>
          </cell>
          <cell r="B3" t="str">
            <v>12 x per jaar, een x per maand</v>
          </cell>
        </row>
        <row r="4">
          <cell r="A4">
            <v>2</v>
          </cell>
          <cell r="B4" t="str">
            <v>8 x per jaar, niet de derde maand van het kwartaal</v>
          </cell>
        </row>
        <row r="5">
          <cell r="A5">
            <v>3</v>
          </cell>
          <cell r="B5" t="str">
            <v>8 x per jaar, niet 1e maand van het kwartaal</v>
          </cell>
        </row>
        <row r="6">
          <cell r="A6">
            <v>4</v>
          </cell>
          <cell r="B6" t="str">
            <v>8 x per jaar, niet 2e maand van het kwartaal</v>
          </cell>
        </row>
        <row r="7">
          <cell r="A7">
            <v>5</v>
          </cell>
          <cell r="B7" t="str">
            <v>6 x per jaar, oneven maanden</v>
          </cell>
        </row>
        <row r="8">
          <cell r="A8">
            <v>6</v>
          </cell>
          <cell r="B8" t="str">
            <v>6 x per jaar, even maanden</v>
          </cell>
        </row>
        <row r="9">
          <cell r="A9">
            <v>7</v>
          </cell>
          <cell r="B9" t="str">
            <v>4x per jaar, 1e maand van het kwartaal</v>
          </cell>
        </row>
        <row r="10">
          <cell r="A10">
            <v>8</v>
          </cell>
          <cell r="B10" t="str">
            <v>4x per jaar, 2e maand van het kwartaal</v>
          </cell>
        </row>
        <row r="11">
          <cell r="A11">
            <v>9</v>
          </cell>
          <cell r="B11" t="str">
            <v>4 x per jaar, 3e maand van het kwartaal</v>
          </cell>
        </row>
        <row r="12">
          <cell r="A12">
            <v>10</v>
          </cell>
          <cell r="B12" t="str">
            <v>3 x per jaar, 1e van de 4 maanden</v>
          </cell>
        </row>
        <row r="13">
          <cell r="A13">
            <v>11</v>
          </cell>
          <cell r="B13" t="str">
            <v>3 x per jaar, 2e van de 4 maanden</v>
          </cell>
        </row>
        <row r="14">
          <cell r="A14">
            <v>12</v>
          </cell>
          <cell r="B14" t="str">
            <v>3 x per jaar, 3e van de 4 maanden</v>
          </cell>
        </row>
        <row r="15">
          <cell r="A15">
            <v>13</v>
          </cell>
          <cell r="B15" t="str">
            <v>3 x per jaar, 4e van de 4 maanden</v>
          </cell>
        </row>
        <row r="16">
          <cell r="A16">
            <v>14</v>
          </cell>
          <cell r="B16" t="str">
            <v>2 x per jaar, 1e maand van het halfjaar</v>
          </cell>
        </row>
        <row r="17">
          <cell r="A17">
            <v>15</v>
          </cell>
          <cell r="B17" t="str">
            <v>2x per jaar, 2e maand van het halfjaar</v>
          </cell>
        </row>
        <row r="18">
          <cell r="A18">
            <v>16</v>
          </cell>
          <cell r="B18" t="str">
            <v>2 x per jaar, 3e maand van het halfjaar</v>
          </cell>
        </row>
        <row r="19">
          <cell r="A19">
            <v>17</v>
          </cell>
          <cell r="B19" t="str">
            <v>2 x per jaar, 4e maand van het halfjaar</v>
          </cell>
        </row>
        <row r="20">
          <cell r="A20">
            <v>18</v>
          </cell>
          <cell r="B20" t="str">
            <v>2 x per jaar, 5e maand van het halfjaar</v>
          </cell>
        </row>
        <row r="21">
          <cell r="A21">
            <v>19</v>
          </cell>
          <cell r="B21" t="str">
            <v>2 x per jaar, 6e maand van het halfjaar</v>
          </cell>
        </row>
        <row r="22">
          <cell r="A22">
            <v>20</v>
          </cell>
          <cell r="B22" t="str">
            <v>1 x per jaar, januari</v>
          </cell>
        </row>
        <row r="23">
          <cell r="A23">
            <v>21</v>
          </cell>
          <cell r="B23" t="str">
            <v>1 x per jaar, februari</v>
          </cell>
        </row>
        <row r="24">
          <cell r="A24">
            <v>22</v>
          </cell>
          <cell r="B24" t="str">
            <v>1 x per jaar, maart</v>
          </cell>
        </row>
        <row r="25">
          <cell r="A25">
            <v>23</v>
          </cell>
          <cell r="B25" t="str">
            <v>1 x per jaar, april</v>
          </cell>
        </row>
        <row r="26">
          <cell r="A26">
            <v>24</v>
          </cell>
          <cell r="B26" t="str">
            <v>1 x per jaar, mei</v>
          </cell>
        </row>
        <row r="27">
          <cell r="A27">
            <v>25</v>
          </cell>
          <cell r="B27" t="str">
            <v>1 x per jaar, juni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ndachtspunten"/>
      <sheetName val="taakverdeling per gebouw"/>
      <sheetName val="calculatie glas"/>
      <sheetName val="foto's glas"/>
      <sheetName val="calculatie HQ"/>
      <sheetName val="calculatie Service center"/>
      <sheetName val="calculatie Distribution"/>
      <sheetName val="Uurtarieven"/>
      <sheetName val="m² prijzen"/>
      <sheetName val="eenheidsprijzen"/>
      <sheetName val="Machine-investeringskosten"/>
      <sheetName val="dieptereiniging"/>
      <sheetName val="uurtarieven extra werkzhd"/>
      <sheetName val="Matrix artikel 21 CAO"/>
      <sheetName val="Algemeen"/>
      <sheetName val="Hoeveelheden sanitair"/>
      <sheetName val="Calculatie diepter sanitair"/>
      <sheetName val="Calculatieblad dieptereining"/>
      <sheetName val="werkprg sanitair"/>
      <sheetName val="werkprg. keuken"/>
      <sheetName val="werkprg. pantry"/>
      <sheetName val="niet in offerte"/>
      <sheetName val="Offerteproces"/>
      <sheetName val="Vragen bestek"/>
      <sheetName val="normentabel"/>
      <sheetName val="Werkwijze"/>
      <sheetName val="Invulblad uurtarieven"/>
      <sheetName val="Basisgegeve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L1" t="str">
            <v>SERVICE CENTER</v>
          </cell>
        </row>
        <row r="2">
          <cell r="M2" t="str">
            <v>Freq.</v>
          </cell>
          <cell r="N2" t="str">
            <v>basis</v>
          </cell>
          <cell r="O2" t="str">
            <v>factor</v>
          </cell>
          <cell r="P2" t="str">
            <v>norm</v>
          </cell>
        </row>
        <row r="3">
          <cell r="L3" t="str">
            <v>canteen</v>
          </cell>
          <cell r="M3">
            <v>255</v>
          </cell>
          <cell r="N3">
            <v>275</v>
          </cell>
          <cell r="O3">
            <v>1</v>
          </cell>
          <cell r="P3">
            <v>275</v>
          </cell>
          <cell r="Q3" t="str">
            <v>d</v>
          </cell>
        </row>
        <row r="4">
          <cell r="L4" t="str">
            <v>entrance</v>
          </cell>
          <cell r="M4">
            <v>255</v>
          </cell>
          <cell r="N4">
            <v>350</v>
          </cell>
          <cell r="O4">
            <v>1</v>
          </cell>
          <cell r="P4">
            <v>350</v>
          </cell>
          <cell r="Q4" t="str">
            <v>a</v>
          </cell>
        </row>
        <row r="5">
          <cell r="L5" t="str">
            <v>hall</v>
          </cell>
          <cell r="M5">
            <v>255</v>
          </cell>
          <cell r="N5">
            <v>450</v>
          </cell>
          <cell r="O5">
            <v>1</v>
          </cell>
          <cell r="P5">
            <v>450</v>
          </cell>
          <cell r="Q5" t="str">
            <v>a</v>
          </cell>
        </row>
        <row r="6">
          <cell r="L6" t="str">
            <v>main stairs</v>
          </cell>
          <cell r="M6">
            <v>255</v>
          </cell>
          <cell r="N6">
            <v>280</v>
          </cell>
          <cell r="O6">
            <v>1</v>
          </cell>
          <cell r="P6">
            <v>280</v>
          </cell>
          <cell r="Q6" t="str">
            <v>a</v>
          </cell>
        </row>
        <row r="7">
          <cell r="L7" t="str">
            <v>movement space</v>
          </cell>
          <cell r="M7">
            <v>255</v>
          </cell>
          <cell r="N7">
            <v>550</v>
          </cell>
          <cell r="O7">
            <v>1</v>
          </cell>
          <cell r="P7">
            <v>550</v>
          </cell>
          <cell r="Q7" t="str">
            <v>a</v>
          </cell>
        </row>
        <row r="8">
          <cell r="L8" t="str">
            <v>wardrobe</v>
          </cell>
          <cell r="M8">
            <v>12</v>
          </cell>
          <cell r="N8">
            <v>250</v>
          </cell>
          <cell r="O8">
            <v>1</v>
          </cell>
          <cell r="P8">
            <v>250</v>
          </cell>
          <cell r="Q8" t="str">
            <v>a</v>
          </cell>
        </row>
        <row r="9">
          <cell r="L9" t="str">
            <v>office</v>
          </cell>
          <cell r="M9">
            <v>255</v>
          </cell>
          <cell r="N9">
            <v>350</v>
          </cell>
          <cell r="O9">
            <v>1</v>
          </cell>
          <cell r="P9">
            <v>350</v>
          </cell>
          <cell r="Q9" t="str">
            <v>b</v>
          </cell>
        </row>
        <row r="10">
          <cell r="L10" t="str">
            <v>pantry</v>
          </cell>
          <cell r="M10">
            <v>255</v>
          </cell>
          <cell r="N10">
            <v>285</v>
          </cell>
          <cell r="O10">
            <v>1</v>
          </cell>
          <cell r="P10">
            <v>285</v>
          </cell>
          <cell r="Q10" t="str">
            <v>d</v>
          </cell>
        </row>
        <row r="11">
          <cell r="L11" t="str">
            <v>showroom</v>
          </cell>
          <cell r="M11">
            <v>255</v>
          </cell>
          <cell r="N11">
            <v>330</v>
          </cell>
          <cell r="O11">
            <v>1</v>
          </cell>
          <cell r="P11">
            <v>330</v>
          </cell>
          <cell r="Q11" t="str">
            <v>d</v>
          </cell>
        </row>
        <row r="12">
          <cell r="L12" t="str">
            <v>toiletroom</v>
          </cell>
          <cell r="M12">
            <v>255</v>
          </cell>
          <cell r="N12">
            <v>60</v>
          </cell>
          <cell r="O12">
            <v>1</v>
          </cell>
          <cell r="P12">
            <v>60</v>
          </cell>
          <cell r="Q12" t="str">
            <v>c</v>
          </cell>
        </row>
        <row r="13">
          <cell r="L13" t="str">
            <v>trainingroom</v>
          </cell>
          <cell r="M13">
            <v>255</v>
          </cell>
          <cell r="N13">
            <v>425</v>
          </cell>
          <cell r="O13">
            <v>1</v>
          </cell>
          <cell r="P13">
            <v>425</v>
          </cell>
          <cell r="Q13" t="str">
            <v>d</v>
          </cell>
        </row>
        <row r="14">
          <cell r="L14" t="str">
            <v>washroom</v>
          </cell>
          <cell r="M14">
            <v>255</v>
          </cell>
          <cell r="N14">
            <v>60</v>
          </cell>
          <cell r="O14">
            <v>1</v>
          </cell>
          <cell r="P14">
            <v>60</v>
          </cell>
          <cell r="Q14" t="str">
            <v>c</v>
          </cell>
        </row>
        <row r="15">
          <cell r="L15" t="str">
            <v>elevator</v>
          </cell>
          <cell r="M15">
            <v>26</v>
          </cell>
          <cell r="N15">
            <v>80</v>
          </cell>
          <cell r="O15">
            <v>1</v>
          </cell>
          <cell r="P15">
            <v>80</v>
          </cell>
          <cell r="Q15" t="str">
            <v>a</v>
          </cell>
        </row>
      </sheetData>
      <sheetData sheetId="25"/>
      <sheetData sheetId="26"/>
      <sheetData sheetId="2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ndachtspunten"/>
      <sheetName val="Totaaloverzicht"/>
      <sheetName val="Normen"/>
      <sheetName val="Ruimtestaat"/>
      <sheetName val="Glasbewassing"/>
      <sheetName val="TARIEF"/>
      <sheetName val="BM"/>
      <sheetName val="Uurtarieven"/>
      <sheetName val="Invulblad uurtarieven"/>
      <sheetName val="Matrix artikel 17 CAO"/>
      <sheetName val="Basisgegevens"/>
      <sheetName val="Werkbare dagen"/>
    </sheetNames>
    <sheetDataSet>
      <sheetData sheetId="0"/>
      <sheetData sheetId="1"/>
      <sheetData sheetId="2">
        <row r="3">
          <cell r="A3" t="str">
            <v>archief  Tapijt  104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JEUGD Loongroep 1</v>
          </cell>
          <cell r="E6" t="str">
            <v>VAKVOLWASSENEN</v>
          </cell>
          <cell r="H6" t="str">
            <v>Ervaringsjarentoeslag</v>
          </cell>
        </row>
        <row r="7">
          <cell r="B7" t="str">
            <v>Leeftijd</v>
          </cell>
          <cell r="C7" t="str">
            <v>basisuurloon</v>
          </cell>
          <cell r="E7" t="str">
            <v>Loongroep</v>
          </cell>
          <cell r="F7" t="str">
            <v>basisuurloon</v>
          </cell>
          <cell r="H7" t="str">
            <v>Loongroep</v>
          </cell>
          <cell r="I7" t="str">
            <v>basisuurloon</v>
          </cell>
        </row>
        <row r="8">
          <cell r="B8">
            <v>17</v>
          </cell>
          <cell r="C8">
            <v>4.62</v>
          </cell>
          <cell r="E8">
            <v>1</v>
          </cell>
          <cell r="F8">
            <v>10.28</v>
          </cell>
          <cell r="H8">
            <v>1</v>
          </cell>
          <cell r="I8">
            <v>0.3</v>
          </cell>
        </row>
        <row r="9">
          <cell r="B9">
            <v>18</v>
          </cell>
          <cell r="C9">
            <v>5.65</v>
          </cell>
          <cell r="E9" t="str">
            <v>1 (+5%)</v>
          </cell>
          <cell r="F9">
            <v>10.79</v>
          </cell>
          <cell r="H9" t="str">
            <v>1 (+5%)</v>
          </cell>
          <cell r="I9">
            <v>0.32</v>
          </cell>
        </row>
        <row r="10">
          <cell r="B10">
            <v>19</v>
          </cell>
          <cell r="C10">
            <v>6.68</v>
          </cell>
          <cell r="E10">
            <v>2</v>
          </cell>
          <cell r="F10">
            <v>11.33</v>
          </cell>
          <cell r="H10">
            <v>2</v>
          </cell>
          <cell r="I10">
            <v>0.31</v>
          </cell>
        </row>
        <row r="11">
          <cell r="B11">
            <v>20</v>
          </cell>
          <cell r="C11">
            <v>7.71</v>
          </cell>
          <cell r="E11" t="str">
            <v>2 (+5%)</v>
          </cell>
          <cell r="F11">
            <v>11.89</v>
          </cell>
          <cell r="H11" t="str">
            <v>2 (+5%)</v>
          </cell>
          <cell r="I11">
            <v>0.32</v>
          </cell>
        </row>
        <row r="12">
          <cell r="B12">
            <v>21</v>
          </cell>
          <cell r="C12">
            <v>8.74</v>
          </cell>
          <cell r="E12">
            <v>3</v>
          </cell>
          <cell r="F12">
            <v>12.38</v>
          </cell>
          <cell r="H12">
            <v>3</v>
          </cell>
          <cell r="I12">
            <v>0.31</v>
          </cell>
        </row>
        <row r="21">
          <cell r="F21">
            <v>0.11940298507462686</v>
          </cell>
          <cell r="I21">
            <v>0.11940298507462686</v>
          </cell>
        </row>
        <row r="22">
          <cell r="E22">
            <v>10</v>
          </cell>
        </row>
        <row r="23">
          <cell r="F23">
            <v>2.7554535017221583E-2</v>
          </cell>
          <cell r="I23">
            <v>2.7554535017221583E-2</v>
          </cell>
        </row>
        <row r="24">
          <cell r="F24">
            <v>1.148105625717566E-3</v>
          </cell>
          <cell r="I24">
            <v>1.148105625717566E-3</v>
          </cell>
        </row>
        <row r="25">
          <cell r="F25">
            <v>0</v>
          </cell>
          <cell r="I25">
            <v>0</v>
          </cell>
        </row>
        <row r="26">
          <cell r="F26">
            <v>0</v>
          </cell>
          <cell r="I26">
            <v>1.3777267508610792E-2</v>
          </cell>
        </row>
        <row r="36">
          <cell r="E36">
            <v>9.4E-2</v>
          </cell>
        </row>
        <row r="45">
          <cell r="E45">
            <v>4.2000000000000003E-2</v>
          </cell>
          <cell r="I45">
            <v>65.25</v>
          </cell>
        </row>
        <row r="50">
          <cell r="E50">
            <v>9.0999999999999998E-2</v>
          </cell>
          <cell r="I50">
            <v>5.4</v>
          </cell>
        </row>
        <row r="51">
          <cell r="E51">
            <v>8.9999999999999993E-3</v>
          </cell>
        </row>
        <row r="56">
          <cell r="E56">
            <v>0.19106999999999996</v>
          </cell>
        </row>
        <row r="63">
          <cell r="E63">
            <v>0.36</v>
          </cell>
        </row>
        <row r="64">
          <cell r="E64">
            <v>0.16</v>
          </cell>
        </row>
        <row r="65">
          <cell r="E65">
            <v>0.18</v>
          </cell>
        </row>
        <row r="66">
          <cell r="E66">
            <v>0.22</v>
          </cell>
        </row>
        <row r="67">
          <cell r="E67">
            <v>0.28000000000000003</v>
          </cell>
        </row>
        <row r="68">
          <cell r="E68">
            <v>0.26</v>
          </cell>
        </row>
        <row r="70">
          <cell r="E70">
            <v>0.31</v>
          </cell>
        </row>
        <row r="71">
          <cell r="E71">
            <v>0.18</v>
          </cell>
        </row>
        <row r="72">
          <cell r="E72">
            <v>2.5000000000000001E-2</v>
          </cell>
        </row>
      </sheetData>
      <sheetData sheetId="1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TURING"/>
      <sheetName val="OBJECT "/>
      <sheetName val="CALCULATIE"/>
      <sheetName val="CALCULATIE 2 (2)"/>
      <sheetName val="CALCULATIE 2 (3)"/>
      <sheetName val="Blad3"/>
      <sheetName val="CALCULATIE 2 (4)"/>
      <sheetName val="SLOTSCHERM"/>
      <sheetName val="RAYON"/>
      <sheetName val="MD"/>
      <sheetName val="GLAS"/>
      <sheetName val="UURTARIEF"/>
      <sheetName val="Matrix"/>
      <sheetName val="T&amp;T Glas"/>
      <sheetName val="T&amp;T Spec"/>
    </sheetNames>
    <sheetDataSet>
      <sheetData sheetId="0" refreshError="1"/>
      <sheetData sheetId="1" refreshError="1">
        <row r="3">
          <cell r="B3" t="str">
            <v>VeenCampus</v>
          </cell>
        </row>
        <row r="4">
          <cell r="B4">
            <v>1655434</v>
          </cell>
        </row>
        <row r="8">
          <cell r="B8" t="str">
            <v>Laak Boulevard 400-408</v>
          </cell>
        </row>
        <row r="12">
          <cell r="B12" t="str">
            <v>Amersfoort (vathorst)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ek"/>
      <sheetName val="Huidig en Prognose"/>
      <sheetName val="BSC CA"/>
      <sheetName val="BSC SC"/>
      <sheetName val="Reductieberekening"/>
      <sheetName val="Voorcalcalcula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C3">
            <v>2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Blad3_(3)1"/>
      <sheetName val="Blad3_(2)1"/>
      <sheetName val="Kalender_(2)"/>
      <sheetName val="01_255"/>
      <sheetName val="02_255"/>
      <sheetName val="04_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  <sheetName val="Kengetallen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(EXT)"/>
      <sheetName val="Blad1"/>
      <sheetName val="CALC (EXT)"/>
      <sheetName val="Recap (INT)"/>
      <sheetName val="CALC (INT)"/>
      <sheetName val="normblad"/>
      <sheetName val="Basics en GC"/>
      <sheetName val="PVE_func eisen"/>
      <sheetName val="leeftijd"/>
      <sheetName val="Uurtarieven"/>
      <sheetName val="Percentages"/>
      <sheetName val="Toeslagen"/>
      <sheetName val="Indicatieve afroepprijzen"/>
      <sheetName val="Werkprogramma"/>
      <sheetName val="Tariefsopbouw"/>
      <sheetName val="Overnamegegevens"/>
      <sheetName val="Prestatiefactoren"/>
      <sheetName val="Ruimtestaat"/>
      <sheetName val="Glasbewassing"/>
      <sheetName val="Vloeronderhoud"/>
      <sheetName val="Extra werkzaamheden"/>
      <sheetName val="Regie en afroep"/>
      <sheetName val="Totalis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 overzicht"/>
      <sheetName val="functieschalen FUWA"/>
      <sheetName val="functieschalen HAY"/>
      <sheetName val="functieindeling"/>
      <sheetName val="Opstartkosten catering"/>
      <sheetName val="Totaaloverzicht"/>
      <sheetName val="Model"/>
      <sheetName val="8 jaar"/>
      <sheetName val="Bieding"/>
      <sheetName val="Account management jr1"/>
      <sheetName val="Account management jr 2"/>
      <sheetName val="Account management jr 3"/>
      <sheetName val="Account management jr 4"/>
      <sheetName val="Account management jr 5"/>
      <sheetName val="Tranisition costs jr 1"/>
      <sheetName val="5 year model"/>
      <sheetName val="NL"/>
      <sheetName val="Noord"/>
      <sheetName val="Zuid"/>
      <sheetName val="EMEA (2)"/>
      <sheetName val="EMEA"/>
      <sheetName val="Rates"/>
      <sheetName val="NL bench "/>
      <sheetName val="Assumptions"/>
      <sheetName val="Kengetallen oud"/>
      <sheetName val="overhead&amp;profit 2010"/>
      <sheetName val="Bewaking &amp; receptie 2010"/>
      <sheetName val="Facility Management 2010"/>
      <sheetName val="Schoonmaak 2010"/>
      <sheetName val="Model 2012"/>
      <sheetName val="Uren"/>
      <sheetName val="overzicht regelingen"/>
      <sheetName val="Prijsopbouw 2012"/>
      <sheetName val="Risico inventarisatie"/>
      <sheetName val="gemiddeld m2 tarief Noord"/>
      <sheetName val="gemiddeld m2 tarief Zuid"/>
      <sheetName val="Uitloop Noord"/>
      <sheetName val="Uitloop Zuid"/>
      <sheetName val="FM management"/>
      <sheetName val="FUWA uurtarieven"/>
      <sheetName val="functieschalen HAY (2)"/>
      <sheetName val="Personeel"/>
      <sheetName val="Blad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&amp; Assumptions"/>
      <sheetName val="Tender Settlement Form"/>
      <sheetName val="Adding Sheets"/>
      <sheetName val="Site Info"/>
      <sheetName val="Equip"/>
      <sheetName val="Periodics"/>
      <sheetName val="Comms_Tech"/>
      <sheetName val="Materials"/>
      <sheetName val="Amendments"/>
      <sheetName val="Other"/>
      <sheetName val="Hard Serv Subcon"/>
      <sheetName val="Hard Serv Matrix"/>
      <sheetName val="Tender Price Tracker Form"/>
      <sheetName val="Record of Tender Details"/>
      <sheetName val="Notification of Contract Award"/>
      <sheetName val="Contract Com no Signed Contract"/>
      <sheetName val="Hourly Rates"/>
      <sheetName val="Benchmarks"/>
      <sheetName val="Headcount Data"/>
      <sheetName val="Multi Service Details"/>
      <sheetName val="Summary"/>
      <sheetName val="Mobilisation"/>
      <sheetName val="MC"/>
      <sheetName val="SC1"/>
      <sheetName val="SC2"/>
      <sheetName val="SC3"/>
      <sheetName val="SC4"/>
      <sheetName val="Site (1)"/>
      <sheetName val="Sheet1"/>
      <sheetName val="Hygiene"/>
      <sheetName val="Site (2)"/>
      <sheetName val="Site (3)"/>
      <sheetName val="Site (4)"/>
      <sheetName val="Site (5)"/>
      <sheetName val="Site (6)"/>
      <sheetName val="Site (7)"/>
      <sheetName val="Site (8)"/>
      <sheetName val="Site (9)"/>
      <sheetName val="Site (10)"/>
      <sheetName val="Site (11)"/>
      <sheetName val="Site (12)"/>
      <sheetName val="Site (13)"/>
      <sheetName val="Site (14)"/>
      <sheetName val="Site (15)"/>
      <sheetName val="Site (16)"/>
      <sheetName val="Site (17)"/>
      <sheetName val="Site (18)"/>
      <sheetName val="Site (19)"/>
      <sheetName val="Site (20)"/>
      <sheetName val="Site (21)"/>
      <sheetName val="Site (22)"/>
      <sheetName val="Site (23)"/>
      <sheetName val="Site (24)"/>
      <sheetName val="Site (25)"/>
      <sheetName val="Site (26)"/>
      <sheetName val="Site (27)"/>
      <sheetName val="Site (28)"/>
      <sheetName val="Site (29)"/>
      <sheetName val="Site (30)"/>
      <sheetName val="Site (31)"/>
      <sheetName val="Site (32)"/>
      <sheetName val="Site (33)"/>
      <sheetName val="Site (34)"/>
      <sheetName val="Site (35)"/>
      <sheetName val="Site (36)"/>
      <sheetName val="Site (37)"/>
      <sheetName val="Site (38)"/>
      <sheetName val="Site (39)"/>
      <sheetName val="Site (40)"/>
      <sheetName val="Site (41)"/>
      <sheetName val="Site (42)"/>
      <sheetName val="Site (43)"/>
      <sheetName val="Site (44)"/>
      <sheetName val="Site (45)"/>
      <sheetName val="Site (46)"/>
      <sheetName val="Site (47)"/>
      <sheetName val="Site (48)"/>
      <sheetName val="Hygiene Requirements"/>
      <sheetName val="Laundry (Mats)"/>
      <sheetName val="Productivity Calcs"/>
      <sheetName val="Compact Productivity"/>
      <sheetName val="Assumed Pay Rates"/>
      <sheetName val="General Cleaning UK "/>
      <sheetName val="Pest Control"/>
      <sheetName val="Equipment"/>
      <sheetName val="Window Cleaning Costs"/>
      <sheetName val="Pandemic Protection Kits"/>
      <sheetName val="Landscaping"/>
      <sheetName val="Gritting"/>
      <sheetName val="5. General Waste (2)"/>
      <sheetName val="6. Recycled Waste (2)"/>
      <sheetName val="7. Confidential Waste (2)"/>
      <sheetName val="Instructions "/>
      <sheetName val="Staffing Numbers"/>
      <sheetName val="Consolidation of Annual Costs"/>
      <sheetName val="1. General Cleaning"/>
      <sheetName val="2. Consumables"/>
      <sheetName val="3. Horticulture"/>
      <sheetName val="4. Pest Control"/>
      <sheetName val="5. General Waste"/>
      <sheetName val="6. Recycled Waste"/>
      <sheetName val="7. Confidential Waste"/>
      <sheetName val="8. Additional services CE"/>
      <sheetName val="9. Laundry (Mats)"/>
      <sheetName val="10. Hygiene (Ancillary)"/>
      <sheetName val="11. Pandemic Protection"/>
      <sheetName val="12. Winter Gritting Service"/>
      <sheetName val="Sheet19"/>
      <sheetName val="Sign Off Summary"/>
      <sheetName val="Management Structure"/>
      <sheetName val="6. Recycled Waste (3)"/>
      <sheetName val="Auction Analysis"/>
      <sheetName val="Clarifications 1"/>
      <sheetName val="ISS v OCS"/>
      <sheetName val="Consolidation of Annual Cos (2"/>
      <sheetName val="European Benchmark"/>
      <sheetName val="Cleaning Missing Sites"/>
      <sheetName val="TUPE Data"/>
      <sheetName val="Redun"/>
      <sheetName val="Statutory Table"/>
      <sheetName val="Enhanced Table"/>
      <sheetName val="All Country Caveats"/>
    </sheetNames>
    <sheetDataSet>
      <sheetData sheetId="0">
        <row r="237">
          <cell r="D237" t="str">
            <v>Like</v>
          </cell>
          <cell r="E237" t="str">
            <v>Mobile</v>
          </cell>
          <cell r="F237" t="str">
            <v>Premium 2</v>
          </cell>
          <cell r="G237" t="str">
            <v>Premium 3</v>
          </cell>
          <cell r="H237" t="str">
            <v>Premium 4</v>
          </cell>
        </row>
      </sheetData>
      <sheetData sheetId="1"/>
      <sheetData sheetId="2"/>
      <sheetData sheetId="3"/>
      <sheetData sheetId="4">
        <row r="3">
          <cell r="J3" t="str">
            <v>Vacuum_Cleaners</v>
          </cell>
        </row>
        <row r="4">
          <cell r="J4" t="str">
            <v>Floor_Machines</v>
          </cell>
        </row>
        <row r="5">
          <cell r="J5" t="str">
            <v>Scrubber_Driers</v>
          </cell>
        </row>
        <row r="6">
          <cell r="J6" t="str">
            <v>Sweeper</v>
          </cell>
        </row>
        <row r="7">
          <cell r="J7" t="str">
            <v>Carpet_Machines</v>
          </cell>
        </row>
        <row r="8">
          <cell r="J8" t="str">
            <v>Pressure_Washer</v>
          </cell>
        </row>
        <row r="9">
          <cell r="J9" t="str">
            <v>Steamers</v>
          </cell>
        </row>
        <row r="10">
          <cell r="J10" t="str">
            <v>Access</v>
          </cell>
        </row>
        <row r="11">
          <cell r="J11" t="str">
            <v>Miscellaneous</v>
          </cell>
        </row>
        <row r="12">
          <cell r="J12" t="str">
            <v>Washing_Drying_Machines</v>
          </cell>
        </row>
        <row r="13">
          <cell r="J13" t="str">
            <v>Specialist</v>
          </cell>
        </row>
        <row r="14">
          <cell r="J14" t="str">
            <v>Security</v>
          </cell>
        </row>
        <row r="15">
          <cell r="J15" t="str">
            <v>Maint</v>
          </cell>
        </row>
        <row r="16">
          <cell r="J16" t="str">
            <v>Catering</v>
          </cell>
        </row>
        <row r="17">
          <cell r="J17" t="str">
            <v>&lt; Reserved &gt;</v>
          </cell>
        </row>
        <row r="18">
          <cell r="J18" t="str">
            <v>&lt; Reserved &gt;</v>
          </cell>
        </row>
        <row r="19">
          <cell r="J19" t="str">
            <v>&lt; Reserved &gt;</v>
          </cell>
        </row>
      </sheetData>
      <sheetData sheetId="5">
        <row r="3">
          <cell r="K3" t="str">
            <v>CARPET</v>
          </cell>
        </row>
        <row r="4">
          <cell r="K4" t="str">
            <v>HARD_FLOOR</v>
          </cell>
        </row>
        <row r="5">
          <cell r="K5" t="str">
            <v xml:space="preserve">FABRIC_CHAIR  </v>
          </cell>
        </row>
        <row r="6">
          <cell r="K6" t="str">
            <v>PVC_CHAIR</v>
          </cell>
        </row>
        <row r="7">
          <cell r="K7" t="str">
            <v>CEILING</v>
          </cell>
        </row>
        <row r="8">
          <cell r="K8" t="str">
            <v xml:space="preserve">LIGHT_DIFFUSERS  </v>
          </cell>
        </row>
        <row r="9">
          <cell r="K9" t="str">
            <v>WALL__Per_m²__floor_area</v>
          </cell>
        </row>
        <row r="10">
          <cell r="K10" t="str">
            <v>VENETIAN_BLINDS</v>
          </cell>
        </row>
        <row r="11">
          <cell r="K11" t="str">
            <v>HORIZONTAL_BLINDS</v>
          </cell>
        </row>
        <row r="12">
          <cell r="K12" t="str">
            <v>CURTAINS</v>
          </cell>
        </row>
        <row r="13">
          <cell r="K13" t="str">
            <v>NET_CURTAINS</v>
          </cell>
        </row>
        <row r="14">
          <cell r="K14" t="str">
            <v>GRAFFITI_REMOVAL</v>
          </cell>
        </row>
        <row r="15">
          <cell r="K15" t="str">
            <v>VDU_SCREEN_TERMINAL</v>
          </cell>
        </row>
        <row r="16">
          <cell r="K16" t="str">
            <v>KEYBOARD</v>
          </cell>
        </row>
        <row r="17">
          <cell r="K17" t="str">
            <v>TELEPHONE</v>
          </cell>
        </row>
        <row r="18">
          <cell r="K18" t="str">
            <v>FAX_PRINTER_COPIER_ETC.</v>
          </cell>
        </row>
        <row r="19">
          <cell r="K19" t="str">
            <v>COMPUTER_FLOOR_VOIDS</v>
          </cell>
        </row>
        <row r="20">
          <cell r="K20" t="str">
            <v>KITCHEN</v>
          </cell>
        </row>
        <row r="21">
          <cell r="K21" t="str">
            <v>TOILET</v>
          </cell>
        </row>
        <row r="22">
          <cell r="K22" t="str">
            <v>SANITARY_WARE</v>
          </cell>
        </row>
        <row r="23">
          <cell r="K23" t="str">
            <v>TERRAZZO_MARBLE_FLOOR</v>
          </cell>
        </row>
        <row r="24">
          <cell r="K24" t="str">
            <v>EXTERNAL_CLADDING</v>
          </cell>
        </row>
        <row r="25">
          <cell r="K25" t="str">
            <v>UNDERSIDE_OF_CANOPIES</v>
          </cell>
        </row>
        <row r="26">
          <cell r="K26" t="str">
            <v>INTERNAL_PARTITION_WINDOWS</v>
          </cell>
        </row>
        <row r="27">
          <cell r="K27" t="str">
            <v>CLEAN_REFRIGERATOR</v>
          </cell>
        </row>
        <row r="28">
          <cell r="K28" t="str">
            <v>REMOVE_RESTORE_FURNITURE</v>
          </cell>
        </row>
        <row r="29">
          <cell r="K29" t="str">
            <v>&lt;RESERVED&gt;</v>
          </cell>
        </row>
        <row r="30">
          <cell r="K30" t="str">
            <v>&lt;RESERVED&gt;</v>
          </cell>
        </row>
        <row r="31">
          <cell r="K31" t="str">
            <v>&lt;RESERVED&gt;</v>
          </cell>
        </row>
      </sheetData>
      <sheetData sheetId="6">
        <row r="3">
          <cell r="H3" t="str">
            <v>Technology</v>
          </cell>
        </row>
        <row r="4">
          <cell r="H4" t="str">
            <v>Communication</v>
          </cell>
        </row>
      </sheetData>
      <sheetData sheetId="7">
        <row r="3">
          <cell r="I3" t="str">
            <v>KLEENEX® Everyday Use Hand Cleanser - 6331 -6x1000ml</v>
          </cell>
          <cell r="J3" t="str">
            <v>KLEENEX® Ultra Hand Towels - Medium - 6778 -15 sleeves x 124 sheets</v>
          </cell>
          <cell r="K3" t="str">
            <v>KLEENEX® 27 Bulk Pack Toilet Tissue - 4477 -27 sleeves x 260 sheets</v>
          </cell>
          <cell r="L3" t="str">
            <v>Consumable - Standard</v>
          </cell>
        </row>
        <row r="4">
          <cell r="I4" t="str">
            <v>KLEENEX® Luxury Foam Frequent Use Hand Cleanser - 6342 -6x1000ml</v>
          </cell>
          <cell r="J4" t="str">
            <v>KLEENEX® Ultra Hand Towels - Small - 6789 -15 sleeves x 186 sheets</v>
          </cell>
          <cell r="K4" t="str">
            <v>SCOTT® 36 Bulk Pack, 2ply - 8577 -36 sleeves x 300 sheets</v>
          </cell>
          <cell r="L4" t="str">
            <v>Consumable - Deluxe</v>
          </cell>
        </row>
        <row r="5">
          <cell r="I5" t="str">
            <v>&lt; Reserved &gt;</v>
          </cell>
          <cell r="J5" t="str">
            <v>SCOTT® Performance Hand Towels - Medium - 6663 -15 sleeves x 212 sheets</v>
          </cell>
          <cell r="K5" t="str">
            <v>KLEENEX® Ultra Midi Jumbo Toilet Tissue - 8515 -6 rolls x 1250 sheets</v>
          </cell>
          <cell r="L5" t="str">
            <v>Consumable - Luxury</v>
          </cell>
        </row>
        <row r="6">
          <cell r="I6" t="str">
            <v>&lt; Reserved &gt;</v>
          </cell>
          <cell r="J6" t="str">
            <v>Scott Xtra Folded Hand Towels - Medium - 6669 -15 sleeves x 240 sheets</v>
          </cell>
          <cell r="K6" t="str">
            <v>HOSTESS* 200 Jumbo Toilet Tissue - 8614 -12 rolls x 1000 sheets</v>
          </cell>
          <cell r="L6" t="str">
            <v>&lt; Reserved &gt;</v>
          </cell>
        </row>
        <row r="7">
          <cell r="I7" t="str">
            <v>&lt; Reserved &gt;</v>
          </cell>
          <cell r="J7" t="str">
            <v>SCOTT® Performance Hand Towels - Small - 6689 -15 sleeves x 274 sheets</v>
          </cell>
          <cell r="K7" t="str">
            <v>HOSTESS* 200 Jumbo Toilet Tissue - 8615 -12 rolls x 1000 sheets</v>
          </cell>
          <cell r="L7" t="str">
            <v>&lt; Reserved &gt;</v>
          </cell>
        </row>
        <row r="8">
          <cell r="J8" t="str">
            <v>SCOTT® Xtra Folded Hand Towels - Small - 6677 -15 sleeves x 320 sheets</v>
          </cell>
          <cell r="K8" t="str">
            <v>HOSTESS* 320 Toilet Tissue Rolls - 8653 -36 rolls x 320 sheets</v>
          </cell>
          <cell r="L8" t="str">
            <v>&lt; Reserved &gt;</v>
          </cell>
        </row>
        <row r="9">
          <cell r="J9" t="str">
            <v>SCOTT® Xtra Rolled Hand Towels - 6667 -6 rolls x 304 metres</v>
          </cell>
          <cell r="K9" t="str">
            <v>&lt; Reserved &gt;</v>
          </cell>
        </row>
        <row r="10">
          <cell r="J10" t="str">
            <v>SCOTT® Xtra Rolled Hand Towels - Blue - 6668 -6 rolls x 304 metres</v>
          </cell>
          <cell r="K10" t="str">
            <v>&lt; Reserved &gt;</v>
          </cell>
        </row>
        <row r="11">
          <cell r="J11" t="str">
            <v>&lt; Reserved &gt;</v>
          </cell>
          <cell r="K11" t="str">
            <v>&lt; Reserved &gt;</v>
          </cell>
        </row>
        <row r="12">
          <cell r="J12" t="str">
            <v>&lt; Reserved &gt;</v>
          </cell>
        </row>
        <row r="13">
          <cell r="J13" t="str">
            <v>&lt; Reserved &gt;</v>
          </cell>
        </row>
      </sheetData>
      <sheetData sheetId="8"/>
      <sheetData sheetId="9">
        <row r="22">
          <cell r="B22" t="str">
            <v>Standard DBS Check</v>
          </cell>
        </row>
        <row r="23">
          <cell r="B23" t="str">
            <v>Enhanced DBS Check</v>
          </cell>
        </row>
        <row r="33">
          <cell r="B33" t="str">
            <v>Operative Part Time</v>
          </cell>
        </row>
        <row r="34">
          <cell r="B34" t="str">
            <v>Operative Full Time</v>
          </cell>
        </row>
        <row r="35">
          <cell r="B35" t="str">
            <v>Supervisor Part Time</v>
          </cell>
        </row>
        <row r="36">
          <cell r="B36" t="str">
            <v>Supervisor Full Time</v>
          </cell>
        </row>
        <row r="37">
          <cell r="B37" t="str">
            <v>External Operative</v>
          </cell>
        </row>
        <row r="38">
          <cell r="B38" t="str">
            <v>Warehouse Operative</v>
          </cell>
        </row>
        <row r="39">
          <cell r="B39" t="str">
            <v>Mobile Operative</v>
          </cell>
        </row>
        <row r="40">
          <cell r="B40" t="str">
            <v>Engineering Operative</v>
          </cell>
        </row>
        <row r="41">
          <cell r="B41" t="str">
            <v>Security Operative</v>
          </cell>
        </row>
        <row r="42">
          <cell r="B42" t="str">
            <v>Catering  Assistant</v>
          </cell>
        </row>
        <row r="43">
          <cell r="B43" t="str">
            <v>Chefs</v>
          </cell>
        </row>
        <row r="44">
          <cell r="B44" t="str">
            <v>Site Manager</v>
          </cell>
        </row>
        <row r="45">
          <cell r="B45" t="str">
            <v>Blank 1</v>
          </cell>
        </row>
        <row r="46">
          <cell r="B46" t="str">
            <v>Blank 2</v>
          </cell>
        </row>
        <row r="47">
          <cell r="B47" t="str">
            <v>Blank 3</v>
          </cell>
        </row>
        <row r="52">
          <cell r="C52" t="str">
            <v>Band 5 - Ford Focus Estate 1.6D 90 Style DPF</v>
          </cell>
          <cell r="D52" t="str">
            <v>Band 4 - Ford Mondeo 2.0TDCi 115PS Edge 5Sp 5Dr Hatch</v>
          </cell>
          <cell r="E52" t="str">
            <v>Band 3 - Renault Megane 5Dr Hatch 1.9dCi 130 Privilege Tom Tom</v>
          </cell>
          <cell r="F52" t="str">
            <v>Band 2- Ford Mondeo 5Dr 2.0D 163ps Titanium X</v>
          </cell>
          <cell r="G52" t="str">
            <v>Yes</v>
          </cell>
        </row>
        <row r="53">
          <cell r="B53">
            <v>10000</v>
          </cell>
          <cell r="G53" t="str">
            <v>No</v>
          </cell>
        </row>
        <row r="54">
          <cell r="B54">
            <v>15000</v>
          </cell>
        </row>
        <row r="55">
          <cell r="B55">
            <v>20000</v>
          </cell>
        </row>
        <row r="56">
          <cell r="B56">
            <v>25000</v>
          </cell>
        </row>
        <row r="57">
          <cell r="B57">
            <v>30000</v>
          </cell>
        </row>
        <row r="62">
          <cell r="B62" t="str">
            <v>85 x 120 cm (4" x 3")</v>
          </cell>
          <cell r="F62" t="str">
            <v>Standard</v>
          </cell>
          <cell r="G62" t="str">
            <v>Weekly</v>
          </cell>
        </row>
        <row r="63">
          <cell r="B63" t="str">
            <v>85 x 150 cm (5" x 3"</v>
          </cell>
          <cell r="F63" t="str">
            <v>Uni Colour</v>
          </cell>
          <cell r="G63" t="str">
            <v>Fortnightly</v>
          </cell>
        </row>
        <row r="64">
          <cell r="B64" t="str">
            <v>120 x 180 cm (6" x 4")</v>
          </cell>
          <cell r="F64" t="str">
            <v>Logo</v>
          </cell>
          <cell r="G64" t="str">
            <v>4 Weekly</v>
          </cell>
        </row>
        <row r="65">
          <cell r="B65" t="str">
            <v>85 x 240 cm (8" x 3")</v>
          </cell>
        </row>
        <row r="66">
          <cell r="B66" t="str">
            <v>85 x 360 cm (12" x 3")</v>
          </cell>
        </row>
        <row r="70">
          <cell r="C70" t="str">
            <v>Small Van - Renault Kangoo ML19cDi 75 (without Tom Tom)</v>
          </cell>
          <cell r="D70" t="str">
            <v>Small Van - Renault Trafic SWB SL27 115cDi</v>
          </cell>
          <cell r="E70" t="str">
            <v>Small Van - Renault Trafic SWB SL27 115cDi Crew Cab</v>
          </cell>
          <cell r="F70" t="str">
            <v>Medium Van - Renault Trafic LWB LH29dCi 115</v>
          </cell>
          <cell r="G70" t="str">
            <v>Medium Van - Renault Trafic LWB LL29dCi 115ps Double Cab</v>
          </cell>
          <cell r="H70" t="str">
            <v>Large Van -Renault Master MM35 150dCi</v>
          </cell>
          <cell r="I70" t="str">
            <v>Large Van - Renault Master MML35dCi 125ps Crew Van</v>
          </cell>
          <cell r="J70" t="str">
            <v>Crew Bus - Renault Trafic LL29 115ps 9 Seater</v>
          </cell>
        </row>
        <row r="71">
          <cell r="B71">
            <v>10000</v>
          </cell>
        </row>
        <row r="72">
          <cell r="B72">
            <v>15000</v>
          </cell>
        </row>
        <row r="73">
          <cell r="B73">
            <v>20000</v>
          </cell>
        </row>
        <row r="74">
          <cell r="B74">
            <v>25000</v>
          </cell>
        </row>
        <row r="75">
          <cell r="B75">
            <v>30000</v>
          </cell>
        </row>
        <row r="83">
          <cell r="B83">
            <v>0.9</v>
          </cell>
        </row>
        <row r="84">
          <cell r="B84">
            <v>0.8</v>
          </cell>
        </row>
        <row r="85">
          <cell r="B85">
            <v>0.7</v>
          </cell>
        </row>
        <row r="86">
          <cell r="B86">
            <v>0.6</v>
          </cell>
        </row>
        <row r="87">
          <cell r="B87">
            <v>0.5</v>
          </cell>
        </row>
        <row r="88">
          <cell r="B88">
            <v>0.4</v>
          </cell>
        </row>
        <row r="89">
          <cell r="B89">
            <v>0.3</v>
          </cell>
        </row>
        <row r="90">
          <cell r="B90">
            <v>0.2</v>
          </cell>
        </row>
        <row r="91">
          <cell r="B91">
            <v>0.1</v>
          </cell>
        </row>
        <row r="92">
          <cell r="B92">
            <v>0</v>
          </cell>
        </row>
        <row r="95">
          <cell r="B95">
            <v>0.01</v>
          </cell>
        </row>
        <row r="96">
          <cell r="B96">
            <v>0.02</v>
          </cell>
        </row>
        <row r="97">
          <cell r="B97">
            <v>0.03</v>
          </cell>
        </row>
        <row r="100">
          <cell r="B100">
            <v>0.1</v>
          </cell>
        </row>
        <row r="101">
          <cell r="B101">
            <v>0.2</v>
          </cell>
        </row>
        <row r="102">
          <cell r="B102">
            <v>0.3</v>
          </cell>
        </row>
        <row r="103">
          <cell r="B103">
            <v>0.4</v>
          </cell>
        </row>
        <row r="104">
          <cell r="B104">
            <v>0.5</v>
          </cell>
        </row>
        <row r="105">
          <cell r="B105">
            <v>0.6</v>
          </cell>
        </row>
      </sheetData>
      <sheetData sheetId="10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 t="str">
            <v>Cleaning</v>
          </cell>
        </row>
        <row r="6">
          <cell r="A6" t="str">
            <v>Supervisor</v>
          </cell>
        </row>
        <row r="7">
          <cell r="A7" t="str">
            <v>Janitor</v>
          </cell>
        </row>
        <row r="8">
          <cell r="A8" t="str">
            <v>Service 4</v>
          </cell>
        </row>
        <row r="9">
          <cell r="A9" t="str">
            <v>Service 5</v>
          </cell>
        </row>
        <row r="10">
          <cell r="A10" t="str">
            <v>Service 6</v>
          </cell>
        </row>
        <row r="11">
          <cell r="A11" t="str">
            <v>Service 7</v>
          </cell>
        </row>
        <row r="12">
          <cell r="A12" t="str">
            <v>Service 8</v>
          </cell>
        </row>
        <row r="13">
          <cell r="A13" t="str">
            <v>Service 9</v>
          </cell>
        </row>
        <row r="14">
          <cell r="A14" t="str">
            <v>Service 10</v>
          </cell>
        </row>
        <row r="15">
          <cell r="A15" t="str">
            <v>Service 11</v>
          </cell>
        </row>
        <row r="16">
          <cell r="A16" t="str">
            <v>Service 12</v>
          </cell>
        </row>
        <row r="17">
          <cell r="A17" t="str">
            <v>Service 13</v>
          </cell>
        </row>
        <row r="18">
          <cell r="A18" t="str">
            <v>Service 14</v>
          </cell>
        </row>
        <row r="19">
          <cell r="A19" t="str">
            <v>Service 15</v>
          </cell>
        </row>
        <row r="20">
          <cell r="A20" t="str">
            <v>Service 16</v>
          </cell>
        </row>
        <row r="21">
          <cell r="A21" t="str">
            <v>Service 17</v>
          </cell>
        </row>
        <row r="22">
          <cell r="A22" t="str">
            <v>Service 18</v>
          </cell>
        </row>
        <row r="23">
          <cell r="A23" t="str">
            <v>Service 19</v>
          </cell>
        </row>
        <row r="24">
          <cell r="A24" t="str">
            <v>Service 20</v>
          </cell>
        </row>
        <row r="25">
          <cell r="A25" t="str">
            <v>Service 21</v>
          </cell>
        </row>
        <row r="26">
          <cell r="A26" t="str">
            <v>Service 22</v>
          </cell>
        </row>
        <row r="27">
          <cell r="A27" t="str">
            <v>Service 23</v>
          </cell>
        </row>
        <row r="28">
          <cell r="A28" t="str">
            <v>Service 24</v>
          </cell>
        </row>
        <row r="29">
          <cell r="A29" t="str">
            <v>Service 25</v>
          </cell>
        </row>
      </sheetData>
      <sheetData sheetId="20"/>
      <sheetData sheetId="21"/>
      <sheetData sheetId="22"/>
      <sheetData sheetId="23"/>
      <sheetData sheetId="24">
        <row r="421">
          <cell r="T421">
            <v>136155.66428434438</v>
          </cell>
        </row>
      </sheetData>
      <sheetData sheetId="25"/>
      <sheetData sheetId="26"/>
      <sheetData sheetId="27"/>
      <sheetData sheetId="28">
        <row r="3">
          <cell r="E3" t="str">
            <v>Security</v>
          </cell>
          <cell r="G3" t="str">
            <v>London</v>
          </cell>
        </row>
        <row r="4">
          <cell r="E4" t="str">
            <v>M&amp;E</v>
          </cell>
          <cell r="G4" t="str">
            <v>National</v>
          </cell>
        </row>
        <row r="5">
          <cell r="E5" t="str">
            <v>Cleaning</v>
          </cell>
        </row>
        <row r="6">
          <cell r="E6" t="str">
            <v>Other</v>
          </cell>
        </row>
        <row r="7">
          <cell r="E7" t="str">
            <v>Landscaping</v>
          </cell>
        </row>
        <row r="8">
          <cell r="E8" t="str">
            <v>Catering</v>
          </cell>
        </row>
        <row r="9">
          <cell r="E9" t="str">
            <v>Reception</v>
          </cell>
        </row>
        <row r="10">
          <cell r="E10" t="str">
            <v>FM Services</v>
          </cell>
        </row>
        <row r="11">
          <cell r="E11" t="str">
            <v>Helpdesk</v>
          </cell>
        </row>
        <row r="12">
          <cell r="E12" t="str">
            <v>Portering</v>
          </cell>
        </row>
        <row r="13">
          <cell r="E13" t="str">
            <v>Mail</v>
          </cell>
        </row>
        <row r="14">
          <cell r="E14" t="str">
            <v>Reprographics</v>
          </cell>
        </row>
        <row r="15">
          <cell r="E15" t="str">
            <v>Management</v>
          </cell>
        </row>
        <row r="16">
          <cell r="E16" t="str">
            <v>Waste</v>
          </cell>
        </row>
        <row r="17">
          <cell r="E17" t="str">
            <v>Pest</v>
          </cell>
        </row>
      </sheetData>
      <sheetData sheetId="29">
        <row r="3">
          <cell r="L3" t="str">
            <v>Disposal_Bins</v>
          </cell>
        </row>
        <row r="4">
          <cell r="L4" t="str">
            <v>Air_Fresheners</v>
          </cell>
        </row>
        <row r="5">
          <cell r="L5" t="str">
            <v>Vending_Machine</v>
          </cell>
        </row>
        <row r="6">
          <cell r="L6" t="str">
            <v>Roller_Towels</v>
          </cell>
        </row>
        <row r="7">
          <cell r="L7" t="str">
            <v>Sanitisation</v>
          </cell>
        </row>
        <row r="8">
          <cell r="L8" t="str">
            <v>Platinum_Range</v>
          </cell>
        </row>
        <row r="9">
          <cell r="L9" t="str">
            <v>Hand_Care</v>
          </cell>
        </row>
        <row r="10">
          <cell r="L10" t="str">
            <v>Medical_Services</v>
          </cell>
        </row>
        <row r="11">
          <cell r="L11" t="str">
            <v>&lt;Reserved&gt;</v>
          </cell>
        </row>
        <row r="12">
          <cell r="L12" t="str">
            <v>&lt;Reserved&gt;</v>
          </cell>
        </row>
        <row r="13">
          <cell r="L13" t="str">
            <v>&lt;Reserved&gt;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name personeel"/>
      <sheetName val="20121015_Overnamegegevens berek"/>
    </sheetNames>
    <definedNames>
      <definedName name="Berkt" refersTo="#VERW!"/>
      <definedName name="Gan_R" refersTo="#VERW!"/>
      <definedName name="totaal" refersTo="#VERW!"/>
    </definedNames>
    <sheetDataSet>
      <sheetData sheetId="0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totaal (2)"/>
      <sheetName val="totaal"/>
      <sheetName val="basisgegevens"/>
      <sheetName val="overige m2 prijzen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Extra gegevens vestigingen OGN "/>
    </sheetNames>
    <sheetDataSet>
      <sheetData sheetId="0">
        <row r="2">
          <cell r="A2" t="str">
            <v>bestek</v>
          </cell>
        </row>
        <row r="3">
          <cell r="A3" t="str">
            <v>2015-1100</v>
          </cell>
        </row>
      </sheetData>
      <sheetData sheetId="1"/>
      <sheetData sheetId="2"/>
      <sheetData sheetId="3">
        <row r="4">
          <cell r="B4" t="str">
            <v>Stichting Onderwijsgroep Noord</v>
          </cell>
        </row>
      </sheetData>
      <sheetData sheetId="4"/>
      <sheetData sheetId="5">
        <row r="37">
          <cell r="E37">
            <v>0</v>
          </cell>
          <cell r="G37">
            <v>0</v>
          </cell>
          <cell r="I3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e Information - LAR"/>
      <sheetName val="Site Selection"/>
      <sheetName val="Sheet3"/>
      <sheetName val="Country summary data"/>
      <sheetName val="Site Info - 11-27-06 (2)"/>
    </sheetNames>
    <sheetDataSet>
      <sheetData sheetId="0"/>
      <sheetData sheetId="1"/>
      <sheetData sheetId="2" refreshError="1">
        <row r="10">
          <cell r="B10" t="str">
            <v>office</v>
          </cell>
        </row>
        <row r="11">
          <cell r="B11" t="str">
            <v>data center</v>
          </cell>
        </row>
        <row r="12">
          <cell r="B12" t="str">
            <v>warehouse</v>
          </cell>
        </row>
        <row r="13">
          <cell r="B13" t="str">
            <v>manufacturing/warehouse</v>
          </cell>
        </row>
        <row r="14">
          <cell r="B14" t="str">
            <v>fab</v>
          </cell>
        </row>
        <row r="15">
          <cell r="B15" t="str">
            <v>café</v>
          </cell>
        </row>
        <row r="16">
          <cell r="B16" t="str">
            <v>parking structure</v>
          </cell>
        </row>
        <row r="17">
          <cell r="B17" t="str">
            <v>conference</v>
          </cell>
        </row>
        <row r="18">
          <cell r="B18" t="str">
            <v>other - enter type</v>
          </cell>
        </row>
        <row r="21">
          <cell r="B21" t="str">
            <v>tar</v>
          </cell>
          <cell r="C21" t="str">
            <v>normal</v>
          </cell>
        </row>
        <row r="22">
          <cell r="B22" t="str">
            <v>asphalt</v>
          </cell>
          <cell r="C22" t="str">
            <v>24 x 7</v>
          </cell>
        </row>
        <row r="23">
          <cell r="B23" t="str">
            <v>membrane</v>
          </cell>
          <cell r="C23" t="str">
            <v>24 x 5</v>
          </cell>
        </row>
        <row r="24">
          <cell r="B24" t="str">
            <v>metal</v>
          </cell>
          <cell r="C24" t="str">
            <v>16 x 7</v>
          </cell>
        </row>
        <row r="25">
          <cell r="B25" t="str">
            <v>other - enter type</v>
          </cell>
          <cell r="C25" t="str">
            <v>16 x 5</v>
          </cell>
        </row>
        <row r="26">
          <cell r="C26" t="str">
            <v>other - enter type</v>
          </cell>
        </row>
        <row r="30">
          <cell r="C30">
            <v>1</v>
          </cell>
        </row>
        <row r="31">
          <cell r="C31">
            <v>2</v>
          </cell>
        </row>
      </sheetData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Risicoprofiel (1)"/>
      <sheetName val="Risicoprofiel (2)"/>
      <sheetName val="1-Contractblad dag (1)"/>
      <sheetName val="1-Contractblad dag (2)"/>
      <sheetName val="2-Kengetal"/>
      <sheetName val="3-Basis ruimtestaat"/>
      <sheetName val="4-Premies en opslagen"/>
      <sheetName val="5-Opbouw uurtarieven"/>
      <sheetName val="6- toeslagenmatrix"/>
      <sheetName val="7-Machine-investeringskosten 1"/>
      <sheetName val="7-Machine-investeringskoste 2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  <sheetName val="Prijsopbouw_2004"/>
      <sheetName val="Niet-meewerkende_objectleiding"/>
      <sheetName val="Kengetallen_per_ruimte"/>
      <sheetName val="Regulier_werk"/>
      <sheetName val="Gegunde_beurten"/>
      <sheetName val="Afroep_incidenteel"/>
      <sheetName val="HHS-origineel_offerte_definitie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Summary"/>
      <sheetName val="Service Standards"/>
      <sheetName val="Sheet2"/>
      <sheetName val="Sheet3"/>
    </sheetNames>
    <sheetDataSet>
      <sheetData sheetId="0"/>
      <sheetData sheetId="1"/>
      <sheetData sheetId="2">
        <row r="3">
          <cell r="G3" t="str">
            <v>Self-perform</v>
          </cell>
        </row>
        <row r="4">
          <cell r="G4" t="str">
            <v>Subcontract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enorm-Kengetal"/>
      <sheetName val="Basis ruimtestaat"/>
      <sheetName val="Jaarprijs smk"/>
      <sheetName val="Glasbewassing"/>
      <sheetName val="Investering machines"/>
      <sheetName val="Afroepprijzen"/>
      <sheetName val="prijsopbou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9">
          <cell r="O19">
            <v>1.0486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kelijke dagen"/>
      <sheetName val="PVE"/>
      <sheetName val="opening"/>
      <sheetName val="GC"/>
      <sheetName val="extra's"/>
      <sheetName val="Normenblad (2)"/>
      <sheetName val="DT_ma_vr"/>
      <sheetName val="DT_za_zo"/>
      <sheetName val="DT_fe"/>
      <sheetName val="Calc_ma_vr"/>
      <sheetName val="Calc_za_zo"/>
      <sheetName val="Calc_za"/>
      <sheetName val="Calc_zo"/>
      <sheetName val="Calc_fe"/>
      <sheetName val="normen_ma_vr"/>
      <sheetName val="normen_za_zo"/>
      <sheetName val="normen_fe"/>
      <sheetName val="normen"/>
      <sheetName val="Inventarisatie (2)"/>
      <sheetName val="Recap totaal"/>
      <sheetName val="Uurtarieven matrix"/>
      <sheetName val="Recap_ma_vr"/>
      <sheetName val="Recap_za"/>
      <sheetName val="Recap_zo"/>
      <sheetName val="Recap_fe"/>
      <sheetName val="Uurtarieven"/>
      <sheetName val="Percentages"/>
      <sheetName val="Toeslagen"/>
      <sheetName val="Inventarisatie"/>
      <sheetName val="medewerker smo uurtarief"/>
      <sheetName val="voorman smo uurtarief"/>
      <sheetName val="objectleiding smo uurtarief"/>
      <sheetName val="dagkracht uurtarief"/>
      <sheetName val="Specialistisch uurtarief"/>
      <sheetName val="regie uurtarief"/>
      <sheetName val="garderobe-sanitair uurtarief"/>
      <sheetName val="Normenblad"/>
      <sheetName val="Calculatieblad"/>
      <sheetName val="basisgegevens"/>
      <sheetName val="opleiding"/>
      <sheetName val="Calculatieoverzicht"/>
      <sheetName val="Afroepprijzen"/>
      <sheetName val="Fusernet"/>
      <sheetName val="Indicatieve afroepprijzen"/>
      <sheetName val="Extra We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34.995535025718169</v>
          </cell>
          <cell r="J11">
            <v>56.767404482848633</v>
          </cell>
        </row>
        <row r="17">
          <cell r="H17">
            <v>39.014980605357081</v>
          </cell>
          <cell r="J17">
            <v>63.669695917439341</v>
          </cell>
        </row>
        <row r="23">
          <cell r="H23">
            <v>42.524230280355937</v>
          </cell>
          <cell r="J23">
            <v>69.397886735046285</v>
          </cell>
        </row>
        <row r="29">
          <cell r="H29">
            <v>36.154433469550725</v>
          </cell>
          <cell r="J29">
            <v>58.546710233107632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6">
          <cell r="E16">
            <v>21.77186945713046</v>
          </cell>
        </row>
      </sheetData>
      <sheetData sheetId="30">
        <row r="16">
          <cell r="E16">
            <v>24.65471531208226</v>
          </cell>
        </row>
        <row r="42">
          <cell r="E42">
            <v>26.687622949315951</v>
          </cell>
        </row>
      </sheetData>
      <sheetData sheetId="31">
        <row r="16">
          <cell r="E16">
            <v>26.873656454690348</v>
          </cell>
        </row>
        <row r="42">
          <cell r="E42">
            <v>29.087402053010759</v>
          </cell>
        </row>
      </sheetData>
      <sheetData sheetId="32">
        <row r="16">
          <cell r="E16">
            <v>22.392276763556907</v>
          </cell>
        </row>
        <row r="42">
          <cell r="E42">
            <v>24.958295087772271</v>
          </cell>
        </row>
      </sheetData>
      <sheetData sheetId="33">
        <row r="16">
          <cell r="E16">
            <v>23.530114887819582</v>
          </cell>
        </row>
        <row r="42">
          <cell r="E42">
            <v>28.652341765000376</v>
          </cell>
        </row>
      </sheetData>
      <sheetData sheetId="34">
        <row r="16">
          <cell r="E16">
            <v>21.77186945713046</v>
          </cell>
        </row>
        <row r="42">
          <cell r="E42">
            <v>24.568830779003473</v>
          </cell>
        </row>
      </sheetData>
      <sheetData sheetId="35">
        <row r="16">
          <cell r="E16">
            <v>21.77186945713046</v>
          </cell>
        </row>
        <row r="42">
          <cell r="E42">
            <v>24.054876397152945</v>
          </cell>
        </row>
      </sheetData>
      <sheetData sheetId="36">
        <row r="18">
          <cell r="Q18" t="str">
            <v>m257k</v>
          </cell>
          <cell r="R18">
            <v>0</v>
          </cell>
        </row>
        <row r="19">
          <cell r="Q19" t="str">
            <v>m204k</v>
          </cell>
          <cell r="R19">
            <v>0</v>
          </cell>
        </row>
        <row r="20">
          <cell r="Q20" t="str">
            <v>m156k</v>
          </cell>
          <cell r="R20">
            <v>0</v>
          </cell>
        </row>
        <row r="21">
          <cell r="Q21" t="str">
            <v>m104k</v>
          </cell>
          <cell r="R21">
            <v>322.08461677651763</v>
          </cell>
        </row>
        <row r="22">
          <cell r="Q22" t="str">
            <v>m52k</v>
          </cell>
          <cell r="R22">
            <v>0</v>
          </cell>
        </row>
        <row r="23">
          <cell r="Q23" t="str">
            <v>m99k</v>
          </cell>
          <cell r="R23">
            <v>0</v>
          </cell>
        </row>
        <row r="24">
          <cell r="Q24" t="str">
            <v>m51k</v>
          </cell>
          <cell r="R24">
            <v>0</v>
          </cell>
        </row>
        <row r="25">
          <cell r="Q25" t="str">
            <v>m6k</v>
          </cell>
          <cell r="R25">
            <v>0</v>
          </cell>
        </row>
        <row r="26">
          <cell r="Q26" t="str">
            <v>v156k</v>
          </cell>
          <cell r="R26">
            <v>0</v>
          </cell>
        </row>
        <row r="27">
          <cell r="Q27" t="str">
            <v>v99k</v>
          </cell>
          <cell r="R27">
            <v>0</v>
          </cell>
        </row>
        <row r="28">
          <cell r="Q28" t="str">
            <v>d156k</v>
          </cell>
          <cell r="R28">
            <v>350.00000000000006</v>
          </cell>
        </row>
        <row r="29">
          <cell r="Q29" t="str">
            <v>d12k</v>
          </cell>
          <cell r="R29">
            <v>0</v>
          </cell>
        </row>
        <row r="30">
          <cell r="Q30" t="str">
            <v>m257p</v>
          </cell>
          <cell r="R30">
            <v>350</v>
          </cell>
        </row>
        <row r="31">
          <cell r="Q31" t="str">
            <v>m204p</v>
          </cell>
          <cell r="R31">
            <v>500.00000000000006</v>
          </cell>
        </row>
        <row r="32">
          <cell r="Q32" t="str">
            <v>m156p</v>
          </cell>
          <cell r="R32">
            <v>360.90122622574381</v>
          </cell>
        </row>
        <row r="33">
          <cell r="Q33" t="str">
            <v>m104p</v>
          </cell>
          <cell r="R33">
            <v>0</v>
          </cell>
        </row>
        <row r="34">
          <cell r="Q34" t="str">
            <v>m52p</v>
          </cell>
          <cell r="R34">
            <v>400</v>
          </cell>
        </row>
        <row r="35">
          <cell r="Q35" t="str">
            <v>m99p</v>
          </cell>
          <cell r="R35">
            <v>300</v>
          </cell>
        </row>
        <row r="36">
          <cell r="Q36" t="str">
            <v>m51p</v>
          </cell>
          <cell r="R36">
            <v>345.07767122856029</v>
          </cell>
        </row>
        <row r="37">
          <cell r="Q37" t="str">
            <v>m6p</v>
          </cell>
          <cell r="R37">
            <v>0</v>
          </cell>
        </row>
        <row r="38">
          <cell r="Q38" t="str">
            <v>v156p</v>
          </cell>
          <cell r="R38">
            <v>0</v>
          </cell>
        </row>
        <row r="39">
          <cell r="Q39" t="str">
            <v>v99p</v>
          </cell>
          <cell r="R39">
            <v>0</v>
          </cell>
        </row>
        <row r="40">
          <cell r="Q40" t="str">
            <v>d156p</v>
          </cell>
          <cell r="R40">
            <v>0</v>
          </cell>
        </row>
        <row r="41">
          <cell r="Q41" t="str">
            <v>d12p</v>
          </cell>
          <cell r="R41">
            <v>0</v>
          </cell>
        </row>
        <row r="42">
          <cell r="Q42" t="str">
            <v>m257rp</v>
          </cell>
          <cell r="R42">
            <v>0</v>
          </cell>
        </row>
        <row r="43">
          <cell r="Q43" t="str">
            <v>m204rp</v>
          </cell>
          <cell r="R43">
            <v>0</v>
          </cell>
        </row>
        <row r="44">
          <cell r="Q44" t="str">
            <v>m156rp</v>
          </cell>
          <cell r="R44">
            <v>350</v>
          </cell>
        </row>
        <row r="45">
          <cell r="Q45" t="str">
            <v>m104rp</v>
          </cell>
          <cell r="R45">
            <v>302.39446142991534</v>
          </cell>
        </row>
        <row r="46">
          <cell r="Q46" t="str">
            <v>m52rp</v>
          </cell>
          <cell r="R46">
            <v>0</v>
          </cell>
        </row>
        <row r="47">
          <cell r="Q47" t="str">
            <v>m99rp</v>
          </cell>
          <cell r="R47">
            <v>0</v>
          </cell>
        </row>
        <row r="48">
          <cell r="Q48" t="str">
            <v>m51rp</v>
          </cell>
          <cell r="R48">
            <v>350</v>
          </cell>
        </row>
        <row r="49">
          <cell r="Q49" t="str">
            <v>m6rp</v>
          </cell>
          <cell r="R49">
            <v>0</v>
          </cell>
        </row>
        <row r="50">
          <cell r="Q50" t="str">
            <v>v156rp</v>
          </cell>
          <cell r="R50">
            <v>0</v>
          </cell>
        </row>
        <row r="51">
          <cell r="Q51" t="str">
            <v>v99rp</v>
          </cell>
          <cell r="R51">
            <v>0</v>
          </cell>
        </row>
        <row r="52">
          <cell r="Q52" t="str">
            <v>d156rp</v>
          </cell>
          <cell r="R52">
            <v>0</v>
          </cell>
        </row>
        <row r="53">
          <cell r="Q53" t="str">
            <v>d12rp</v>
          </cell>
          <cell r="R53">
            <v>0</v>
          </cell>
        </row>
        <row r="54">
          <cell r="Q54" t="str">
            <v>m257rs</v>
          </cell>
          <cell r="R54">
            <v>259.01190859349856</v>
          </cell>
        </row>
        <row r="55">
          <cell r="Q55" t="str">
            <v>m204rs</v>
          </cell>
          <cell r="R55">
            <v>0</v>
          </cell>
        </row>
        <row r="56">
          <cell r="Q56" t="str">
            <v>m156rs</v>
          </cell>
          <cell r="R56">
            <v>185</v>
          </cell>
        </row>
        <row r="57">
          <cell r="Q57" t="str">
            <v>m104rs</v>
          </cell>
          <cell r="R57">
            <v>0</v>
          </cell>
        </row>
        <row r="58">
          <cell r="Q58" t="str">
            <v>m52rs</v>
          </cell>
          <cell r="R58">
            <v>0</v>
          </cell>
        </row>
        <row r="59">
          <cell r="Q59" t="str">
            <v>m99rs</v>
          </cell>
          <cell r="R59">
            <v>0</v>
          </cell>
        </row>
        <row r="60">
          <cell r="Q60" t="str">
            <v>m51rs</v>
          </cell>
          <cell r="R60">
            <v>0</v>
          </cell>
        </row>
        <row r="61">
          <cell r="Q61" t="str">
            <v>m6rs</v>
          </cell>
          <cell r="R61">
            <v>0</v>
          </cell>
        </row>
        <row r="62">
          <cell r="Q62" t="str">
            <v>v156rs</v>
          </cell>
          <cell r="R62">
            <v>0</v>
          </cell>
        </row>
        <row r="63">
          <cell r="Q63" t="str">
            <v>v99rs</v>
          </cell>
          <cell r="R63">
            <v>0</v>
          </cell>
        </row>
        <row r="64">
          <cell r="Q64" t="str">
            <v>d156rs</v>
          </cell>
          <cell r="R64">
            <v>250</v>
          </cell>
        </row>
        <row r="65">
          <cell r="Q65" t="str">
            <v>d12rs</v>
          </cell>
          <cell r="R65">
            <v>0</v>
          </cell>
        </row>
        <row r="66">
          <cell r="Q66" t="str">
            <v>m257s</v>
          </cell>
          <cell r="R66">
            <v>102.92508205904255</v>
          </cell>
        </row>
        <row r="67">
          <cell r="Q67" t="str">
            <v>m204s</v>
          </cell>
          <cell r="R67">
            <v>0</v>
          </cell>
        </row>
        <row r="68">
          <cell r="Q68" t="str">
            <v>m156s</v>
          </cell>
          <cell r="R68">
            <v>0</v>
          </cell>
        </row>
        <row r="69">
          <cell r="Q69" t="str">
            <v>m104s</v>
          </cell>
          <cell r="R69">
            <v>0</v>
          </cell>
        </row>
        <row r="70">
          <cell r="Q70" t="str">
            <v>m52s</v>
          </cell>
          <cell r="R70">
            <v>0</v>
          </cell>
        </row>
        <row r="71">
          <cell r="Q71" t="str">
            <v>m99s</v>
          </cell>
          <cell r="R71">
            <v>106.2828755801573</v>
          </cell>
        </row>
        <row r="72">
          <cell r="Q72" t="str">
            <v>m51s</v>
          </cell>
          <cell r="R72">
            <v>0</v>
          </cell>
        </row>
        <row r="73">
          <cell r="Q73" t="str">
            <v>m6s</v>
          </cell>
          <cell r="R73">
            <v>106.28287558015725</v>
          </cell>
        </row>
        <row r="74">
          <cell r="Q74" t="str">
            <v>v156s</v>
          </cell>
          <cell r="R74">
            <v>80</v>
          </cell>
        </row>
        <row r="75">
          <cell r="Q75" t="str">
            <v>v99s</v>
          </cell>
          <cell r="R75">
            <v>79.999999999999986</v>
          </cell>
        </row>
        <row r="76">
          <cell r="Q76" t="str">
            <v>d156s</v>
          </cell>
          <cell r="R76">
            <v>80</v>
          </cell>
        </row>
        <row r="77">
          <cell r="Q77" t="str">
            <v>d12s</v>
          </cell>
          <cell r="R77">
            <v>0</v>
          </cell>
        </row>
        <row r="78">
          <cell r="Q78" t="str">
            <v>m257v</v>
          </cell>
          <cell r="R78">
            <v>325.97254004576655</v>
          </cell>
        </row>
        <row r="79">
          <cell r="Q79" t="str">
            <v>m204v</v>
          </cell>
          <cell r="R79">
            <v>293.85208016407876</v>
          </cell>
        </row>
        <row r="80">
          <cell r="Q80" t="str">
            <v>m156v</v>
          </cell>
          <cell r="R80">
            <v>450</v>
          </cell>
        </row>
        <row r="81">
          <cell r="Q81" t="str">
            <v>m104v</v>
          </cell>
          <cell r="R81">
            <v>287.09030353493301</v>
          </cell>
        </row>
        <row r="82">
          <cell r="Q82" t="str">
            <v>m52v</v>
          </cell>
          <cell r="R82">
            <v>0</v>
          </cell>
        </row>
        <row r="83">
          <cell r="Q83" t="str">
            <v>m99v</v>
          </cell>
          <cell r="R83">
            <v>421.97840073529414</v>
          </cell>
        </row>
        <row r="84">
          <cell r="Q84" t="str">
            <v>m51v</v>
          </cell>
          <cell r="R84">
            <v>293.85208016407876</v>
          </cell>
        </row>
        <row r="85">
          <cell r="Q85" t="str">
            <v>m6v</v>
          </cell>
          <cell r="R85">
            <v>325.97254004576661</v>
          </cell>
        </row>
        <row r="86">
          <cell r="Q86" t="str">
            <v>v156v</v>
          </cell>
          <cell r="R86">
            <v>413.60414830604003</v>
          </cell>
        </row>
        <row r="87">
          <cell r="Q87" t="str">
            <v>v99v</v>
          </cell>
          <cell r="R87">
            <v>413.60414830604009</v>
          </cell>
        </row>
        <row r="88">
          <cell r="Q88" t="str">
            <v>d156v</v>
          </cell>
          <cell r="R88">
            <v>516.88172043010763</v>
          </cell>
        </row>
        <row r="89">
          <cell r="Q89" t="str">
            <v>d12v</v>
          </cell>
          <cell r="R89">
            <v>350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ek"/>
      <sheetName val="vergelijken"/>
    </sheetNames>
    <sheetDataSet>
      <sheetData sheetId="0" refreshError="1"/>
      <sheetData sheetId="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pijt- en meubel  Fortron (2)"/>
      <sheetName val="prijslijst"/>
      <sheetName val="invullen"/>
      <sheetName val="prijscalc"/>
      <sheetName val="Vloeronderhoud Lino fortron"/>
      <sheetName val="Tapijt- en meubel  Fortron"/>
      <sheetName val="Plafond- en wandreiniging"/>
      <sheetName val="Lamellen reiniging"/>
      <sheetName val="prijslijst computer"/>
      <sheetName val="prijslijst sanitaire art. CWS"/>
      <sheetName val="Computer staffel"/>
      <sheetName val="afroepprijzen"/>
      <sheetName val="Blad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C2">
            <v>2.2037100000000001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Adm. ruimte 01.0"/>
      <sheetName val="Vergaderruimte 02.0"/>
      <sheetName val="Rookruimte 03.0"/>
      <sheetName val="Sanitaire ruimte 04.0"/>
      <sheetName val="Kleed en doucheruimte 05.0"/>
      <sheetName val="Kopieerprintruimte 06.0"/>
      <sheetName val="Laboratoria 07.0"/>
      <sheetName val="Fitnessruimte 08.0"/>
      <sheetName val="Garderobe 09.0"/>
      <sheetName val="Publieksentreehal 10.0"/>
      <sheetName val="Verkeersruimten 11.0"/>
      <sheetName val="Hoofdtrap 12.0"/>
      <sheetName val="Noodtrap 13.0"/>
      <sheetName val="Lift 14.0"/>
      <sheetName val="entree 15.0"/>
      <sheetName val="docenten-pers.kamer 16.0"/>
      <sheetName val="Pantry 17.0"/>
      <sheetName val="Opslag-archief 18.0"/>
      <sheetName val="Leslokaal theorie 19.0"/>
      <sheetName val="Leslokaal praktijk 20.0"/>
      <sheetName val="EHBO-ruimte 21.0"/>
      <sheetName val="Gymzaal 22.0"/>
      <sheetName val="Toestelberging 23.0"/>
      <sheetName val="Studieruimte-hal 24.0"/>
      <sheetName val="Kabinet 25.0"/>
      <sheetName val="Mediatheek bibliotheek 26.0"/>
      <sheetName val="aula restaurant 27.0"/>
      <sheetName val="Keuken 28.0"/>
      <sheetName val="Adm_ ruimte 01_0"/>
      <sheetName val="Vaste gegeve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s"/>
      <sheetName val="Work Scedule Wijhe "/>
      <sheetName val="Uren calculatie"/>
      <sheetName val="NAW blad - Resumé"/>
      <sheetName val="Transport dag"/>
      <sheetName val="Transport nacht"/>
      <sheetName val="Middag werk 5w"/>
      <sheetName val="nachtwerk 5w"/>
      <sheetName val="zaterdag werk"/>
      <sheetName val="Leiding"/>
      <sheetName val="Calculatieblad uurtarieven"/>
      <sheetName val="Regietarieven"/>
      <sheetName val="soclasten 2011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arisatie"/>
      <sheetName val="Categorieen"/>
    </sheetNames>
    <sheetDataSet>
      <sheetData sheetId="0" refreshError="1"/>
      <sheetData sheetId="1" refreshError="1">
        <row r="1059">
          <cell r="A1059" t="str">
            <v>normaal</v>
          </cell>
          <cell r="B1059">
            <v>30</v>
          </cell>
          <cell r="C1059">
            <v>31</v>
          </cell>
          <cell r="D1059">
            <v>32</v>
          </cell>
          <cell r="E1059">
            <v>33</v>
          </cell>
          <cell r="F1059">
            <v>34</v>
          </cell>
          <cell r="G1059">
            <v>35</v>
          </cell>
          <cell r="H1059">
            <v>36</v>
          </cell>
          <cell r="I1059">
            <v>37</v>
          </cell>
          <cell r="J1059">
            <v>38</v>
          </cell>
          <cell r="K1059">
            <v>39</v>
          </cell>
          <cell r="L1059">
            <v>40</v>
          </cell>
          <cell r="M1059">
            <v>41</v>
          </cell>
          <cell r="N1059">
            <v>42</v>
          </cell>
          <cell r="O1059">
            <v>43</v>
          </cell>
          <cell r="P1059">
            <v>44</v>
          </cell>
          <cell r="Q1059">
            <v>45</v>
          </cell>
          <cell r="R1059">
            <v>46</v>
          </cell>
          <cell r="S1059">
            <v>47</v>
          </cell>
          <cell r="T1059">
            <v>48</v>
          </cell>
          <cell r="U1059">
            <v>49</v>
          </cell>
          <cell r="V1059">
            <v>50</v>
          </cell>
          <cell r="W1059">
            <v>51</v>
          </cell>
          <cell r="X1059">
            <v>52</v>
          </cell>
        </row>
        <row r="1060">
          <cell r="A1060" t="str">
            <v>A</v>
          </cell>
          <cell r="B1060">
            <v>150</v>
          </cell>
          <cell r="C1060">
            <v>155</v>
          </cell>
          <cell r="D1060">
            <v>160</v>
          </cell>
          <cell r="E1060">
            <v>165</v>
          </cell>
          <cell r="F1060">
            <v>170</v>
          </cell>
          <cell r="G1060">
            <v>175</v>
          </cell>
          <cell r="H1060">
            <v>180</v>
          </cell>
          <cell r="I1060">
            <v>185</v>
          </cell>
          <cell r="J1060">
            <v>190</v>
          </cell>
          <cell r="K1060">
            <v>195</v>
          </cell>
          <cell r="L1060">
            <v>200</v>
          </cell>
          <cell r="M1060">
            <v>205</v>
          </cell>
          <cell r="N1060">
            <v>210</v>
          </cell>
          <cell r="O1060">
            <v>215</v>
          </cell>
          <cell r="P1060">
            <v>220</v>
          </cell>
          <cell r="Q1060">
            <v>225</v>
          </cell>
          <cell r="R1060">
            <v>230</v>
          </cell>
          <cell r="S1060">
            <v>235</v>
          </cell>
          <cell r="T1060">
            <v>240</v>
          </cell>
          <cell r="U1060">
            <v>245</v>
          </cell>
          <cell r="V1060">
            <v>250</v>
          </cell>
          <cell r="W1060">
            <v>255</v>
          </cell>
          <cell r="X1060">
            <v>260</v>
          </cell>
        </row>
        <row r="1061">
          <cell r="A1061" t="str">
            <v>B</v>
          </cell>
          <cell r="B1061">
            <v>150</v>
          </cell>
          <cell r="C1061">
            <v>155</v>
          </cell>
          <cell r="D1061">
            <v>160</v>
          </cell>
          <cell r="E1061">
            <v>165</v>
          </cell>
          <cell r="F1061">
            <v>170</v>
          </cell>
          <cell r="G1061">
            <v>175</v>
          </cell>
          <cell r="H1061">
            <v>180</v>
          </cell>
          <cell r="I1061">
            <v>185</v>
          </cell>
          <cell r="J1061">
            <v>190</v>
          </cell>
          <cell r="K1061">
            <v>195</v>
          </cell>
          <cell r="L1061">
            <v>200</v>
          </cell>
          <cell r="M1061">
            <v>205</v>
          </cell>
          <cell r="N1061">
            <v>210</v>
          </cell>
          <cell r="O1061">
            <v>215</v>
          </cell>
          <cell r="P1061">
            <v>220</v>
          </cell>
          <cell r="Q1061">
            <v>225</v>
          </cell>
          <cell r="R1061">
            <v>230</v>
          </cell>
          <cell r="S1061">
            <v>235</v>
          </cell>
          <cell r="T1061">
            <v>240</v>
          </cell>
          <cell r="U1061">
            <v>245</v>
          </cell>
          <cell r="V1061">
            <v>250</v>
          </cell>
          <cell r="W1061">
            <v>255</v>
          </cell>
          <cell r="X1061">
            <v>260</v>
          </cell>
        </row>
        <row r="1062">
          <cell r="A1062" t="str">
            <v>C</v>
          </cell>
          <cell r="B1062">
            <v>150</v>
          </cell>
          <cell r="C1062">
            <v>155</v>
          </cell>
          <cell r="D1062">
            <v>160</v>
          </cell>
          <cell r="E1062">
            <v>165</v>
          </cell>
          <cell r="F1062">
            <v>170</v>
          </cell>
          <cell r="G1062">
            <v>175</v>
          </cell>
          <cell r="H1062">
            <v>180</v>
          </cell>
          <cell r="I1062">
            <v>185</v>
          </cell>
          <cell r="J1062">
            <v>190</v>
          </cell>
          <cell r="K1062">
            <v>195</v>
          </cell>
          <cell r="L1062">
            <v>200</v>
          </cell>
          <cell r="M1062">
            <v>205</v>
          </cell>
          <cell r="N1062">
            <v>210</v>
          </cell>
          <cell r="O1062">
            <v>215</v>
          </cell>
          <cell r="P1062">
            <v>220</v>
          </cell>
          <cell r="Q1062">
            <v>225</v>
          </cell>
          <cell r="R1062">
            <v>230</v>
          </cell>
          <cell r="S1062">
            <v>235</v>
          </cell>
          <cell r="T1062">
            <v>240</v>
          </cell>
          <cell r="U1062">
            <v>245</v>
          </cell>
          <cell r="V1062">
            <v>250</v>
          </cell>
          <cell r="W1062">
            <v>255</v>
          </cell>
          <cell r="X1062">
            <v>260</v>
          </cell>
        </row>
        <row r="1063">
          <cell r="A1063" t="str">
            <v>D</v>
          </cell>
          <cell r="B1063">
            <v>150</v>
          </cell>
          <cell r="C1063">
            <v>155</v>
          </cell>
          <cell r="D1063">
            <v>160</v>
          </cell>
          <cell r="E1063">
            <v>165</v>
          </cell>
          <cell r="F1063">
            <v>170</v>
          </cell>
          <cell r="G1063">
            <v>175</v>
          </cell>
          <cell r="H1063">
            <v>180</v>
          </cell>
          <cell r="I1063">
            <v>185</v>
          </cell>
          <cell r="J1063">
            <v>190</v>
          </cell>
          <cell r="K1063">
            <v>195</v>
          </cell>
          <cell r="L1063">
            <v>200</v>
          </cell>
          <cell r="M1063">
            <v>205</v>
          </cell>
          <cell r="N1063">
            <v>210</v>
          </cell>
          <cell r="O1063">
            <v>215</v>
          </cell>
          <cell r="P1063">
            <v>220</v>
          </cell>
          <cell r="Q1063">
            <v>225</v>
          </cell>
          <cell r="R1063">
            <v>230</v>
          </cell>
          <cell r="S1063">
            <v>235</v>
          </cell>
          <cell r="T1063">
            <v>240</v>
          </cell>
          <cell r="U1063">
            <v>245</v>
          </cell>
          <cell r="V1063">
            <v>250</v>
          </cell>
          <cell r="W1063">
            <v>255</v>
          </cell>
          <cell r="X1063">
            <v>260</v>
          </cell>
        </row>
        <row r="1064">
          <cell r="A1064" t="str">
            <v>E</v>
          </cell>
          <cell r="B1064">
            <v>150</v>
          </cell>
          <cell r="C1064">
            <v>155</v>
          </cell>
          <cell r="D1064">
            <v>160</v>
          </cell>
          <cell r="E1064">
            <v>165</v>
          </cell>
          <cell r="F1064">
            <v>170</v>
          </cell>
          <cell r="G1064">
            <v>175</v>
          </cell>
          <cell r="H1064">
            <v>180</v>
          </cell>
          <cell r="I1064">
            <v>185</v>
          </cell>
          <cell r="J1064">
            <v>190</v>
          </cell>
          <cell r="K1064">
            <v>195</v>
          </cell>
          <cell r="L1064">
            <v>200</v>
          </cell>
          <cell r="M1064">
            <v>205</v>
          </cell>
          <cell r="N1064">
            <v>210</v>
          </cell>
          <cell r="O1064">
            <v>215</v>
          </cell>
          <cell r="P1064">
            <v>220</v>
          </cell>
          <cell r="Q1064">
            <v>225</v>
          </cell>
          <cell r="R1064">
            <v>230</v>
          </cell>
          <cell r="S1064">
            <v>235</v>
          </cell>
          <cell r="T1064">
            <v>240</v>
          </cell>
          <cell r="U1064">
            <v>245</v>
          </cell>
          <cell r="V1064">
            <v>250</v>
          </cell>
          <cell r="W1064">
            <v>255</v>
          </cell>
          <cell r="X1064">
            <v>260</v>
          </cell>
        </row>
        <row r="1065">
          <cell r="A1065" t="str">
            <v>F</v>
          </cell>
          <cell r="B1065">
            <v>3</v>
          </cell>
          <cell r="C1065">
            <v>3</v>
          </cell>
          <cell r="D1065">
            <v>3</v>
          </cell>
          <cell r="E1065">
            <v>3</v>
          </cell>
          <cell r="F1065">
            <v>3</v>
          </cell>
          <cell r="G1065">
            <v>3</v>
          </cell>
          <cell r="H1065">
            <v>3</v>
          </cell>
          <cell r="I1065">
            <v>3</v>
          </cell>
          <cell r="J1065">
            <v>3</v>
          </cell>
          <cell r="K1065">
            <v>3</v>
          </cell>
          <cell r="L1065">
            <v>3</v>
          </cell>
          <cell r="M1065">
            <v>3</v>
          </cell>
          <cell r="N1065">
            <v>3</v>
          </cell>
          <cell r="O1065">
            <v>3</v>
          </cell>
          <cell r="P1065">
            <v>3</v>
          </cell>
          <cell r="Q1065">
            <v>3</v>
          </cell>
          <cell r="R1065">
            <v>3</v>
          </cell>
          <cell r="S1065">
            <v>3</v>
          </cell>
          <cell r="T1065">
            <v>3</v>
          </cell>
          <cell r="U1065">
            <v>3</v>
          </cell>
          <cell r="V1065">
            <v>3</v>
          </cell>
          <cell r="W1065">
            <v>3</v>
          </cell>
          <cell r="X1065">
            <v>3</v>
          </cell>
        </row>
        <row r="1066">
          <cell r="A1066" t="str">
            <v>G</v>
          </cell>
          <cell r="B1066">
            <v>1</v>
          </cell>
          <cell r="C1066">
            <v>1</v>
          </cell>
          <cell r="D1066">
            <v>1</v>
          </cell>
          <cell r="E1066">
            <v>1</v>
          </cell>
          <cell r="F1066">
            <v>1</v>
          </cell>
          <cell r="G1066">
            <v>1</v>
          </cell>
          <cell r="H1066">
            <v>1</v>
          </cell>
          <cell r="I1066">
            <v>1</v>
          </cell>
          <cell r="J1066">
            <v>1</v>
          </cell>
          <cell r="K1066">
            <v>1</v>
          </cell>
          <cell r="L1066">
            <v>1</v>
          </cell>
          <cell r="M1066">
            <v>1</v>
          </cell>
          <cell r="N1066">
            <v>1</v>
          </cell>
          <cell r="O1066">
            <v>1</v>
          </cell>
          <cell r="P1066">
            <v>1</v>
          </cell>
          <cell r="Q1066">
            <v>1</v>
          </cell>
          <cell r="R1066">
            <v>1</v>
          </cell>
          <cell r="S1066">
            <v>1</v>
          </cell>
          <cell r="T1066">
            <v>1</v>
          </cell>
          <cell r="U1066">
            <v>1</v>
          </cell>
          <cell r="V1066">
            <v>1</v>
          </cell>
          <cell r="W1066">
            <v>1</v>
          </cell>
          <cell r="X1066">
            <v>1</v>
          </cell>
        </row>
        <row r="1067">
          <cell r="A1067" t="str">
            <v>H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 1e naloop"/>
      <sheetName val="Ma_vr 2e&amp;3e naloop"/>
      <sheetName val="Matrix Kosten Schoonmaak"/>
      <sheetName val="Matrix Kosten Glasbewassing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ul_L"/>
      <sheetName val="Bui_S"/>
      <sheetName val="Dou_S"/>
      <sheetName val="Ent_S"/>
      <sheetName val="Ent_T"/>
      <sheetName val="Gan_L"/>
      <sheetName val="Gar_L"/>
      <sheetName val="Gar_S"/>
      <sheetName val="Kan_L"/>
      <sheetName val="Kan_Su"/>
      <sheetName val="Kan_T"/>
      <sheetName val="Keu_L"/>
      <sheetName val="Kle_S"/>
      <sheetName val="Kof_L"/>
      <sheetName val="Kof_S"/>
      <sheetName val="Kof_T"/>
      <sheetName val="Les_L"/>
      <sheetName val="Les_Su"/>
      <sheetName val="Les_T"/>
      <sheetName val="Lif_L"/>
      <sheetName val="Mag_L"/>
      <sheetName val="Olc_L"/>
      <sheetName val="Pr4_L"/>
      <sheetName val="Pr4_Su"/>
      <sheetName val="San_L"/>
      <sheetName val="San_S"/>
      <sheetName val="Spo_P"/>
      <sheetName val="Tra_L"/>
      <sheetName val="Tra_R"/>
      <sheetName val="Tra_S"/>
      <sheetName val="Einde_programma's"/>
    </sheetNames>
    <sheetDataSet>
      <sheetData sheetId="0"/>
      <sheetData sheetId="1"/>
      <sheetData sheetId="2" refreshError="1"/>
      <sheetData sheetId="3"/>
      <sheetData sheetId="4"/>
      <sheetData sheetId="5"/>
      <sheetData sheetId="6">
        <row r="1">
          <cell r="B1">
            <v>1</v>
          </cell>
        </row>
      </sheetData>
      <sheetData sheetId="7"/>
      <sheetData sheetId="8"/>
      <sheetData sheetId="9"/>
      <sheetData sheetId="10"/>
      <sheetData sheetId="11"/>
      <sheetData sheetId="12">
        <row r="6">
          <cell r="B6" t="str">
            <v>nio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Uren en kostenvergelijking"/>
      <sheetName val="Totalen per locatie"/>
      <sheetName val="1A-Glas"/>
      <sheetName val="2-Kengetal"/>
      <sheetName val="3-Basis ruimtestaat"/>
      <sheetName val="Machines"/>
      <sheetName val="Schoonmaakpakket"/>
    </sheetNames>
    <sheetDataSet>
      <sheetData sheetId="0"/>
      <sheetData sheetId="1"/>
      <sheetData sheetId="2">
        <row r="3">
          <cell r="C3" t="str">
            <v xml:space="preserve">Archipel  </v>
          </cell>
        </row>
      </sheetData>
      <sheetData sheetId="3">
        <row r="1">
          <cell r="A1" t="str">
            <v>Invoervelden</v>
          </cell>
        </row>
        <row r="3">
          <cell r="A3" t="str">
            <v>Naam opdrachtgever</v>
          </cell>
        </row>
        <row r="4">
          <cell r="A4" t="str">
            <v>Calculatie onderdeel</v>
          </cell>
        </row>
        <row r="5">
          <cell r="A5" t="str">
            <v>Gebouw/plaats</v>
          </cell>
        </row>
        <row r="6">
          <cell r="A6" t="str">
            <v>Besteknummer</v>
          </cell>
        </row>
        <row r="7">
          <cell r="A7" t="str">
            <v>Naam leverancier</v>
          </cell>
        </row>
        <row r="8">
          <cell r="A8" t="str">
            <v>Prijspeil</v>
          </cell>
        </row>
        <row r="9">
          <cell r="A9" t="str">
            <v>Bijzonderheden</v>
          </cell>
        </row>
        <row r="11">
          <cell r="A11" t="str">
            <v>Jaarprijs glas excl. btw</v>
          </cell>
        </row>
        <row r="14">
          <cell r="A14" t="str">
            <v xml:space="preserve">JAARPRIJS GLASBEWASSING </v>
          </cell>
        </row>
        <row r="19">
          <cell r="A19" t="str">
            <v>Verpleeghuis Kanidas</v>
          </cell>
        </row>
        <row r="20">
          <cell r="A20" t="str">
            <v>Gevelglas buiten</v>
          </cell>
        </row>
        <row r="21">
          <cell r="A21" t="str">
            <v>Gevelglas binnen</v>
          </cell>
        </row>
        <row r="22">
          <cell r="A22" t="str">
            <v>Dubbelzijdig separatieglas</v>
          </cell>
        </row>
        <row r="26">
          <cell r="A26" t="str">
            <v>Kanidas</v>
          </cell>
          <cell r="K26">
            <v>2722.3193505392069</v>
          </cell>
        </row>
        <row r="29">
          <cell r="A29" t="str">
            <v>TOTAAL KOSTEN PER JAAR EXCLUSIEF BTW</v>
          </cell>
        </row>
      </sheetData>
      <sheetData sheetId="4">
        <row r="11">
          <cell r="A11" t="str">
            <v>01.052l</v>
          </cell>
        </row>
      </sheetData>
      <sheetData sheetId="5"/>
      <sheetData sheetId="6"/>
      <sheetData sheetId="7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tion List"/>
      <sheetName val="General Cleaning CE"/>
      <sheetName val="General Cleaning conference"/>
      <sheetName val="General Cleaning storage"/>
      <sheetName val="General Cleaning sanitary"/>
      <sheetName val="General Cleaning stairs"/>
      <sheetName val="special cleaning CE"/>
      <sheetName val="Additional services CE"/>
      <sheetName val="Pest Control CE"/>
      <sheetName val="waste"/>
      <sheetName val="laundry"/>
      <sheetName val="data base"/>
      <sheetName val="Sheet1"/>
      <sheetName val="Location List CE"/>
      <sheetName val="Cleaning data CE_final_send"/>
      <sheetName val="Cleaning data CE_final_send.xl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  <sheetName val="Inzet personeelscalculatie"/>
      <sheetName val="Salarisschalen"/>
      <sheetName val="Hulpbestand inzet persone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A11">
            <v>1052</v>
          </cell>
          <cell r="B11">
            <v>52</v>
          </cell>
          <cell r="C11" t="str">
            <v>Administratieve ruimten/Vergaderzalen</v>
          </cell>
          <cell r="D11" t="str">
            <v>1 x per week</v>
          </cell>
          <cell r="E11">
            <v>0.246</v>
          </cell>
          <cell r="H11">
            <v>211.3821138211382</v>
          </cell>
          <cell r="I11">
            <v>100</v>
          </cell>
          <cell r="J11">
            <v>2.587499363636875E-3</v>
          </cell>
          <cell r="L11" t="str">
            <v>B</v>
          </cell>
        </row>
        <row r="12">
          <cell r="A12">
            <v>1104</v>
          </cell>
          <cell r="B12">
            <v>104</v>
          </cell>
          <cell r="C12" t="str">
            <v>Administratieve ruimten/Vergaderzalen</v>
          </cell>
          <cell r="D12" t="str">
            <v>2 x per week</v>
          </cell>
          <cell r="E12">
            <v>0.36899999999999999</v>
          </cell>
          <cell r="H12">
            <v>281.84281842818427</v>
          </cell>
          <cell r="I12">
            <v>0</v>
          </cell>
          <cell r="J12">
            <v>0</v>
          </cell>
          <cell r="L12" t="str">
            <v>B</v>
          </cell>
        </row>
        <row r="13">
          <cell r="A13">
            <v>1156</v>
          </cell>
          <cell r="B13">
            <v>156</v>
          </cell>
          <cell r="C13" t="str">
            <v>Administratieve ruimten/Vergaderzalen</v>
          </cell>
          <cell r="D13" t="str">
            <v>3 x per week</v>
          </cell>
          <cell r="E13">
            <v>0.44279999999999997</v>
          </cell>
          <cell r="H13">
            <v>352.3035230352304</v>
          </cell>
          <cell r="I13">
            <v>1549</v>
          </cell>
          <cell r="J13">
            <v>4.0080365142735198E-2</v>
          </cell>
          <cell r="L13" t="str">
            <v>B</v>
          </cell>
        </row>
        <row r="14">
          <cell r="A14">
            <v>1255</v>
          </cell>
          <cell r="B14">
            <v>255</v>
          </cell>
          <cell r="C14" t="str">
            <v>Administratieve ruimten/Vergaderzalen</v>
          </cell>
          <cell r="D14" t="str">
            <v>5 x per week</v>
          </cell>
          <cell r="E14">
            <v>0.61499999999999999</v>
          </cell>
          <cell r="H14">
            <v>414.63414634146341</v>
          </cell>
          <cell r="I14">
            <v>10444.882499999998</v>
          </cell>
          <cell r="J14">
            <v>0.27026126822011931</v>
          </cell>
          <cell r="L14" t="str">
            <v>B</v>
          </cell>
        </row>
        <row r="15">
          <cell r="A15">
            <v>2255</v>
          </cell>
          <cell r="B15">
            <v>255</v>
          </cell>
          <cell r="C15" t="str">
            <v>Sanitaire ruimten</v>
          </cell>
          <cell r="D15" t="str">
            <v>5 x per week</v>
          </cell>
          <cell r="E15">
            <v>3.92</v>
          </cell>
          <cell r="H15">
            <v>65.051020408163268</v>
          </cell>
          <cell r="I15">
            <v>557.38</v>
          </cell>
          <cell r="J15">
            <v>1.4422203953039215E-2</v>
          </cell>
          <cell r="L15" t="str">
            <v>S</v>
          </cell>
        </row>
        <row r="16">
          <cell r="A16">
            <v>2510</v>
          </cell>
          <cell r="B16">
            <v>510</v>
          </cell>
          <cell r="C16" t="str">
            <v>Sanitaire ruimten incl. naloop</v>
          </cell>
          <cell r="D16" t="str">
            <v>10 x per week</v>
          </cell>
          <cell r="E16">
            <v>3.92</v>
          </cell>
          <cell r="F16">
            <v>2.94</v>
          </cell>
          <cell r="H16">
            <v>74.344023323615161</v>
          </cell>
          <cell r="I16">
            <v>803.9</v>
          </cell>
          <cell r="J16">
            <v>2.080090738427684E-2</v>
          </cell>
          <cell r="L16" t="str">
            <v>S</v>
          </cell>
        </row>
        <row r="17">
          <cell r="A17">
            <v>2562</v>
          </cell>
          <cell r="B17">
            <v>562</v>
          </cell>
          <cell r="C17" t="str">
            <v>Sanitaire ruimten ma-vr incl. naloop + zaterdag</v>
          </cell>
          <cell r="D17" t="str">
            <v>11 x per week</v>
          </cell>
          <cell r="E17">
            <v>3.92</v>
          </cell>
          <cell r="F17">
            <v>2.94</v>
          </cell>
          <cell r="G17">
            <v>0.58800000000000008</v>
          </cell>
          <cell r="H17">
            <v>75.456498388829218</v>
          </cell>
          <cell r="I17">
            <v>106.81</v>
          </cell>
          <cell r="J17">
            <v>2.7637080703005463E-3</v>
          </cell>
          <cell r="L17" t="str">
            <v>S</v>
          </cell>
        </row>
        <row r="18">
          <cell r="A18">
            <v>3156</v>
          </cell>
          <cell r="B18">
            <v>156</v>
          </cell>
          <cell r="C18" t="str">
            <v>Gangen, hallen, entrees</v>
          </cell>
          <cell r="D18" t="str">
            <v>3 x per week</v>
          </cell>
          <cell r="E18">
            <v>0.31463999999999998</v>
          </cell>
          <cell r="H18">
            <v>495.80472921434023</v>
          </cell>
          <cell r="I18">
            <v>417</v>
          </cell>
          <cell r="J18">
            <v>1.078987234636577E-2</v>
          </cell>
          <cell r="L18" t="str">
            <v>V</v>
          </cell>
        </row>
        <row r="19">
          <cell r="A19">
            <v>3255</v>
          </cell>
          <cell r="B19">
            <v>255</v>
          </cell>
          <cell r="C19" t="str">
            <v>Gangen, hallen, entrees</v>
          </cell>
          <cell r="D19" t="str">
            <v>5 x per week</v>
          </cell>
          <cell r="E19">
            <v>0.437</v>
          </cell>
          <cell r="H19">
            <v>583.52402745995425</v>
          </cell>
          <cell r="I19">
            <v>3036.7500000000005</v>
          </cell>
          <cell r="J19">
            <v>7.8575886925242824E-2</v>
          </cell>
          <cell r="L19" t="str">
            <v>V</v>
          </cell>
        </row>
        <row r="20">
          <cell r="A20">
            <v>3510</v>
          </cell>
          <cell r="B20">
            <v>510</v>
          </cell>
          <cell r="C20" t="str">
            <v>Gangen, hallen, entrees</v>
          </cell>
          <cell r="D20" t="str">
            <v>10 x per week</v>
          </cell>
          <cell r="E20">
            <v>0.437</v>
          </cell>
          <cell r="F20">
            <v>0.32774999999999999</v>
          </cell>
          <cell r="H20">
            <v>666.88460281137623</v>
          </cell>
          <cell r="I20">
            <v>139.4</v>
          </cell>
          <cell r="J20">
            <v>3.6069741129098041E-3</v>
          </cell>
          <cell r="L20" t="str">
            <v>V</v>
          </cell>
        </row>
        <row r="21">
          <cell r="A21">
            <v>3562</v>
          </cell>
          <cell r="B21">
            <v>562</v>
          </cell>
          <cell r="C21" t="str">
            <v>Gangen ma-vr incl. naloop + zaterdag</v>
          </cell>
          <cell r="D21" t="str">
            <v>11 x per week</v>
          </cell>
          <cell r="E21">
            <v>0.437</v>
          </cell>
          <cell r="F21">
            <v>0.32774999999999999</v>
          </cell>
          <cell r="G21">
            <v>6.5549999999999997E-2</v>
          </cell>
          <cell r="H21">
            <v>676.86378417439482</v>
          </cell>
          <cell r="I21">
            <v>59</v>
          </cell>
          <cell r="J21">
            <v>1.5266246245457563E-3</v>
          </cell>
          <cell r="L21" t="str">
            <v>V</v>
          </cell>
        </row>
        <row r="22">
          <cell r="A22">
            <v>4156</v>
          </cell>
          <cell r="B22">
            <v>156</v>
          </cell>
          <cell r="C22" t="str">
            <v>Liften</v>
          </cell>
          <cell r="D22" t="str">
            <v>3 x per week</v>
          </cell>
          <cell r="E22">
            <v>0.86399999999999999</v>
          </cell>
          <cell r="H22">
            <v>180.55555555555557</v>
          </cell>
          <cell r="I22">
            <v>10</v>
          </cell>
          <cell r="J22">
            <v>2.587499363636875E-4</v>
          </cell>
          <cell r="L22" t="str">
            <v>V</v>
          </cell>
        </row>
        <row r="23">
          <cell r="A23">
            <v>4255</v>
          </cell>
          <cell r="B23">
            <v>255</v>
          </cell>
          <cell r="C23" t="str">
            <v>Liften</v>
          </cell>
          <cell r="D23" t="str">
            <v>5 x per week</v>
          </cell>
          <cell r="E23">
            <v>1.2</v>
          </cell>
          <cell r="H23">
            <v>212.5</v>
          </cell>
          <cell r="I23">
            <v>3</v>
          </cell>
          <cell r="J23">
            <v>7.7624980909106261E-5</v>
          </cell>
          <cell r="L23" t="str">
            <v>V</v>
          </cell>
        </row>
        <row r="24">
          <cell r="A24">
            <v>5156</v>
          </cell>
          <cell r="B24">
            <v>156</v>
          </cell>
          <cell r="C24" t="str">
            <v>Trappenhuizen</v>
          </cell>
          <cell r="D24" t="str">
            <v>3 x per week</v>
          </cell>
          <cell r="E24">
            <v>0.58391999999999999</v>
          </cell>
          <cell r="H24">
            <v>267.15988491574188</v>
          </cell>
          <cell r="I24">
            <v>329.96</v>
          </cell>
          <cell r="J24">
            <v>8.5377129002562335E-3</v>
          </cell>
          <cell r="L24" t="str">
            <v>V</v>
          </cell>
        </row>
        <row r="25">
          <cell r="A25">
            <v>5255</v>
          </cell>
          <cell r="B25">
            <v>255</v>
          </cell>
          <cell r="C25" t="str">
            <v>Trappenhuizen</v>
          </cell>
          <cell r="D25" t="str">
            <v>5 x per week</v>
          </cell>
          <cell r="E25">
            <v>0.81100000000000005</v>
          </cell>
          <cell r="H25">
            <v>314.42663378545006</v>
          </cell>
          <cell r="I25">
            <v>381.06</v>
          </cell>
          <cell r="J25">
            <v>9.8599250750746759E-3</v>
          </cell>
          <cell r="L25" t="str">
            <v>V</v>
          </cell>
        </row>
        <row r="26">
          <cell r="A26">
            <v>6255</v>
          </cell>
          <cell r="B26">
            <v>255</v>
          </cell>
          <cell r="C26" t="str">
            <v>Pantry/koffiecorner</v>
          </cell>
          <cell r="D26" t="str">
            <v>5 x per week</v>
          </cell>
          <cell r="E26">
            <v>1.2030000000000001</v>
          </cell>
          <cell r="H26">
            <v>211.97007481296757</v>
          </cell>
          <cell r="I26">
            <v>161.43</v>
          </cell>
          <cell r="J26">
            <v>4.1770002227190075E-3</v>
          </cell>
          <cell r="L26" t="str">
            <v>V</v>
          </cell>
        </row>
        <row r="27">
          <cell r="A27">
            <v>7255</v>
          </cell>
          <cell r="B27">
            <v>255</v>
          </cell>
          <cell r="C27" t="str">
            <v>Restaurant/Kantine</v>
          </cell>
          <cell r="D27" t="str">
            <v>5 x per week</v>
          </cell>
          <cell r="E27">
            <v>0.96699999999999997</v>
          </cell>
          <cell r="H27">
            <v>263.70217166494314</v>
          </cell>
          <cell r="I27">
            <v>517.1</v>
          </cell>
          <cell r="J27">
            <v>1.3379959209366282E-2</v>
          </cell>
          <cell r="L27" t="str">
            <v>V</v>
          </cell>
        </row>
        <row r="28">
          <cell r="A28">
            <v>7510</v>
          </cell>
          <cell r="B28">
            <v>510</v>
          </cell>
          <cell r="C28" t="str">
            <v>Restaurant/Kantine</v>
          </cell>
          <cell r="D28" t="str">
            <v>10 x per week</v>
          </cell>
          <cell r="E28">
            <v>0.96699999999999997</v>
          </cell>
          <cell r="F28">
            <v>0.72524999999999995</v>
          </cell>
          <cell r="H28">
            <v>301.37391047422068</v>
          </cell>
          <cell r="I28">
            <v>1563.5</v>
          </cell>
          <cell r="J28">
            <v>4.0455552550462542E-2</v>
          </cell>
          <cell r="L28" t="str">
            <v>V</v>
          </cell>
        </row>
        <row r="29">
          <cell r="A29">
            <v>7562</v>
          </cell>
          <cell r="B29">
            <v>562</v>
          </cell>
          <cell r="C29" t="str">
            <v>Restaurant/Kantine ma-vr incl. naloop + zaterdag</v>
          </cell>
          <cell r="D29" t="str">
            <v>11 x per week</v>
          </cell>
          <cell r="E29">
            <v>0.96699999999999997</v>
          </cell>
          <cell r="F29">
            <v>0.72524999999999995</v>
          </cell>
          <cell r="G29">
            <v>0.14504999999999998</v>
          </cell>
          <cell r="H29">
            <v>305.88363359277201</v>
          </cell>
          <cell r="I29">
            <v>186.48000000000002</v>
          </cell>
          <cell r="J29">
            <v>4.8251688133100455E-3</v>
          </cell>
          <cell r="L29" t="str">
            <v>V</v>
          </cell>
        </row>
        <row r="30">
          <cell r="A30">
            <v>8255</v>
          </cell>
          <cell r="B30">
            <v>255</v>
          </cell>
          <cell r="C30" t="str">
            <v>Kleedruimten</v>
          </cell>
          <cell r="D30" t="str">
            <v>5 x per week</v>
          </cell>
          <cell r="E30">
            <v>1.569</v>
          </cell>
          <cell r="H30">
            <v>162.52390057361376</v>
          </cell>
          <cell r="I30">
            <v>144</v>
          </cell>
          <cell r="J30">
            <v>3.7259990836371001E-3</v>
          </cell>
          <cell r="L30" t="str">
            <v>S</v>
          </cell>
        </row>
        <row r="31">
          <cell r="A31">
            <v>8510</v>
          </cell>
          <cell r="B31">
            <v>510</v>
          </cell>
          <cell r="C31" t="str">
            <v>Kleedruimten</v>
          </cell>
          <cell r="D31" t="str">
            <v>10 x per week</v>
          </cell>
          <cell r="E31">
            <v>1.569</v>
          </cell>
          <cell r="F31">
            <v>1.17675</v>
          </cell>
          <cell r="H31">
            <v>185.74160065555859</v>
          </cell>
          <cell r="I31">
            <v>390.9</v>
          </cell>
          <cell r="J31">
            <v>1.0114535012456545E-2</v>
          </cell>
          <cell r="L31" t="str">
            <v>S</v>
          </cell>
        </row>
        <row r="32">
          <cell r="A32">
            <v>8562</v>
          </cell>
          <cell r="B32">
            <v>562</v>
          </cell>
          <cell r="C32" t="str">
            <v>Kleedruimten ma-vr incl. naloop + zaterdag</v>
          </cell>
          <cell r="D32" t="str">
            <v>11 x per week</v>
          </cell>
          <cell r="E32">
            <v>1.569</v>
          </cell>
          <cell r="F32">
            <v>1.17675</v>
          </cell>
          <cell r="G32">
            <v>0.23534999999999998</v>
          </cell>
          <cell r="H32">
            <v>188.52101573244775</v>
          </cell>
          <cell r="I32">
            <v>158.54</v>
          </cell>
          <cell r="J32">
            <v>4.1022214911099015E-3</v>
          </cell>
          <cell r="L32" t="str">
            <v>S</v>
          </cell>
        </row>
        <row r="33">
          <cell r="A33">
            <v>9255</v>
          </cell>
          <cell r="B33">
            <v>255</v>
          </cell>
          <cell r="C33" t="str">
            <v>Rookruimten</v>
          </cell>
          <cell r="D33" t="str">
            <v>5 x per week</v>
          </cell>
          <cell r="E33">
            <v>0.83099999999999996</v>
          </cell>
          <cell r="H33">
            <v>306.85920577617333</v>
          </cell>
          <cell r="I33">
            <v>29</v>
          </cell>
          <cell r="J33">
            <v>7.5037481545469384E-4</v>
          </cell>
          <cell r="L33" t="str">
            <v>V</v>
          </cell>
        </row>
        <row r="34">
          <cell r="A34">
            <v>10255</v>
          </cell>
          <cell r="B34">
            <v>255</v>
          </cell>
          <cell r="C34" t="str">
            <v>Buitenbordes entree's</v>
          </cell>
          <cell r="D34" t="str">
            <v>5 x per week</v>
          </cell>
          <cell r="E34">
            <v>0.51</v>
          </cell>
          <cell r="H34">
            <v>500</v>
          </cell>
          <cell r="I34">
            <v>340</v>
          </cell>
          <cell r="J34">
            <v>8.7974978363653759E-3</v>
          </cell>
          <cell r="L34" t="str">
            <v>V</v>
          </cell>
        </row>
        <row r="35">
          <cell r="A35" t="str">
            <v>nvt</v>
          </cell>
          <cell r="C35" t="str">
            <v>Niet van toepassing</v>
          </cell>
          <cell r="H35">
            <v>0</v>
          </cell>
          <cell r="I35">
            <v>17135.46</v>
          </cell>
          <cell r="J35">
            <v>0.4433799184562513</v>
          </cell>
        </row>
        <row r="36">
          <cell r="A36" t="str">
            <v>op afroep</v>
          </cell>
          <cell r="C36" t="str">
            <v>Op afroep</v>
          </cell>
          <cell r="H36">
            <v>0</v>
          </cell>
          <cell r="I36">
            <v>82.8</v>
          </cell>
          <cell r="J36">
            <v>2.1424494730913324E-3</v>
          </cell>
        </row>
        <row r="37">
          <cell r="C37">
            <v>0</v>
          </cell>
          <cell r="I37">
            <v>38647.352500000001</v>
          </cell>
          <cell r="J37">
            <v>1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A10" t="str">
            <v>01.0012</v>
          </cell>
          <cell r="B10">
            <v>12</v>
          </cell>
          <cell r="C10" t="str">
            <v>diensten perrons</v>
          </cell>
          <cell r="D10" t="str">
            <v>1 x per maand</v>
          </cell>
          <cell r="E10">
            <v>0.11076255714285714</v>
          </cell>
          <cell r="I10">
            <v>108.33986059497414</v>
          </cell>
          <cell r="J10">
            <v>615.6</v>
          </cell>
          <cell r="K10">
            <v>1.0087873969090076E-2</v>
          </cell>
          <cell r="M10" t="str">
            <v>V</v>
          </cell>
        </row>
        <row r="11">
          <cell r="A11" t="str">
            <v>01.0730b</v>
          </cell>
          <cell r="B11">
            <v>730</v>
          </cell>
          <cell r="C11" t="str">
            <v>perrons Oost en Ringlijn</v>
          </cell>
          <cell r="D11" t="str">
            <v>14x per week</v>
          </cell>
          <cell r="E11">
            <v>0.64832109593023257</v>
          </cell>
          <cell r="F11">
            <v>0.21610169491525424</v>
          </cell>
          <cell r="G11">
            <v>0.10870596981132075</v>
          </cell>
          <cell r="H11">
            <v>9.3220338983050849E-2</v>
          </cell>
          <cell r="I11">
            <v>684.57881217937484</v>
          </cell>
          <cell r="J11">
            <v>25752.63</v>
          </cell>
          <cell r="K11">
            <v>0.42200988598539341</v>
          </cell>
          <cell r="M11" t="str">
            <v>S</v>
          </cell>
        </row>
        <row r="12">
          <cell r="A12" t="str">
            <v>01.1095b</v>
          </cell>
          <cell r="B12">
            <v>1095</v>
          </cell>
          <cell r="C12" t="str">
            <v>perrons Oost en Ringlijn</v>
          </cell>
          <cell r="D12" t="str">
            <v>21x per week</v>
          </cell>
          <cell r="E12">
            <v>0.64832109593023257</v>
          </cell>
          <cell r="F12">
            <v>0.34296729491525424</v>
          </cell>
          <cell r="G12">
            <v>0.10870596981132075</v>
          </cell>
          <cell r="H12">
            <v>0.14794667623795282</v>
          </cell>
          <cell r="I12">
            <v>877.44530200295185</v>
          </cell>
          <cell r="J12">
            <v>5939.54</v>
          </cell>
          <cell r="K12">
            <v>9.7331596741990364E-2</v>
          </cell>
          <cell r="M12" t="str">
            <v>S</v>
          </cell>
        </row>
        <row r="13">
          <cell r="A13" t="str">
            <v>01.1460b</v>
          </cell>
          <cell r="B13">
            <v>1460</v>
          </cell>
          <cell r="C13" t="str">
            <v>perrons Oost en Ringlijn</v>
          </cell>
          <cell r="D13" t="str">
            <v>28x per week</v>
          </cell>
          <cell r="E13">
            <v>0.64832109593023257</v>
          </cell>
          <cell r="F13">
            <v>0.39709269491525423</v>
          </cell>
          <cell r="G13">
            <v>0.10870596981132075</v>
          </cell>
          <cell r="H13">
            <v>0.17129488800265869</v>
          </cell>
          <cell r="I13">
            <v>1101.5420732497973</v>
          </cell>
          <cell r="J13">
            <v>7415</v>
          </cell>
          <cell r="K13">
            <v>0.12151004788954339</v>
          </cell>
          <cell r="M13" t="str">
            <v>S</v>
          </cell>
        </row>
        <row r="14">
          <cell r="A14" t="str">
            <v>02.0000</v>
          </cell>
          <cell r="B14" t="str">
            <v>0</v>
          </cell>
          <cell r="C14" t="str">
            <v>sanitair</v>
          </cell>
          <cell r="D14" t="str">
            <v>op afroep</v>
          </cell>
          <cell r="E14">
            <v>1.8749999999999999E-2</v>
          </cell>
          <cell r="I14">
            <v>0</v>
          </cell>
          <cell r="J14">
            <v>0</v>
          </cell>
          <cell r="K14">
            <v>0</v>
          </cell>
          <cell r="M14" t="str">
            <v>S</v>
          </cell>
        </row>
        <row r="15">
          <cell r="A15" t="str">
            <v>02.0004</v>
          </cell>
          <cell r="B15">
            <v>4</v>
          </cell>
          <cell r="C15" t="str">
            <v>sanitair</v>
          </cell>
          <cell r="D15" t="str">
            <v>4x per jaar</v>
          </cell>
          <cell r="E15">
            <v>7.4999999999999997E-2</v>
          </cell>
          <cell r="I15">
            <v>53.333333333333336</v>
          </cell>
          <cell r="J15">
            <v>0</v>
          </cell>
          <cell r="K15">
            <v>0</v>
          </cell>
          <cell r="M15" t="str">
            <v>V</v>
          </cell>
        </row>
        <row r="16">
          <cell r="A16" t="str">
            <v>02.0026</v>
          </cell>
          <cell r="B16">
            <v>26</v>
          </cell>
          <cell r="C16" t="str">
            <v>sanitair</v>
          </cell>
          <cell r="D16" t="str">
            <v xml:space="preserve">1 x per twee weken </v>
          </cell>
          <cell r="E16">
            <v>0.41935</v>
          </cell>
          <cell r="I16">
            <v>62.000715392869921</v>
          </cell>
          <cell r="J16">
            <v>35.339999999999996</v>
          </cell>
          <cell r="K16">
            <v>5.7911869081813392E-4</v>
          </cell>
          <cell r="M16" t="str">
            <v>V</v>
          </cell>
        </row>
        <row r="17">
          <cell r="A17" t="str">
            <v>02.0052</v>
          </cell>
          <cell r="B17">
            <v>52</v>
          </cell>
          <cell r="C17" t="str">
            <v>sanitair</v>
          </cell>
          <cell r="D17" t="str">
            <v>1x per week</v>
          </cell>
          <cell r="E17">
            <v>0.80913461538461495</v>
          </cell>
          <cell r="I17">
            <v>64.266191325014887</v>
          </cell>
          <cell r="J17">
            <v>14.25</v>
          </cell>
          <cell r="K17">
            <v>2.3351560113634435E-4</v>
          </cell>
        </row>
        <row r="18">
          <cell r="A18" t="str">
            <v>02.0156</v>
          </cell>
          <cell r="B18">
            <v>156</v>
          </cell>
          <cell r="C18" t="str">
            <v>sanitair</v>
          </cell>
          <cell r="D18" t="str">
            <v>3x per week</v>
          </cell>
          <cell r="E18">
            <v>2.2655769230769232</v>
          </cell>
          <cell r="I18">
            <v>68.85663356251591</v>
          </cell>
          <cell r="J18">
            <v>0</v>
          </cell>
          <cell r="K18">
            <v>0</v>
          </cell>
        </row>
        <row r="19">
          <cell r="A19" t="str">
            <v>02.0255</v>
          </cell>
          <cell r="B19">
            <v>255</v>
          </cell>
          <cell r="C19" t="str">
            <v>sanitair</v>
          </cell>
          <cell r="D19" t="str">
            <v>5 x per week</v>
          </cell>
          <cell r="E19">
            <v>3.236538461538462</v>
          </cell>
          <cell r="I19">
            <v>78.787878787878782</v>
          </cell>
          <cell r="J19">
            <v>5</v>
          </cell>
          <cell r="K19">
            <v>8.1935298644331345E-5</v>
          </cell>
          <cell r="M19" t="str">
            <v>V</v>
          </cell>
        </row>
        <row r="20">
          <cell r="A20" t="str">
            <v>02.0365</v>
          </cell>
          <cell r="B20">
            <v>365</v>
          </cell>
          <cell r="C20" t="str">
            <v>sanitair</v>
          </cell>
          <cell r="D20" t="str">
            <v>7x per week</v>
          </cell>
          <cell r="E20">
            <v>3.236538461538462</v>
          </cell>
          <cell r="G20">
            <v>1.2914423076923076</v>
          </cell>
          <cell r="I20">
            <v>80.60988299250387</v>
          </cell>
          <cell r="J20">
            <v>61.439999999999991</v>
          </cell>
          <cell r="K20">
            <v>1.0068209497415435E-3</v>
          </cell>
          <cell r="M20" t="str">
            <v>V</v>
          </cell>
        </row>
        <row r="21">
          <cell r="A21" t="str">
            <v>02.0730</v>
          </cell>
          <cell r="B21">
            <v>730</v>
          </cell>
          <cell r="C21" t="str">
            <v>sanitair</v>
          </cell>
          <cell r="D21" t="str">
            <v>14x per week</v>
          </cell>
          <cell r="E21">
            <v>3.236538461538462</v>
          </cell>
          <cell r="F21">
            <v>2.2636504120879128</v>
          </cell>
          <cell r="G21">
            <v>1.2914423076923076</v>
          </cell>
          <cell r="H21">
            <v>0.90546016483516523</v>
          </cell>
          <cell r="I21">
            <v>94.841020740227151</v>
          </cell>
          <cell r="J21">
            <v>55.95000000000001</v>
          </cell>
          <cell r="K21">
            <v>9.16855991830068E-4</v>
          </cell>
        </row>
        <row r="22">
          <cell r="A22" t="str">
            <v>03.0000</v>
          </cell>
          <cell r="B22" t="str">
            <v>0</v>
          </cell>
          <cell r="C22" t="str">
            <v>gangen</v>
          </cell>
          <cell r="D22" t="str">
            <v>op afroep</v>
          </cell>
          <cell r="E22">
            <v>8.4951923076923078E-3</v>
          </cell>
          <cell r="I22">
            <v>0</v>
          </cell>
          <cell r="J22">
            <v>33.770000000000003</v>
          </cell>
          <cell r="K22">
            <v>5.5339100704381397E-4</v>
          </cell>
          <cell r="M22" t="str">
            <v>V</v>
          </cell>
        </row>
        <row r="23">
          <cell r="A23" t="str">
            <v>03.0004</v>
          </cell>
          <cell r="B23">
            <v>4</v>
          </cell>
          <cell r="C23" t="str">
            <v>gangen</v>
          </cell>
          <cell r="D23" t="str">
            <v>4x per jaar</v>
          </cell>
          <cell r="E23">
            <v>3.3980769230769231E-2</v>
          </cell>
          <cell r="I23">
            <v>117.7136389360498</v>
          </cell>
          <cell r="J23">
            <v>0</v>
          </cell>
          <cell r="K23">
            <v>0</v>
          </cell>
          <cell r="M23" t="str">
            <v>V</v>
          </cell>
        </row>
        <row r="24">
          <cell r="A24" t="str">
            <v>03.0012</v>
          </cell>
          <cell r="B24">
            <v>12</v>
          </cell>
          <cell r="C24" t="str">
            <v>gangen</v>
          </cell>
          <cell r="D24" t="str">
            <v>1 x per maand</v>
          </cell>
          <cell r="E24">
            <v>1.7325791855203616E-2</v>
          </cell>
          <cell r="I24">
            <v>692.6090363019066</v>
          </cell>
          <cell r="J24">
            <v>432.67</v>
          </cell>
          <cell r="K24">
            <v>7.0901891328885693E-3</v>
          </cell>
          <cell r="M24" t="str">
            <v>V</v>
          </cell>
        </row>
        <row r="25">
          <cell r="A25" t="str">
            <v>03.0365</v>
          </cell>
          <cell r="B25">
            <v>365</v>
          </cell>
          <cell r="C25" t="str">
            <v>gangen</v>
          </cell>
          <cell r="D25" t="str">
            <v>7x per week</v>
          </cell>
          <cell r="E25">
            <v>0.3313557692307692</v>
          </cell>
          <cell r="G25">
            <v>0.11740384615384616</v>
          </cell>
          <cell r="I25">
            <v>813.3530457886053</v>
          </cell>
          <cell r="J25">
            <v>820.32</v>
          </cell>
          <cell r="K25">
            <v>1.3442632836783579E-2</v>
          </cell>
          <cell r="M25" t="str">
            <v>V</v>
          </cell>
        </row>
        <row r="26">
          <cell r="A26" t="str">
            <v>04.0012</v>
          </cell>
          <cell r="B26">
            <v>12</v>
          </cell>
          <cell r="C26" t="str">
            <v>liften</v>
          </cell>
          <cell r="D26" t="str">
            <v>1 x per maand</v>
          </cell>
          <cell r="E26">
            <v>6.6666666666666652E-2</v>
          </cell>
          <cell r="I26">
            <v>180.00000000000003</v>
          </cell>
          <cell r="J26">
            <v>0</v>
          </cell>
          <cell r="K26">
            <v>0</v>
          </cell>
          <cell r="M26" t="str">
            <v>V</v>
          </cell>
        </row>
        <row r="27">
          <cell r="A27" t="str">
            <v>04.0365</v>
          </cell>
          <cell r="B27">
            <v>365</v>
          </cell>
          <cell r="C27" t="str">
            <v>liften</v>
          </cell>
          <cell r="D27" t="str">
            <v>7x per week</v>
          </cell>
          <cell r="E27">
            <v>1.2749999999999999</v>
          </cell>
          <cell r="G27">
            <v>0.50875000000000004</v>
          </cell>
          <cell r="I27">
            <v>204.625087596356</v>
          </cell>
          <cell r="J27">
            <v>186.98999999999998</v>
          </cell>
          <cell r="K27">
            <v>3.0642162987007033E-3</v>
          </cell>
          <cell r="M27" t="str">
            <v>V</v>
          </cell>
        </row>
        <row r="28">
          <cell r="A28" t="str">
            <v>05.0004</v>
          </cell>
          <cell r="B28">
            <v>4</v>
          </cell>
          <cell r="C28" t="str">
            <v>trappen</v>
          </cell>
          <cell r="D28" t="str">
            <v>4x per jaar</v>
          </cell>
          <cell r="E28">
            <v>7.4566465753424654E-3</v>
          </cell>
          <cell r="I28">
            <v>536.43416777015341</v>
          </cell>
          <cell r="J28">
            <v>179.68</v>
          </cell>
          <cell r="K28">
            <v>2.9444268920826916E-3</v>
          </cell>
          <cell r="M28" t="str">
            <v>V</v>
          </cell>
        </row>
        <row r="29">
          <cell r="A29" t="str">
            <v>05.0730b</v>
          </cell>
          <cell r="B29">
            <v>730</v>
          </cell>
          <cell r="C29" t="str">
            <v>trappen Ring en Oostlijn</v>
          </cell>
          <cell r="D29" t="str">
            <v>14x per week</v>
          </cell>
          <cell r="E29">
            <v>0.51031424999999997</v>
          </cell>
          <cell r="F29">
            <v>0.35416666666666663</v>
          </cell>
          <cell r="G29">
            <v>0.15262500000000001</v>
          </cell>
          <cell r="H29">
            <v>0.15277777777777776</v>
          </cell>
          <cell r="I29">
            <v>623.99365293031394</v>
          </cell>
          <cell r="J29">
            <v>2198.7500000000005</v>
          </cell>
          <cell r="K29">
            <v>3.6031047578844719E-2</v>
          </cell>
          <cell r="M29" t="str">
            <v>V</v>
          </cell>
        </row>
        <row r="30">
          <cell r="A30" t="str">
            <v>06.0026</v>
          </cell>
          <cell r="B30">
            <v>26</v>
          </cell>
          <cell r="C30" t="str">
            <v>hallen</v>
          </cell>
          <cell r="D30" t="str">
            <v xml:space="preserve">1 x per twee weken </v>
          </cell>
          <cell r="E30">
            <v>5.4932954010953161E-2</v>
          </cell>
          <cell r="I30">
            <v>473.30423910601678</v>
          </cell>
          <cell r="J30">
            <v>0</v>
          </cell>
          <cell r="K30">
            <v>0</v>
          </cell>
          <cell r="M30" t="str">
            <v>V</v>
          </cell>
        </row>
        <row r="31">
          <cell r="A31" t="str">
            <v>06.0730</v>
          </cell>
          <cell r="B31">
            <v>730</v>
          </cell>
          <cell r="C31" t="str">
            <v>hallen</v>
          </cell>
          <cell r="D31" t="str">
            <v>14x per week</v>
          </cell>
          <cell r="E31">
            <v>0.45137975933740604</v>
          </cell>
          <cell r="F31">
            <v>0.19921875</v>
          </cell>
          <cell r="G31">
            <v>8.4217160369821104E-2</v>
          </cell>
          <cell r="H31">
            <v>8.59375E-2</v>
          </cell>
          <cell r="I31">
            <v>889.42696409006874</v>
          </cell>
          <cell r="J31">
            <v>8479.5</v>
          </cell>
          <cell r="K31">
            <v>0.13895407297092152</v>
          </cell>
          <cell r="M31" t="str">
            <v>V</v>
          </cell>
        </row>
        <row r="32">
          <cell r="A32" t="str">
            <v>06.1095</v>
          </cell>
          <cell r="B32">
            <v>1095</v>
          </cell>
          <cell r="C32" t="str">
            <v>hallen</v>
          </cell>
          <cell r="D32" t="str">
            <v>21x per week</v>
          </cell>
          <cell r="E32">
            <v>0.45137975933740604</v>
          </cell>
          <cell r="F32">
            <v>0.31617297499999997</v>
          </cell>
          <cell r="G32">
            <v>8.4217160369821104E-2</v>
          </cell>
          <cell r="H32">
            <v>0.13638834215686274</v>
          </cell>
          <cell r="I32">
            <v>1108.1221196667566</v>
          </cell>
          <cell r="J32">
            <v>1361.8600000000001</v>
          </cell>
          <cell r="K32">
            <v>2.2316881162353822E-2</v>
          </cell>
        </row>
        <row r="33">
          <cell r="A33" t="str">
            <v>06.1460</v>
          </cell>
          <cell r="B33">
            <v>1460</v>
          </cell>
          <cell r="C33" t="str">
            <v>hallen</v>
          </cell>
          <cell r="D33" t="str">
            <v>28x per week</v>
          </cell>
          <cell r="E33">
            <v>0.45137975933740604</v>
          </cell>
          <cell r="F33">
            <v>0.366069828125</v>
          </cell>
          <cell r="G33">
            <v>8.4217160369821104E-2</v>
          </cell>
          <cell r="H33">
            <v>0.17</v>
          </cell>
          <cell r="I33">
            <v>1362.3638159467907</v>
          </cell>
          <cell r="J33">
            <v>2325</v>
          </cell>
          <cell r="K33">
            <v>3.8099913869614074E-2</v>
          </cell>
        </row>
        <row r="34">
          <cell r="A34" t="str">
            <v>07.0000a</v>
          </cell>
          <cell r="B34" t="str">
            <v>0</v>
          </cell>
          <cell r="C34" t="str">
            <v>technische ruimten</v>
          </cell>
          <cell r="D34" t="str">
            <v xml:space="preserve">op afroep </v>
          </cell>
          <cell r="E34">
            <v>2E-3</v>
          </cell>
          <cell r="I34">
            <v>0</v>
          </cell>
          <cell r="J34">
            <v>0</v>
          </cell>
          <cell r="K34">
            <v>0</v>
          </cell>
          <cell r="M34" t="str">
            <v>V</v>
          </cell>
        </row>
        <row r="35">
          <cell r="A35" t="str">
            <v>07.0000b</v>
          </cell>
          <cell r="B35" t="str">
            <v>0</v>
          </cell>
          <cell r="C35" t="str">
            <v>technische ruimten</v>
          </cell>
          <cell r="D35" t="str">
            <v xml:space="preserve">op afroep </v>
          </cell>
          <cell r="E35">
            <v>3.6363636363636364E-3</v>
          </cell>
          <cell r="I35">
            <v>0</v>
          </cell>
          <cell r="J35">
            <v>0</v>
          </cell>
          <cell r="K35">
            <v>0</v>
          </cell>
          <cell r="M35" t="str">
            <v>V</v>
          </cell>
        </row>
        <row r="36">
          <cell r="A36" t="str">
            <v>07.0002</v>
          </cell>
          <cell r="B36">
            <v>2</v>
          </cell>
          <cell r="C36" t="str">
            <v>technische ruimten</v>
          </cell>
          <cell r="D36" t="str">
            <v>2x per jaar</v>
          </cell>
          <cell r="E36">
            <v>4.6153846153846149E-3</v>
          </cell>
          <cell r="I36">
            <v>433.33333333333337</v>
          </cell>
          <cell r="J36">
            <v>0</v>
          </cell>
          <cell r="K36">
            <v>0</v>
          </cell>
          <cell r="M36" t="str">
            <v>V</v>
          </cell>
        </row>
        <row r="37">
          <cell r="A37" t="str">
            <v>07.0004</v>
          </cell>
          <cell r="B37">
            <v>4</v>
          </cell>
          <cell r="C37" t="str">
            <v>technische ruimten</v>
          </cell>
          <cell r="D37" t="str">
            <v>4x per jaar</v>
          </cell>
          <cell r="E37">
            <v>1.673076923076923E-2</v>
          </cell>
          <cell r="I37">
            <v>239.08045977011497</v>
          </cell>
          <cell r="J37">
            <v>2622.5699999999997</v>
          </cell>
          <cell r="K37">
            <v>4.2976211233132812E-2</v>
          </cell>
          <cell r="M37" t="str">
            <v>V</v>
          </cell>
        </row>
        <row r="38">
          <cell r="A38" t="str">
            <v>08.0730</v>
          </cell>
          <cell r="B38">
            <v>730</v>
          </cell>
          <cell r="C38" t="str">
            <v>roltrappen(inclusief aangrenzende bouwdelen)</v>
          </cell>
          <cell r="D38" t="str">
            <v>14x per week</v>
          </cell>
          <cell r="E38">
            <v>1.7006250000000001</v>
          </cell>
          <cell r="F38">
            <v>1.605</v>
          </cell>
          <cell r="G38">
            <v>0.69286290322580646</v>
          </cell>
          <cell r="H38">
            <v>0.6923529411764705</v>
          </cell>
          <cell r="I38">
            <v>155.62241913859245</v>
          </cell>
          <cell r="J38">
            <v>1604.34</v>
          </cell>
          <cell r="K38">
            <v>2.6290415405409311E-2</v>
          </cell>
          <cell r="M38" t="str">
            <v>V</v>
          </cell>
        </row>
        <row r="39">
          <cell r="A39" t="str">
            <v>09.0000a</v>
          </cell>
          <cell r="B39" t="str">
            <v>0</v>
          </cell>
          <cell r="C39" t="str">
            <v>berging/opslag/magazijn</v>
          </cell>
          <cell r="D39" t="str">
            <v xml:space="preserve">op afroep </v>
          </cell>
          <cell r="E39">
            <v>1.3636363636363637E-3</v>
          </cell>
          <cell r="I39">
            <v>0</v>
          </cell>
          <cell r="J39">
            <v>12</v>
          </cell>
          <cell r="K39">
            <v>1.9664471674639525E-4</v>
          </cell>
          <cell r="M39" t="str">
            <v>V</v>
          </cell>
        </row>
        <row r="40">
          <cell r="A40" t="str">
            <v>09.0000b</v>
          </cell>
          <cell r="B40" t="str">
            <v>0</v>
          </cell>
          <cell r="C40" t="str">
            <v>berging/opslag/magazijn</v>
          </cell>
          <cell r="D40" t="str">
            <v xml:space="preserve">op afroep </v>
          </cell>
          <cell r="E40">
            <v>2.142857142857143E-3</v>
          </cell>
          <cell r="I40">
            <v>0</v>
          </cell>
          <cell r="J40">
            <v>0</v>
          </cell>
          <cell r="K40">
            <v>0</v>
          </cell>
          <cell r="M40" t="str">
            <v>V</v>
          </cell>
        </row>
        <row r="41">
          <cell r="A41" t="str">
            <v>09.0004</v>
          </cell>
          <cell r="B41">
            <v>4</v>
          </cell>
          <cell r="C41" t="str">
            <v>berging/opslag/magazijn</v>
          </cell>
          <cell r="D41" t="str">
            <v>4x per jaar</v>
          </cell>
          <cell r="E41">
            <v>1.2E-2</v>
          </cell>
          <cell r="I41">
            <v>333.33333333333331</v>
          </cell>
          <cell r="J41">
            <v>0</v>
          </cell>
          <cell r="K41">
            <v>0</v>
          </cell>
          <cell r="M41" t="str">
            <v>V</v>
          </cell>
        </row>
        <row r="42">
          <cell r="A42" t="str">
            <v>09.0012</v>
          </cell>
          <cell r="B42">
            <v>12</v>
          </cell>
          <cell r="C42" t="str">
            <v>berging/opslag/magazijn</v>
          </cell>
          <cell r="D42" t="str">
            <v>12x per jaar</v>
          </cell>
          <cell r="E42">
            <v>2.2499999999999999E-2</v>
          </cell>
          <cell r="I42">
            <v>533.33333333333337</v>
          </cell>
          <cell r="J42">
            <v>194.08</v>
          </cell>
          <cell r="K42">
            <v>3.1804005521783659E-3</v>
          </cell>
          <cell r="M42" t="str">
            <v>V</v>
          </cell>
        </row>
        <row r="43">
          <cell r="A43" t="str">
            <v>10.0000</v>
          </cell>
          <cell r="B43" t="str">
            <v>0</v>
          </cell>
          <cell r="C43" t="str">
            <v>kantoren/spreekkamers</v>
          </cell>
          <cell r="D43" t="str">
            <v xml:space="preserve">op afroep </v>
          </cell>
          <cell r="E43">
            <v>1.0760869565217393E-2</v>
          </cell>
          <cell r="I43">
            <v>0</v>
          </cell>
          <cell r="J43">
            <v>0</v>
          </cell>
          <cell r="K43">
            <v>0</v>
          </cell>
          <cell r="M43" t="str">
            <v>V</v>
          </cell>
        </row>
        <row r="44">
          <cell r="A44" t="str">
            <v>10.0004</v>
          </cell>
          <cell r="B44">
            <v>4</v>
          </cell>
          <cell r="C44" t="str">
            <v>kantoren/spreekkamers</v>
          </cell>
          <cell r="D44" t="str">
            <v>4x per jaar</v>
          </cell>
          <cell r="E44">
            <v>4.3043478260869572E-2</v>
          </cell>
          <cell r="I44">
            <v>92.929292929292913</v>
          </cell>
          <cell r="J44">
            <v>0</v>
          </cell>
          <cell r="K44">
            <v>0</v>
          </cell>
          <cell r="M44" t="str">
            <v>V</v>
          </cell>
        </row>
        <row r="45">
          <cell r="A45" t="str">
            <v>10.0012</v>
          </cell>
          <cell r="B45">
            <v>12</v>
          </cell>
          <cell r="C45" t="str">
            <v>kantoren/spreekkamers</v>
          </cell>
          <cell r="D45" t="str">
            <v>1 x per maand</v>
          </cell>
          <cell r="E45">
            <v>3.6955017301038055E-2</v>
          </cell>
          <cell r="I45">
            <v>324.71910112359558</v>
          </cell>
          <cell r="J45">
            <v>14.25</v>
          </cell>
          <cell r="K45">
            <v>2.3351560113634435E-4</v>
          </cell>
          <cell r="M45" t="str">
            <v>V</v>
          </cell>
        </row>
        <row r="46">
          <cell r="A46" t="str">
            <v>10.0026</v>
          </cell>
          <cell r="B46">
            <v>26</v>
          </cell>
          <cell r="C46" t="str">
            <v>kantoren/spreekkamers</v>
          </cell>
          <cell r="D46" t="str">
            <v xml:space="preserve">1 x per twee weken </v>
          </cell>
          <cell r="E46">
            <v>7.5620915032679731E-2</v>
          </cell>
          <cell r="I46">
            <v>343.82022471910113</v>
          </cell>
          <cell r="J46">
            <v>179.61999999999998</v>
          </cell>
          <cell r="K46">
            <v>2.9434436684989589E-3</v>
          </cell>
          <cell r="M46" t="str">
            <v>V</v>
          </cell>
        </row>
        <row r="47">
          <cell r="A47" t="str">
            <v>10.0156</v>
          </cell>
          <cell r="B47">
            <v>156</v>
          </cell>
          <cell r="C47" t="str">
            <v>kantoren/spreekkamers</v>
          </cell>
          <cell r="D47" t="str">
            <v>3x per week</v>
          </cell>
          <cell r="E47">
            <v>0.43333333333333335</v>
          </cell>
          <cell r="I47">
            <v>360</v>
          </cell>
          <cell r="J47">
            <v>21.35</v>
          </cell>
          <cell r="K47">
            <v>3.4986372521129489E-4</v>
          </cell>
        </row>
        <row r="48">
          <cell r="A48" t="str">
            <v>10.0255</v>
          </cell>
          <cell r="B48">
            <v>255</v>
          </cell>
          <cell r="C48" t="str">
            <v>kantoren/spreekkamers</v>
          </cell>
          <cell r="D48" t="str">
            <v>5x per week</v>
          </cell>
          <cell r="E48">
            <v>0.66749999999999998</v>
          </cell>
          <cell r="I48">
            <v>382.02247191011236</v>
          </cell>
          <cell r="J48">
            <v>35</v>
          </cell>
          <cell r="K48">
            <v>5.735470905103195E-4</v>
          </cell>
          <cell r="M48" t="str">
            <v>V</v>
          </cell>
        </row>
        <row r="49">
          <cell r="A49" t="str">
            <v>10.0365</v>
          </cell>
          <cell r="B49">
            <v>365</v>
          </cell>
          <cell r="C49" t="str">
            <v>kantoren/spreekkamers</v>
          </cell>
          <cell r="D49" t="str">
            <v>7x per week</v>
          </cell>
          <cell r="E49">
            <v>0.66749999999999998</v>
          </cell>
          <cell r="G49">
            <v>0.25437500000000002</v>
          </cell>
          <cell r="I49">
            <v>395.93220338983053</v>
          </cell>
          <cell r="J49">
            <v>530.09</v>
          </cell>
          <cell r="K49">
            <v>8.6866164916747212E-3</v>
          </cell>
          <cell r="M49" t="str">
            <v>V</v>
          </cell>
        </row>
        <row r="50">
          <cell r="A50" t="str">
            <v>10.0730</v>
          </cell>
          <cell r="B50">
            <v>730</v>
          </cell>
          <cell r="C50" t="str">
            <v>kantoren/spreekkamers</v>
          </cell>
          <cell r="D50" t="str">
            <v>14x per week</v>
          </cell>
          <cell r="E50">
            <v>0.66749999999999998</v>
          </cell>
          <cell r="F50">
            <v>0.61743749999999997</v>
          </cell>
          <cell r="G50">
            <v>0.25437500000000002</v>
          </cell>
          <cell r="H50">
            <v>0.25437500000000002</v>
          </cell>
          <cell r="I50">
            <v>406.98282170110457</v>
          </cell>
          <cell r="J50">
            <v>36.31</v>
          </cell>
          <cell r="K50">
            <v>5.9501413875513427E-4</v>
          </cell>
        </row>
        <row r="51">
          <cell r="A51" t="str">
            <v>11.0004</v>
          </cell>
          <cell r="B51">
            <v>4</v>
          </cell>
          <cell r="C51" t="str">
            <v>kleedruimte</v>
          </cell>
          <cell r="D51" t="str">
            <v>4x per jaar</v>
          </cell>
          <cell r="E51">
            <v>4.2000000000000003E-2</v>
          </cell>
          <cell r="I51">
            <v>95.238095238095227</v>
          </cell>
          <cell r="J51">
            <v>0</v>
          </cell>
          <cell r="K51">
            <v>0</v>
          </cell>
          <cell r="M51" t="str">
            <v>V</v>
          </cell>
        </row>
        <row r="52">
          <cell r="A52" t="str">
            <v>12.0365</v>
          </cell>
          <cell r="B52">
            <v>365</v>
          </cell>
          <cell r="C52" t="str">
            <v>tussenruimte</v>
          </cell>
          <cell r="D52" t="str">
            <v>7x per week</v>
          </cell>
          <cell r="E52">
            <v>0.64832109593023257</v>
          </cell>
          <cell r="G52">
            <v>0.10870596981132075</v>
          </cell>
          <cell r="I52">
            <v>482.1492077597789</v>
          </cell>
          <cell r="J52">
            <v>0</v>
          </cell>
          <cell r="K52">
            <v>0</v>
          </cell>
          <cell r="M52" t="str">
            <v>V</v>
          </cell>
        </row>
        <row r="53">
          <cell r="A53" t="str">
            <v>13.0000</v>
          </cell>
          <cell r="B53" t="str">
            <v>0</v>
          </cell>
          <cell r="C53" t="str">
            <v>tegelwerk onder taluut</v>
          </cell>
          <cell r="D53" t="str">
            <v xml:space="preserve">op afroep </v>
          </cell>
          <cell r="E53">
            <v>2.5000000000000001E-3</v>
          </cell>
          <cell r="I53">
            <v>0</v>
          </cell>
          <cell r="J53">
            <v>0</v>
          </cell>
          <cell r="K53">
            <v>0</v>
          </cell>
          <cell r="M53" t="str">
            <v>V</v>
          </cell>
        </row>
        <row r="54">
          <cell r="A54" t="str">
            <v>14.0000</v>
          </cell>
          <cell r="B54" t="str">
            <v>0</v>
          </cell>
          <cell r="C54" t="str">
            <v>tegelwerk technische ruimten</v>
          </cell>
          <cell r="D54" t="str">
            <v xml:space="preserve">op afroep </v>
          </cell>
          <cell r="E54">
            <v>2.5000000000000001E-3</v>
          </cell>
          <cell r="I54">
            <v>0</v>
          </cell>
          <cell r="J54">
            <v>0</v>
          </cell>
          <cell r="K54">
            <v>0</v>
          </cell>
          <cell r="M54" t="str">
            <v>V</v>
          </cell>
        </row>
        <row r="55">
          <cell r="A55" t="str">
            <v>15.0000</v>
          </cell>
          <cell r="B55" t="str">
            <v>0</v>
          </cell>
          <cell r="C55" t="str">
            <v xml:space="preserve">fietsenstalling </v>
          </cell>
          <cell r="D55" t="str">
            <v>op afroep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2.5</v>
          </cell>
          <cell r="K55">
            <v>4.0967649322165673E-5</v>
          </cell>
          <cell r="M55" t="str">
            <v>V</v>
          </cell>
        </row>
        <row r="56">
          <cell r="A56" t="str">
            <v>00.0000</v>
          </cell>
          <cell r="B56">
            <v>0</v>
          </cell>
          <cell r="C56" t="str">
            <v>niet van toepassing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J56">
            <v>473.96000000000004</v>
          </cell>
          <cell r="K56">
            <v>7.7668108290934578E-3</v>
          </cell>
        </row>
      </sheetData>
      <sheetData sheetId="17">
        <row r="3">
          <cell r="C3" t="str">
            <v>Gemeentelijk Vervoer Bedrijf Amsterdam</v>
          </cell>
        </row>
        <row r="4">
          <cell r="C4" t="str">
            <v>Schoonmaakonderhoud Metrotations</v>
          </cell>
        </row>
        <row r="5">
          <cell r="C5" t="str">
            <v>Amsterdam</v>
          </cell>
        </row>
        <row r="6">
          <cell r="C6" t="str">
            <v>GVB 2006 0766 EP-RT</v>
          </cell>
        </row>
        <row r="7">
          <cell r="C7" t="str">
            <v>Westerveld</v>
          </cell>
        </row>
        <row r="9">
          <cell r="C9" t="str">
            <v>LIJN</v>
          </cell>
        </row>
        <row r="10">
          <cell r="C10" t="str">
            <v>Oostlijn</v>
          </cell>
        </row>
        <row r="11">
          <cell r="C11" t="str">
            <v>Oostlijn</v>
          </cell>
        </row>
        <row r="12">
          <cell r="C12" t="str">
            <v>Oostlijn</v>
          </cell>
        </row>
        <row r="13">
          <cell r="C13" t="str">
            <v>Oostlijn</v>
          </cell>
        </row>
        <row r="14">
          <cell r="C14" t="str">
            <v>Oostlijn</v>
          </cell>
        </row>
        <row r="15">
          <cell r="C15" t="str">
            <v>Oostlijn</v>
          </cell>
        </row>
        <row r="16">
          <cell r="C16" t="str">
            <v>Oostlijn</v>
          </cell>
        </row>
        <row r="17">
          <cell r="C17" t="str">
            <v>Oostlijn</v>
          </cell>
        </row>
        <row r="18">
          <cell r="C18" t="str">
            <v>Oostlijn</v>
          </cell>
        </row>
        <row r="19">
          <cell r="C19" t="str">
            <v>Oostlijn</v>
          </cell>
        </row>
        <row r="20">
          <cell r="C20" t="str">
            <v>Oostlijn</v>
          </cell>
        </row>
        <row r="21">
          <cell r="C21" t="str">
            <v>Oostlijn</v>
          </cell>
        </row>
        <row r="22">
          <cell r="C22" t="str">
            <v>Oostlijn</v>
          </cell>
        </row>
        <row r="23">
          <cell r="C23" t="str">
            <v>Oostlijn</v>
          </cell>
        </row>
        <row r="24">
          <cell r="C24" t="str">
            <v>Oostlijn</v>
          </cell>
        </row>
        <row r="25">
          <cell r="C25" t="str">
            <v>Oostlijn</v>
          </cell>
        </row>
        <row r="26">
          <cell r="C26" t="str">
            <v>Oostlijn</v>
          </cell>
        </row>
        <row r="27">
          <cell r="C27" t="str">
            <v>Oostlijn</v>
          </cell>
        </row>
        <row r="28">
          <cell r="C28" t="str">
            <v>Oostlijn</v>
          </cell>
        </row>
        <row r="29">
          <cell r="C29" t="str">
            <v>Oostlijn</v>
          </cell>
        </row>
        <row r="30">
          <cell r="C30" t="str">
            <v>Oostlijn</v>
          </cell>
        </row>
        <row r="31">
          <cell r="C31" t="str">
            <v>Oostlijn</v>
          </cell>
        </row>
        <row r="32">
          <cell r="C32" t="str">
            <v>Oostlijn</v>
          </cell>
        </row>
        <row r="33">
          <cell r="C33" t="str">
            <v>Oostlijn</v>
          </cell>
        </row>
        <row r="34">
          <cell r="C34" t="str">
            <v>Oostlijn</v>
          </cell>
        </row>
        <row r="35">
          <cell r="C35" t="str">
            <v>Oostlijn</v>
          </cell>
        </row>
        <row r="36">
          <cell r="C36" t="str">
            <v>Oostlijn</v>
          </cell>
        </row>
        <row r="37">
          <cell r="C37" t="str">
            <v>Oostlijn</v>
          </cell>
        </row>
        <row r="38">
          <cell r="C38" t="str">
            <v>Oostlijn</v>
          </cell>
        </row>
        <row r="39">
          <cell r="C39" t="str">
            <v>Oostlijn</v>
          </cell>
        </row>
        <row r="40">
          <cell r="C40" t="str">
            <v>Oostlijn</v>
          </cell>
        </row>
        <row r="41">
          <cell r="C41" t="str">
            <v>Oostlijn</v>
          </cell>
        </row>
        <row r="42">
          <cell r="C42" t="str">
            <v>Oostlijn</v>
          </cell>
        </row>
        <row r="43">
          <cell r="C43" t="str">
            <v>Oostlijn</v>
          </cell>
        </row>
        <row r="44">
          <cell r="C44" t="str">
            <v>Oostlijn</v>
          </cell>
        </row>
        <row r="45">
          <cell r="C45" t="str">
            <v>Oostlijn</v>
          </cell>
        </row>
        <row r="46">
          <cell r="C46" t="str">
            <v>Oostlijn</v>
          </cell>
        </row>
        <row r="47">
          <cell r="C47" t="str">
            <v>Oostlijn</v>
          </cell>
        </row>
        <row r="48">
          <cell r="C48" t="str">
            <v>Oostlijn</v>
          </cell>
        </row>
        <row r="49">
          <cell r="C49" t="str">
            <v>Oostlijn</v>
          </cell>
        </row>
        <row r="50">
          <cell r="C50" t="str">
            <v>Oostlijn</v>
          </cell>
        </row>
        <row r="51">
          <cell r="C51" t="str">
            <v>Oostlijn</v>
          </cell>
        </row>
        <row r="52">
          <cell r="C52" t="str">
            <v>Oostlijn</v>
          </cell>
        </row>
        <row r="53">
          <cell r="C53" t="str">
            <v>Oostlijn</v>
          </cell>
        </row>
        <row r="54">
          <cell r="C54" t="str">
            <v>Oostlijn</v>
          </cell>
        </row>
        <row r="55">
          <cell r="C55" t="str">
            <v>Oostlijn</v>
          </cell>
        </row>
        <row r="56">
          <cell r="C56" t="str">
            <v>Oostlijn</v>
          </cell>
        </row>
        <row r="57">
          <cell r="C57" t="str">
            <v>Oostlijn</v>
          </cell>
        </row>
        <row r="58">
          <cell r="C58" t="str">
            <v>Oostlijn</v>
          </cell>
        </row>
        <row r="59">
          <cell r="C59" t="str">
            <v>Oostlijn</v>
          </cell>
        </row>
        <row r="60">
          <cell r="C60" t="str">
            <v>Oostlijn</v>
          </cell>
        </row>
        <row r="61">
          <cell r="C61" t="str">
            <v>Oostlijn</v>
          </cell>
        </row>
        <row r="62">
          <cell r="C62" t="str">
            <v>Oostlijn</v>
          </cell>
        </row>
        <row r="63">
          <cell r="C63" t="str">
            <v>Oostlijn</v>
          </cell>
        </row>
        <row r="64">
          <cell r="C64" t="str">
            <v>Oostlijn</v>
          </cell>
        </row>
        <row r="65">
          <cell r="C65" t="str">
            <v>Oostlijn</v>
          </cell>
        </row>
        <row r="66">
          <cell r="C66" t="str">
            <v>Oostlijn</v>
          </cell>
        </row>
        <row r="67">
          <cell r="C67" t="str">
            <v>Oostlijn</v>
          </cell>
        </row>
        <row r="68">
          <cell r="C68" t="str">
            <v>Oostlijn</v>
          </cell>
        </row>
        <row r="69">
          <cell r="C69" t="str">
            <v>Oostlijn</v>
          </cell>
        </row>
        <row r="70">
          <cell r="C70" t="str">
            <v>Oostlijn</v>
          </cell>
        </row>
        <row r="71">
          <cell r="C71" t="str">
            <v>Oostlijn</v>
          </cell>
        </row>
        <row r="72">
          <cell r="C72" t="str">
            <v>Oostlijn</v>
          </cell>
        </row>
        <row r="73">
          <cell r="C73" t="str">
            <v>Oostlijn</v>
          </cell>
        </row>
        <row r="74">
          <cell r="C74" t="str">
            <v>Oostlijn</v>
          </cell>
        </row>
        <row r="75">
          <cell r="C75" t="str">
            <v>Oostlijn</v>
          </cell>
        </row>
        <row r="76">
          <cell r="C76" t="str">
            <v>Oostlijn</v>
          </cell>
        </row>
        <row r="77">
          <cell r="C77" t="str">
            <v>Oostlijn</v>
          </cell>
        </row>
        <row r="78">
          <cell r="C78" t="str">
            <v>Oostlijn</v>
          </cell>
        </row>
        <row r="79">
          <cell r="C79" t="str">
            <v>Oostlijn</v>
          </cell>
        </row>
        <row r="80">
          <cell r="C80" t="str">
            <v>Oostlijn</v>
          </cell>
        </row>
        <row r="81">
          <cell r="C81" t="str">
            <v>Oostlijn</v>
          </cell>
        </row>
        <row r="82">
          <cell r="C82" t="str">
            <v>Oostlijn</v>
          </cell>
        </row>
        <row r="83">
          <cell r="C83" t="str">
            <v>Oostlijn</v>
          </cell>
        </row>
        <row r="84">
          <cell r="C84" t="str">
            <v>Oostlijn</v>
          </cell>
        </row>
        <row r="85">
          <cell r="C85" t="str">
            <v>Oostlijn</v>
          </cell>
        </row>
        <row r="86">
          <cell r="C86" t="str">
            <v>Oostlijn</v>
          </cell>
        </row>
        <row r="87">
          <cell r="C87" t="str">
            <v>Oostlijn</v>
          </cell>
        </row>
        <row r="88">
          <cell r="C88" t="str">
            <v>Oostlijn</v>
          </cell>
        </row>
        <row r="89">
          <cell r="C89" t="str">
            <v>Oostlijn</v>
          </cell>
        </row>
        <row r="90">
          <cell r="C90" t="str">
            <v>Oostlijn</v>
          </cell>
        </row>
        <row r="91">
          <cell r="C91" t="str">
            <v>Oostlijn</v>
          </cell>
        </row>
        <row r="92">
          <cell r="C92" t="str">
            <v>Oostlijn</v>
          </cell>
        </row>
        <row r="93">
          <cell r="C93" t="str">
            <v>Oostlijn</v>
          </cell>
        </row>
        <row r="94">
          <cell r="C94" t="str">
            <v>Oostlijn</v>
          </cell>
        </row>
        <row r="95">
          <cell r="C95" t="str">
            <v>Oostlijn</v>
          </cell>
        </row>
        <row r="96">
          <cell r="C96" t="str">
            <v>Oostlijn</v>
          </cell>
        </row>
        <row r="97">
          <cell r="C97" t="str">
            <v>Oostlijn</v>
          </cell>
        </row>
        <row r="98">
          <cell r="C98" t="str">
            <v>Oostlijn</v>
          </cell>
        </row>
        <row r="99">
          <cell r="C99" t="str">
            <v>Oostlijn</v>
          </cell>
        </row>
        <row r="100">
          <cell r="C100" t="str">
            <v>Oostlijn</v>
          </cell>
        </row>
        <row r="101">
          <cell r="C101" t="str">
            <v>Oostlijn</v>
          </cell>
        </row>
        <row r="102">
          <cell r="C102" t="str">
            <v>Oostlijn</v>
          </cell>
        </row>
        <row r="103">
          <cell r="C103" t="str">
            <v>Oostlijn</v>
          </cell>
        </row>
        <row r="104">
          <cell r="C104" t="str">
            <v>Oostlijn</v>
          </cell>
        </row>
        <row r="105">
          <cell r="C105" t="str">
            <v>Oostlijn</v>
          </cell>
        </row>
        <row r="106">
          <cell r="C106" t="str">
            <v>Oostlijn</v>
          </cell>
        </row>
        <row r="107">
          <cell r="C107" t="str">
            <v>Oostlijn</v>
          </cell>
        </row>
        <row r="108">
          <cell r="C108" t="str">
            <v>Oostlijn</v>
          </cell>
        </row>
        <row r="109">
          <cell r="C109" t="str">
            <v>Oostlijn</v>
          </cell>
        </row>
        <row r="110">
          <cell r="C110" t="str">
            <v>Oostlijn</v>
          </cell>
        </row>
        <row r="111">
          <cell r="C111" t="str">
            <v>Oostlijn</v>
          </cell>
        </row>
        <row r="112">
          <cell r="C112" t="str">
            <v>Oostlijn</v>
          </cell>
        </row>
        <row r="113">
          <cell r="C113" t="str">
            <v>Oostlijn</v>
          </cell>
        </row>
        <row r="114">
          <cell r="C114" t="str">
            <v>Oostlijn</v>
          </cell>
        </row>
        <row r="115">
          <cell r="C115" t="str">
            <v>Oostlijn</v>
          </cell>
        </row>
        <row r="116">
          <cell r="C116" t="str">
            <v>Oostlijn</v>
          </cell>
        </row>
        <row r="117">
          <cell r="C117" t="str">
            <v>Oostlijn</v>
          </cell>
        </row>
        <row r="118">
          <cell r="C118" t="str">
            <v>Oostlijn</v>
          </cell>
        </row>
        <row r="119">
          <cell r="C119" t="str">
            <v>Oostlijn</v>
          </cell>
        </row>
        <row r="120">
          <cell r="C120" t="str">
            <v>Oostlijn</v>
          </cell>
        </row>
        <row r="121">
          <cell r="C121" t="str">
            <v>Oostlijn</v>
          </cell>
        </row>
        <row r="122">
          <cell r="C122" t="str">
            <v>Oostlijn</v>
          </cell>
        </row>
        <row r="123">
          <cell r="C123" t="str">
            <v>Oostlijn</v>
          </cell>
        </row>
        <row r="124">
          <cell r="C124" t="str">
            <v>Oostlijn</v>
          </cell>
        </row>
        <row r="125">
          <cell r="C125" t="str">
            <v>Oostlijn</v>
          </cell>
        </row>
        <row r="126">
          <cell r="C126" t="str">
            <v>Oostlijn</v>
          </cell>
        </row>
        <row r="127">
          <cell r="C127" t="str">
            <v>Oostlijn</v>
          </cell>
        </row>
        <row r="128">
          <cell r="C128" t="str">
            <v>Oostlijn</v>
          </cell>
        </row>
        <row r="129">
          <cell r="C129" t="str">
            <v>Oostlijn</v>
          </cell>
        </row>
        <row r="130">
          <cell r="C130" t="str">
            <v>Oostlijn</v>
          </cell>
        </row>
        <row r="131">
          <cell r="C131" t="str">
            <v>Oostlijn</v>
          </cell>
        </row>
        <row r="132">
          <cell r="C132" t="str">
            <v>Oostlijn</v>
          </cell>
        </row>
        <row r="133">
          <cell r="C133" t="str">
            <v>Oostlijn</v>
          </cell>
        </row>
        <row r="134">
          <cell r="C134" t="str">
            <v>Oostlijn</v>
          </cell>
        </row>
        <row r="135">
          <cell r="C135" t="str">
            <v>Oostlijn</v>
          </cell>
        </row>
        <row r="136">
          <cell r="C136" t="str">
            <v>Oostlijn</v>
          </cell>
        </row>
        <row r="137">
          <cell r="C137" t="str">
            <v>Oostlijn</v>
          </cell>
        </row>
        <row r="138">
          <cell r="C138" t="str">
            <v>Oostlijn</v>
          </cell>
        </row>
        <row r="139">
          <cell r="C139" t="str">
            <v>Oostlijn</v>
          </cell>
        </row>
        <row r="140">
          <cell r="C140" t="str">
            <v>Oostlijn</v>
          </cell>
        </row>
        <row r="141">
          <cell r="C141" t="str">
            <v>Oostlijn</v>
          </cell>
        </row>
        <row r="142">
          <cell r="C142" t="str">
            <v>Oostlijn</v>
          </cell>
        </row>
        <row r="143">
          <cell r="C143" t="str">
            <v>Oostlijn</v>
          </cell>
        </row>
        <row r="144">
          <cell r="C144" t="str">
            <v>Oostlijn</v>
          </cell>
        </row>
        <row r="145">
          <cell r="C145" t="str">
            <v>Oostlijn</v>
          </cell>
        </row>
        <row r="146">
          <cell r="C146" t="str">
            <v>Oostlijn</v>
          </cell>
        </row>
        <row r="147">
          <cell r="C147" t="str">
            <v>Oostlijn</v>
          </cell>
        </row>
        <row r="148">
          <cell r="C148" t="str">
            <v>Oostlijn</v>
          </cell>
        </row>
        <row r="149">
          <cell r="C149" t="str">
            <v>Oostlijn</v>
          </cell>
        </row>
        <row r="150">
          <cell r="C150" t="str">
            <v>Oostlijn</v>
          </cell>
        </row>
        <row r="151">
          <cell r="C151" t="str">
            <v>Oostlijn</v>
          </cell>
        </row>
        <row r="152">
          <cell r="C152" t="str">
            <v>Oostlijn</v>
          </cell>
        </row>
        <row r="153">
          <cell r="C153" t="str">
            <v>Oostlijn</v>
          </cell>
        </row>
        <row r="154">
          <cell r="C154" t="str">
            <v>Oostlijn</v>
          </cell>
        </row>
        <row r="155">
          <cell r="C155" t="str">
            <v>Oostlijn</v>
          </cell>
        </row>
        <row r="156">
          <cell r="C156" t="str">
            <v>Oostlijn</v>
          </cell>
        </row>
        <row r="157">
          <cell r="C157" t="str">
            <v>Oostlijn</v>
          </cell>
        </row>
        <row r="158">
          <cell r="C158" t="str">
            <v>Oostlijn</v>
          </cell>
        </row>
        <row r="159">
          <cell r="C159" t="str">
            <v>Oostlijn</v>
          </cell>
        </row>
        <row r="160">
          <cell r="C160" t="str">
            <v>Oostlijn</v>
          </cell>
        </row>
        <row r="161">
          <cell r="C161" t="str">
            <v>Oostlijn</v>
          </cell>
        </row>
        <row r="162">
          <cell r="C162" t="str">
            <v>Oostlijn</v>
          </cell>
        </row>
        <row r="163">
          <cell r="C163" t="str">
            <v>Oostlijn</v>
          </cell>
        </row>
        <row r="164">
          <cell r="C164" t="str">
            <v>Oostlijn</v>
          </cell>
        </row>
        <row r="165">
          <cell r="C165" t="str">
            <v>Oostlijn</v>
          </cell>
        </row>
        <row r="166">
          <cell r="C166" t="str">
            <v>Oostlijn</v>
          </cell>
        </row>
        <row r="167">
          <cell r="C167" t="str">
            <v>Oostlijn</v>
          </cell>
        </row>
        <row r="168">
          <cell r="C168" t="str">
            <v>Oostlijn</v>
          </cell>
        </row>
        <row r="169">
          <cell r="C169" t="str">
            <v>Oostlijn</v>
          </cell>
        </row>
        <row r="170">
          <cell r="C170" t="str">
            <v>Oostlijn</v>
          </cell>
        </row>
        <row r="171">
          <cell r="C171" t="str">
            <v>Oostlijn</v>
          </cell>
        </row>
        <row r="172">
          <cell r="C172" t="str">
            <v>Oostlijn</v>
          </cell>
        </row>
        <row r="173">
          <cell r="C173" t="str">
            <v>Oostlijn</v>
          </cell>
        </row>
        <row r="174">
          <cell r="C174" t="str">
            <v>Oostlijn</v>
          </cell>
        </row>
        <row r="175">
          <cell r="C175" t="str">
            <v>Oostlijn</v>
          </cell>
        </row>
        <row r="176">
          <cell r="C176" t="str">
            <v>Oostlijn</v>
          </cell>
        </row>
        <row r="177">
          <cell r="C177" t="str">
            <v>Oostlijn</v>
          </cell>
        </row>
        <row r="178">
          <cell r="C178" t="str">
            <v>Oostlijn</v>
          </cell>
        </row>
        <row r="179">
          <cell r="C179" t="str">
            <v>Oostlijn</v>
          </cell>
        </row>
        <row r="180">
          <cell r="C180" t="str">
            <v>Oostlijn</v>
          </cell>
        </row>
        <row r="181">
          <cell r="C181" t="str">
            <v>Oostlijn</v>
          </cell>
        </row>
        <row r="182">
          <cell r="C182" t="str">
            <v>Oostlijn</v>
          </cell>
        </row>
        <row r="183">
          <cell r="C183" t="str">
            <v>Oostlijn</v>
          </cell>
        </row>
        <row r="184">
          <cell r="C184" t="str">
            <v>Oostlijn</v>
          </cell>
        </row>
        <row r="185">
          <cell r="C185" t="str">
            <v>Oostlijn</v>
          </cell>
        </row>
        <row r="186">
          <cell r="C186" t="str">
            <v>Oostlijn</v>
          </cell>
        </row>
        <row r="187">
          <cell r="C187" t="str">
            <v>Oostlijn</v>
          </cell>
        </row>
        <row r="188">
          <cell r="C188" t="str">
            <v>Oostlijn</v>
          </cell>
        </row>
        <row r="189">
          <cell r="C189" t="str">
            <v>Oostlijn</v>
          </cell>
        </row>
        <row r="190">
          <cell r="C190" t="str">
            <v>Oostlijn</v>
          </cell>
        </row>
        <row r="191">
          <cell r="C191" t="str">
            <v>Oostlijn</v>
          </cell>
        </row>
        <row r="192">
          <cell r="C192" t="str">
            <v>Oostlijn</v>
          </cell>
        </row>
        <row r="193">
          <cell r="C193" t="str">
            <v>Oostlijn</v>
          </cell>
        </row>
        <row r="194">
          <cell r="C194" t="str">
            <v>Oostlijn</v>
          </cell>
        </row>
        <row r="195">
          <cell r="C195" t="str">
            <v>Oostlijn</v>
          </cell>
        </row>
        <row r="196">
          <cell r="C196" t="str">
            <v>Oostlijn</v>
          </cell>
        </row>
        <row r="197">
          <cell r="C197" t="str">
            <v>Oostlijn</v>
          </cell>
        </row>
        <row r="198">
          <cell r="C198" t="str">
            <v>Oostlijn</v>
          </cell>
        </row>
        <row r="199">
          <cell r="C199" t="str">
            <v>Oostlijn</v>
          </cell>
        </row>
        <row r="200">
          <cell r="C200" t="str">
            <v>Oostlijn</v>
          </cell>
        </row>
        <row r="201">
          <cell r="C201" t="str">
            <v>Oostlijn</v>
          </cell>
        </row>
        <row r="202">
          <cell r="C202" t="str">
            <v>Oostlijn</v>
          </cell>
        </row>
        <row r="203">
          <cell r="C203" t="str">
            <v>Oostlijn</v>
          </cell>
        </row>
        <row r="204">
          <cell r="C204" t="str">
            <v>Oostlijn</v>
          </cell>
        </row>
        <row r="205">
          <cell r="C205" t="str">
            <v>Oostlijn</v>
          </cell>
        </row>
        <row r="206">
          <cell r="C206" t="str">
            <v>Oostlijn</v>
          </cell>
        </row>
        <row r="207">
          <cell r="C207" t="str">
            <v>Oostlijn</v>
          </cell>
        </row>
        <row r="208">
          <cell r="C208" t="str">
            <v>Oostlijn</v>
          </cell>
        </row>
        <row r="209">
          <cell r="C209" t="str">
            <v>Oostlijn</v>
          </cell>
        </row>
        <row r="210">
          <cell r="C210" t="str">
            <v>Oostlijn</v>
          </cell>
        </row>
        <row r="211">
          <cell r="C211" t="str">
            <v>Oostlijn</v>
          </cell>
        </row>
        <row r="212">
          <cell r="C212" t="str">
            <v>Oostlijn</v>
          </cell>
        </row>
        <row r="213">
          <cell r="C213" t="str">
            <v>Oostlijn</v>
          </cell>
        </row>
        <row r="214">
          <cell r="C214" t="str">
            <v>Oostlijn</v>
          </cell>
        </row>
        <row r="215">
          <cell r="C215" t="str">
            <v>Oostlijn</v>
          </cell>
        </row>
        <row r="216">
          <cell r="C216" t="str">
            <v>Oostlijn</v>
          </cell>
        </row>
        <row r="217">
          <cell r="C217" t="str">
            <v>Oostlijn</v>
          </cell>
        </row>
        <row r="218">
          <cell r="C218" t="str">
            <v>Oostlijn</v>
          </cell>
        </row>
        <row r="219">
          <cell r="C219" t="str">
            <v>Oostlijn</v>
          </cell>
        </row>
        <row r="220">
          <cell r="C220" t="str">
            <v>Oostlijn</v>
          </cell>
        </row>
        <row r="221">
          <cell r="C221" t="str">
            <v>Oostlijn</v>
          </cell>
        </row>
        <row r="222">
          <cell r="C222" t="str">
            <v>Oostlijn</v>
          </cell>
        </row>
        <row r="223">
          <cell r="C223" t="str">
            <v>Oostlijn</v>
          </cell>
        </row>
        <row r="224">
          <cell r="C224" t="str">
            <v>Oostlijn</v>
          </cell>
        </row>
        <row r="225">
          <cell r="C225" t="str">
            <v>Oostlijn</v>
          </cell>
        </row>
        <row r="226">
          <cell r="C226" t="str">
            <v>Oostlijn</v>
          </cell>
        </row>
        <row r="227">
          <cell r="C227" t="str">
            <v>Oostlijn</v>
          </cell>
        </row>
        <row r="228">
          <cell r="C228" t="str">
            <v>Oostlijn</v>
          </cell>
        </row>
        <row r="229">
          <cell r="C229" t="str">
            <v>Oostlijn</v>
          </cell>
        </row>
        <row r="230">
          <cell r="C230" t="str">
            <v>Oostlijn</v>
          </cell>
        </row>
        <row r="231">
          <cell r="C231" t="str">
            <v>Oostlijn</v>
          </cell>
        </row>
        <row r="232">
          <cell r="C232" t="str">
            <v>Oostlijn</v>
          </cell>
        </row>
        <row r="233">
          <cell r="C233" t="str">
            <v>Oostlijn</v>
          </cell>
        </row>
        <row r="234">
          <cell r="C234" t="str">
            <v>Oostlijn</v>
          </cell>
        </row>
        <row r="235">
          <cell r="C235" t="str">
            <v>Oostlijn</v>
          </cell>
        </row>
        <row r="236">
          <cell r="C236" t="str">
            <v>Oostlijn</v>
          </cell>
        </row>
        <row r="237">
          <cell r="C237" t="str">
            <v>Oostlijn</v>
          </cell>
        </row>
        <row r="238">
          <cell r="C238" t="str">
            <v>Oostlijn</v>
          </cell>
        </row>
        <row r="239">
          <cell r="C239" t="str">
            <v>Oostlijn</v>
          </cell>
        </row>
        <row r="240">
          <cell r="C240" t="str">
            <v>Oostlijn</v>
          </cell>
        </row>
        <row r="241">
          <cell r="C241" t="str">
            <v>Oostlijn</v>
          </cell>
        </row>
        <row r="242">
          <cell r="C242" t="str">
            <v>Oostlijn</v>
          </cell>
        </row>
        <row r="243">
          <cell r="C243" t="str">
            <v>Oostlijn</v>
          </cell>
        </row>
        <row r="244">
          <cell r="C244" t="str">
            <v>Oostlijn</v>
          </cell>
        </row>
        <row r="245">
          <cell r="C245" t="str">
            <v>Oostlijn</v>
          </cell>
        </row>
        <row r="246">
          <cell r="C246" t="str">
            <v>Oostlijn</v>
          </cell>
        </row>
        <row r="247">
          <cell r="C247" t="str">
            <v>Oostlijn</v>
          </cell>
        </row>
        <row r="248">
          <cell r="C248" t="str">
            <v>Oostlijn</v>
          </cell>
        </row>
        <row r="249">
          <cell r="C249" t="str">
            <v>Oostlijn</v>
          </cell>
        </row>
        <row r="250">
          <cell r="C250" t="str">
            <v>Oostlijn</v>
          </cell>
        </row>
        <row r="251">
          <cell r="C251" t="str">
            <v>Oostlijn</v>
          </cell>
        </row>
        <row r="252">
          <cell r="C252" t="str">
            <v>Oostlijn</v>
          </cell>
        </row>
        <row r="253">
          <cell r="C253" t="str">
            <v>Oostlijn</v>
          </cell>
        </row>
        <row r="254">
          <cell r="C254" t="str">
            <v>Oostlijn</v>
          </cell>
        </row>
        <row r="255">
          <cell r="C255" t="str">
            <v>Oostlijn</v>
          </cell>
        </row>
        <row r="256">
          <cell r="C256" t="str">
            <v>Oostlijn</v>
          </cell>
        </row>
        <row r="257">
          <cell r="C257" t="str">
            <v>Oostlijn</v>
          </cell>
        </row>
        <row r="258">
          <cell r="C258" t="str">
            <v>Oostlijn</v>
          </cell>
        </row>
        <row r="259">
          <cell r="C259" t="str">
            <v>Oostlijn</v>
          </cell>
        </row>
        <row r="260">
          <cell r="C260" t="str">
            <v>Oostlijn</v>
          </cell>
        </row>
        <row r="261">
          <cell r="C261" t="str">
            <v>Oostlijn</v>
          </cell>
        </row>
        <row r="262">
          <cell r="C262" t="str">
            <v>Oostlijn</v>
          </cell>
        </row>
        <row r="263">
          <cell r="C263" t="str">
            <v>Oostlijn</v>
          </cell>
        </row>
        <row r="264">
          <cell r="C264" t="str">
            <v>Oostlijn</v>
          </cell>
        </row>
        <row r="265">
          <cell r="C265" t="str">
            <v>Oostlijn</v>
          </cell>
        </row>
        <row r="266">
          <cell r="C266" t="str">
            <v>Oostlijn</v>
          </cell>
        </row>
        <row r="267">
          <cell r="C267" t="str">
            <v>Oostlijn</v>
          </cell>
        </row>
        <row r="268">
          <cell r="C268" t="str">
            <v>Oostlijn</v>
          </cell>
        </row>
        <row r="269">
          <cell r="C269" t="str">
            <v>Oostlijn</v>
          </cell>
        </row>
        <row r="270">
          <cell r="C270" t="str">
            <v>Oostlijn</v>
          </cell>
        </row>
        <row r="271">
          <cell r="C271" t="str">
            <v>Oostlijn</v>
          </cell>
        </row>
        <row r="272">
          <cell r="C272" t="str">
            <v>Oostlijn</v>
          </cell>
        </row>
        <row r="273">
          <cell r="C273" t="str">
            <v>Oostlijn</v>
          </cell>
        </row>
        <row r="274">
          <cell r="C274" t="str">
            <v>Oostlijn</v>
          </cell>
        </row>
        <row r="275">
          <cell r="C275" t="str">
            <v>Oostlijn</v>
          </cell>
        </row>
        <row r="276">
          <cell r="C276" t="str">
            <v>Oostlijn</v>
          </cell>
        </row>
        <row r="277">
          <cell r="C277" t="str">
            <v>Oostlijn</v>
          </cell>
        </row>
        <row r="278">
          <cell r="C278" t="str">
            <v>Oostlijn</v>
          </cell>
        </row>
        <row r="279">
          <cell r="C279" t="str">
            <v>Oostlijn</v>
          </cell>
        </row>
        <row r="280">
          <cell r="C280" t="str">
            <v>Oostlijn</v>
          </cell>
        </row>
        <row r="281">
          <cell r="C281" t="str">
            <v>Oostlijn</v>
          </cell>
        </row>
        <row r="282">
          <cell r="C282" t="str">
            <v>Oostlijn</v>
          </cell>
        </row>
        <row r="283">
          <cell r="C283" t="str">
            <v>Oostlijn</v>
          </cell>
        </row>
        <row r="284">
          <cell r="C284" t="str">
            <v>Oostlijn</v>
          </cell>
        </row>
        <row r="285">
          <cell r="C285" t="str">
            <v>Oostlijn</v>
          </cell>
        </row>
        <row r="286">
          <cell r="C286" t="str">
            <v>Oostlijn</v>
          </cell>
        </row>
        <row r="287">
          <cell r="C287" t="str">
            <v>Oostlijn</v>
          </cell>
        </row>
        <row r="288">
          <cell r="C288" t="str">
            <v>Oostlijn</v>
          </cell>
        </row>
        <row r="289">
          <cell r="C289" t="str">
            <v>Oostlijn</v>
          </cell>
        </row>
        <row r="290">
          <cell r="C290" t="str">
            <v>Oostlijn</v>
          </cell>
        </row>
        <row r="291">
          <cell r="C291" t="str">
            <v>Oostlijn</v>
          </cell>
        </row>
        <row r="292">
          <cell r="C292" t="str">
            <v>Oostlijn</v>
          </cell>
        </row>
        <row r="293">
          <cell r="C293" t="str">
            <v>Oostlijn</v>
          </cell>
        </row>
        <row r="294">
          <cell r="C294" t="str">
            <v>Oostlijn</v>
          </cell>
        </row>
        <row r="295">
          <cell r="C295" t="str">
            <v>Oostlijn</v>
          </cell>
        </row>
        <row r="296">
          <cell r="C296" t="str">
            <v>Oostlijn</v>
          </cell>
        </row>
        <row r="297">
          <cell r="C297" t="str">
            <v>Oostlijn</v>
          </cell>
        </row>
        <row r="298">
          <cell r="C298" t="str">
            <v>Oostlijn</v>
          </cell>
        </row>
        <row r="299">
          <cell r="C299" t="str">
            <v>Oostlijn</v>
          </cell>
        </row>
        <row r="300">
          <cell r="C300" t="str">
            <v>Oostlijn</v>
          </cell>
        </row>
        <row r="301">
          <cell r="C301" t="str">
            <v>Oostlijn</v>
          </cell>
        </row>
        <row r="302">
          <cell r="C302" t="str">
            <v>Oostlijn</v>
          </cell>
        </row>
        <row r="303">
          <cell r="C303" t="str">
            <v>Oostlijn</v>
          </cell>
        </row>
        <row r="304">
          <cell r="C304" t="str">
            <v>Oostlijn</v>
          </cell>
        </row>
        <row r="305">
          <cell r="C305" t="str">
            <v>Oostlijn</v>
          </cell>
        </row>
        <row r="306">
          <cell r="C306" t="str">
            <v>Oostlijn</v>
          </cell>
        </row>
        <row r="307">
          <cell r="C307" t="str">
            <v>Oostlijn</v>
          </cell>
        </row>
        <row r="308">
          <cell r="C308" t="str">
            <v>Oostlijn</v>
          </cell>
        </row>
        <row r="309">
          <cell r="C309" t="str">
            <v>Oostlijn</v>
          </cell>
        </row>
        <row r="310">
          <cell r="C310" t="str">
            <v>Oostlijn</v>
          </cell>
        </row>
        <row r="311">
          <cell r="C311" t="str">
            <v>Oostlijn</v>
          </cell>
        </row>
        <row r="312">
          <cell r="C312" t="str">
            <v>Oostlijn</v>
          </cell>
        </row>
        <row r="313">
          <cell r="C313" t="str">
            <v>Oostlijn</v>
          </cell>
        </row>
        <row r="314">
          <cell r="C314" t="str">
            <v>Oostlijn</v>
          </cell>
        </row>
        <row r="315">
          <cell r="C315" t="str">
            <v>Oostlijn</v>
          </cell>
        </row>
        <row r="316">
          <cell r="C316" t="str">
            <v>Oostlijn</v>
          </cell>
        </row>
        <row r="317">
          <cell r="C317" t="str">
            <v>Oostlijn</v>
          </cell>
        </row>
        <row r="318">
          <cell r="C318" t="str">
            <v>Oostlijn</v>
          </cell>
        </row>
        <row r="319">
          <cell r="C319" t="str">
            <v>Oostlijn</v>
          </cell>
        </row>
        <row r="320">
          <cell r="C320" t="str">
            <v>Oostlijn</v>
          </cell>
        </row>
        <row r="321">
          <cell r="C321" t="str">
            <v>Oostlijn</v>
          </cell>
        </row>
        <row r="322">
          <cell r="C322" t="str">
            <v>Oostlijn</v>
          </cell>
        </row>
        <row r="323">
          <cell r="C323" t="str">
            <v>Oostlijn</v>
          </cell>
        </row>
        <row r="324">
          <cell r="C324" t="str">
            <v>Oostlijn</v>
          </cell>
        </row>
        <row r="325">
          <cell r="C325" t="str">
            <v>Oostlijn</v>
          </cell>
        </row>
        <row r="326">
          <cell r="C326" t="str">
            <v>Oostlijn</v>
          </cell>
        </row>
        <row r="327">
          <cell r="C327" t="str">
            <v>Oostlijn</v>
          </cell>
        </row>
        <row r="328">
          <cell r="C328" t="str">
            <v>Oostlijn</v>
          </cell>
        </row>
        <row r="329">
          <cell r="C329" t="str">
            <v>Oostlijn</v>
          </cell>
        </row>
        <row r="330">
          <cell r="C330" t="str">
            <v>Oostlijn</v>
          </cell>
        </row>
        <row r="331">
          <cell r="C331" t="str">
            <v>Oostlijn</v>
          </cell>
        </row>
        <row r="332">
          <cell r="C332" t="str">
            <v>Oostlijn</v>
          </cell>
        </row>
        <row r="333">
          <cell r="C333" t="str">
            <v>Oostlijn</v>
          </cell>
        </row>
        <row r="334">
          <cell r="C334" t="str">
            <v>Oostlijn</v>
          </cell>
        </row>
        <row r="335">
          <cell r="C335" t="str">
            <v>Oostlijn</v>
          </cell>
        </row>
        <row r="336">
          <cell r="C336" t="str">
            <v>Oostlijn</v>
          </cell>
        </row>
        <row r="337">
          <cell r="C337" t="str">
            <v>Oostlijn</v>
          </cell>
        </row>
        <row r="338">
          <cell r="C338" t="str">
            <v>Oostlijn</v>
          </cell>
        </row>
        <row r="339">
          <cell r="C339" t="str">
            <v>Oostlijn</v>
          </cell>
        </row>
        <row r="340">
          <cell r="C340" t="str">
            <v>Oostlijn</v>
          </cell>
        </row>
        <row r="341">
          <cell r="C341" t="str">
            <v>Oostlijn</v>
          </cell>
        </row>
        <row r="342">
          <cell r="C342" t="str">
            <v>Oostlijn</v>
          </cell>
        </row>
        <row r="343">
          <cell r="C343" t="str">
            <v>Oostlijn</v>
          </cell>
        </row>
        <row r="344">
          <cell r="C344" t="str">
            <v>Oostlijn</v>
          </cell>
        </row>
        <row r="345">
          <cell r="C345" t="str">
            <v>Oostlijn</v>
          </cell>
        </row>
        <row r="346">
          <cell r="C346" t="str">
            <v>Oostlijn</v>
          </cell>
        </row>
        <row r="347">
          <cell r="C347" t="str">
            <v>Oostlijn</v>
          </cell>
        </row>
        <row r="348">
          <cell r="C348" t="str">
            <v>Oostlijn</v>
          </cell>
        </row>
        <row r="349">
          <cell r="C349" t="str">
            <v>Oostlijn</v>
          </cell>
        </row>
        <row r="350">
          <cell r="C350" t="str">
            <v>Oostlijn</v>
          </cell>
        </row>
        <row r="351">
          <cell r="C351" t="str">
            <v>Oostlijn</v>
          </cell>
        </row>
        <row r="352">
          <cell r="C352" t="str">
            <v>Oostlijn</v>
          </cell>
        </row>
        <row r="353">
          <cell r="C353" t="str">
            <v>Oostlijn</v>
          </cell>
        </row>
        <row r="354">
          <cell r="C354" t="str">
            <v>Oostlijn</v>
          </cell>
        </row>
        <row r="355">
          <cell r="C355" t="str">
            <v>Oostlijn</v>
          </cell>
        </row>
        <row r="356">
          <cell r="C356" t="str">
            <v>Oostlijn</v>
          </cell>
        </row>
        <row r="357">
          <cell r="C357" t="str">
            <v>Oostlijn</v>
          </cell>
        </row>
        <row r="358">
          <cell r="C358" t="str">
            <v>Oostlijn</v>
          </cell>
        </row>
        <row r="359">
          <cell r="C359" t="str">
            <v>Oostlijn</v>
          </cell>
        </row>
        <row r="360">
          <cell r="C360" t="str">
            <v>Oostlijn</v>
          </cell>
        </row>
        <row r="361">
          <cell r="C361" t="str">
            <v>Oostlijn</v>
          </cell>
        </row>
        <row r="362">
          <cell r="C362" t="str">
            <v>Oostlijn</v>
          </cell>
        </row>
        <row r="363">
          <cell r="C363" t="str">
            <v>Oostlijn</v>
          </cell>
        </row>
        <row r="364">
          <cell r="C364" t="str">
            <v>Oostlijn</v>
          </cell>
        </row>
        <row r="365">
          <cell r="C365" t="str">
            <v>Oostlijn</v>
          </cell>
        </row>
        <row r="366">
          <cell r="C366" t="str">
            <v>Oostlijn</v>
          </cell>
        </row>
        <row r="367">
          <cell r="C367" t="str">
            <v>Oostlijn</v>
          </cell>
        </row>
        <row r="368">
          <cell r="C368" t="str">
            <v>Oostlijn</v>
          </cell>
        </row>
        <row r="369">
          <cell r="C369" t="str">
            <v>Oostlijn</v>
          </cell>
        </row>
        <row r="370">
          <cell r="C370" t="str">
            <v>Oostlijn</v>
          </cell>
        </row>
        <row r="371">
          <cell r="C371" t="str">
            <v>Oostlijn</v>
          </cell>
        </row>
        <row r="372">
          <cell r="C372" t="str">
            <v>Oostlijn</v>
          </cell>
        </row>
        <row r="373">
          <cell r="C373" t="str">
            <v>Oostlijn</v>
          </cell>
        </row>
        <row r="374">
          <cell r="C374" t="str">
            <v>Oostlijn</v>
          </cell>
        </row>
        <row r="375">
          <cell r="C375" t="str">
            <v>Oostlijn</v>
          </cell>
        </row>
        <row r="376">
          <cell r="C376" t="str">
            <v>Oostlijn</v>
          </cell>
        </row>
        <row r="377">
          <cell r="C377" t="str">
            <v>Oostlijn</v>
          </cell>
        </row>
        <row r="378">
          <cell r="C378" t="str">
            <v>Oostlijn</v>
          </cell>
        </row>
        <row r="379">
          <cell r="C379" t="str">
            <v>Oostlijn</v>
          </cell>
        </row>
        <row r="380">
          <cell r="C380" t="str">
            <v>Oostlijn</v>
          </cell>
        </row>
        <row r="381">
          <cell r="C381" t="str">
            <v>Oostlijn</v>
          </cell>
        </row>
        <row r="382">
          <cell r="C382" t="str">
            <v>Oostlijn</v>
          </cell>
        </row>
        <row r="383">
          <cell r="C383" t="str">
            <v>Oostlijn</v>
          </cell>
        </row>
        <row r="384">
          <cell r="C384" t="str">
            <v>Oostlijn</v>
          </cell>
        </row>
        <row r="385">
          <cell r="C385" t="str">
            <v>Oostlijn</v>
          </cell>
        </row>
        <row r="386">
          <cell r="C386" t="str">
            <v>Oostlijn</v>
          </cell>
        </row>
        <row r="387">
          <cell r="C387" t="str">
            <v>Oostlijn</v>
          </cell>
        </row>
        <row r="388">
          <cell r="C388" t="str">
            <v>Oostlijn</v>
          </cell>
        </row>
        <row r="389">
          <cell r="C389" t="str">
            <v>Oostlijn</v>
          </cell>
        </row>
        <row r="390">
          <cell r="C390" t="str">
            <v>Oostlijn</v>
          </cell>
        </row>
        <row r="391">
          <cell r="C391" t="str">
            <v>Oostlijn</v>
          </cell>
        </row>
        <row r="392">
          <cell r="C392" t="str">
            <v>Oostlijn</v>
          </cell>
        </row>
        <row r="393">
          <cell r="C393" t="str">
            <v>Oostlijn</v>
          </cell>
        </row>
        <row r="394">
          <cell r="C394" t="str">
            <v>Oostlijn</v>
          </cell>
        </row>
        <row r="395">
          <cell r="C395" t="str">
            <v>Oostlijn</v>
          </cell>
        </row>
        <row r="396">
          <cell r="C396" t="str">
            <v>Oostlijn</v>
          </cell>
        </row>
        <row r="397">
          <cell r="C397" t="str">
            <v>Oostlijn</v>
          </cell>
        </row>
        <row r="398">
          <cell r="C398" t="str">
            <v>Oostlijn</v>
          </cell>
        </row>
        <row r="399">
          <cell r="C399" t="str">
            <v>Oostlijn</v>
          </cell>
        </row>
        <row r="400">
          <cell r="C400" t="str">
            <v>Oostlijn</v>
          </cell>
        </row>
        <row r="401">
          <cell r="C401" t="str">
            <v>Oostlijn</v>
          </cell>
        </row>
        <row r="402">
          <cell r="C402" t="str">
            <v>Oostlijn</v>
          </cell>
        </row>
        <row r="403">
          <cell r="C403" t="str">
            <v>Oostlijn</v>
          </cell>
        </row>
        <row r="404">
          <cell r="C404" t="str">
            <v>Oostlijn</v>
          </cell>
        </row>
        <row r="405">
          <cell r="C405" t="str">
            <v>Oostlijn</v>
          </cell>
        </row>
        <row r="406">
          <cell r="C406" t="str">
            <v>Oostlijn</v>
          </cell>
        </row>
        <row r="407">
          <cell r="C407" t="str">
            <v>Oostlijn</v>
          </cell>
        </row>
        <row r="408">
          <cell r="C408" t="str">
            <v>Oostlijn</v>
          </cell>
        </row>
        <row r="409">
          <cell r="C409" t="str">
            <v>Oostlijn</v>
          </cell>
        </row>
        <row r="410">
          <cell r="C410" t="str">
            <v>Oostlijn</v>
          </cell>
        </row>
        <row r="411">
          <cell r="C411" t="str">
            <v>Oostlijn</v>
          </cell>
        </row>
        <row r="412">
          <cell r="C412" t="str">
            <v>Oostlijn</v>
          </cell>
        </row>
        <row r="413">
          <cell r="C413" t="str">
            <v>Oostlijn</v>
          </cell>
        </row>
        <row r="414">
          <cell r="C414" t="str">
            <v>Oostlijn</v>
          </cell>
        </row>
        <row r="415">
          <cell r="C415" t="str">
            <v>Oostlijn</v>
          </cell>
        </row>
        <row r="416">
          <cell r="C416" t="str">
            <v>Oostlijn</v>
          </cell>
        </row>
        <row r="417">
          <cell r="C417" t="str">
            <v>Oostlijn</v>
          </cell>
        </row>
        <row r="418">
          <cell r="C418" t="str">
            <v>Oostlijn</v>
          </cell>
        </row>
        <row r="419">
          <cell r="C419" t="str">
            <v>Oostlijn</v>
          </cell>
        </row>
        <row r="420">
          <cell r="C420" t="str">
            <v>Oostlijn</v>
          </cell>
        </row>
        <row r="421">
          <cell r="C421" t="str">
            <v>Oostlijn</v>
          </cell>
        </row>
        <row r="422">
          <cell r="C422" t="str">
            <v>Oostlijn</v>
          </cell>
        </row>
        <row r="423">
          <cell r="C423" t="str">
            <v>Oostlijn</v>
          </cell>
        </row>
        <row r="424">
          <cell r="C424" t="str">
            <v>Oostlijn</v>
          </cell>
        </row>
        <row r="425">
          <cell r="C425" t="str">
            <v>Oostlijn</v>
          </cell>
        </row>
        <row r="426">
          <cell r="C426" t="str">
            <v>Oostlijn</v>
          </cell>
        </row>
        <row r="427">
          <cell r="C427" t="str">
            <v>Oostlijn</v>
          </cell>
        </row>
        <row r="428">
          <cell r="C428" t="str">
            <v>Oostlijn</v>
          </cell>
        </row>
        <row r="429">
          <cell r="C429" t="str">
            <v>Oostlijn</v>
          </cell>
        </row>
        <row r="430">
          <cell r="C430" t="str">
            <v>Oostlijn</v>
          </cell>
        </row>
        <row r="431">
          <cell r="C431" t="str">
            <v>Oostlijn</v>
          </cell>
        </row>
        <row r="432">
          <cell r="C432" t="str">
            <v>Oostlijn</v>
          </cell>
        </row>
        <row r="433">
          <cell r="C433" t="str">
            <v>Oostlijn</v>
          </cell>
        </row>
        <row r="434">
          <cell r="C434" t="str">
            <v>Oostlijn</v>
          </cell>
        </row>
        <row r="435">
          <cell r="C435" t="str">
            <v>Oostlijn</v>
          </cell>
        </row>
        <row r="436">
          <cell r="C436" t="str">
            <v>Oostlijn</v>
          </cell>
        </row>
        <row r="437">
          <cell r="C437" t="str">
            <v>Oostlijn</v>
          </cell>
        </row>
        <row r="438">
          <cell r="C438" t="str">
            <v>Oostlijn</v>
          </cell>
        </row>
        <row r="439">
          <cell r="C439" t="str">
            <v>Oostlijn</v>
          </cell>
        </row>
        <row r="440">
          <cell r="C440" t="str">
            <v>Oostlijn</v>
          </cell>
        </row>
        <row r="441">
          <cell r="C441" t="str">
            <v>Oostlijn</v>
          </cell>
        </row>
        <row r="442">
          <cell r="C442" t="str">
            <v>Oostlijn</v>
          </cell>
        </row>
        <row r="443">
          <cell r="C443" t="str">
            <v>Oostlijn</v>
          </cell>
        </row>
        <row r="444">
          <cell r="C444" t="str">
            <v>Oostlijn</v>
          </cell>
        </row>
        <row r="445">
          <cell r="C445" t="str">
            <v>Oostlijn</v>
          </cell>
        </row>
        <row r="446">
          <cell r="C446" t="str">
            <v>Oostlijn</v>
          </cell>
        </row>
        <row r="447">
          <cell r="C447" t="str">
            <v>Oostlijn</v>
          </cell>
        </row>
        <row r="448">
          <cell r="C448" t="str">
            <v>Oostlijn</v>
          </cell>
        </row>
        <row r="449">
          <cell r="C449" t="str">
            <v>Oostlijn</v>
          </cell>
        </row>
        <row r="450">
          <cell r="C450" t="str">
            <v>Oostlijn</v>
          </cell>
        </row>
        <row r="451">
          <cell r="C451" t="str">
            <v>Oostlijn</v>
          </cell>
        </row>
        <row r="452">
          <cell r="C452" t="str">
            <v>Oostlijn</v>
          </cell>
        </row>
        <row r="453">
          <cell r="C453" t="str">
            <v>Oostlijn</v>
          </cell>
        </row>
        <row r="454">
          <cell r="C454" t="str">
            <v>Oostlijn</v>
          </cell>
        </row>
        <row r="455">
          <cell r="C455" t="str">
            <v>Oostlijn</v>
          </cell>
        </row>
        <row r="456">
          <cell r="C456" t="str">
            <v>Oostlijn</v>
          </cell>
        </row>
        <row r="457">
          <cell r="C457" t="str">
            <v>Oostlijn</v>
          </cell>
        </row>
        <row r="458">
          <cell r="C458" t="str">
            <v>Oostlijn</v>
          </cell>
        </row>
        <row r="459">
          <cell r="C459" t="str">
            <v>Oostlijn</v>
          </cell>
        </row>
        <row r="460">
          <cell r="C460" t="str">
            <v>Oostlijn</v>
          </cell>
        </row>
        <row r="461">
          <cell r="C461" t="str">
            <v>Oostlijn</v>
          </cell>
        </row>
        <row r="462">
          <cell r="C462" t="str">
            <v>Oostlijn</v>
          </cell>
        </row>
        <row r="463">
          <cell r="C463" t="str">
            <v>Oostlijn</v>
          </cell>
        </row>
        <row r="464">
          <cell r="C464" t="str">
            <v>Oostlijn</v>
          </cell>
        </row>
        <row r="465">
          <cell r="C465" t="str">
            <v>Oostlijn</v>
          </cell>
        </row>
        <row r="466">
          <cell r="C466" t="str">
            <v>Oostlijn</v>
          </cell>
        </row>
        <row r="467">
          <cell r="C467" t="str">
            <v>Oostlijn</v>
          </cell>
        </row>
        <row r="468">
          <cell r="C468" t="str">
            <v>Oostlijn</v>
          </cell>
        </row>
        <row r="469">
          <cell r="C469" t="str">
            <v>Oostlijn</v>
          </cell>
        </row>
        <row r="470">
          <cell r="C470" t="str">
            <v>Oostlijn</v>
          </cell>
        </row>
        <row r="471">
          <cell r="C471" t="str">
            <v>Oostlijn</v>
          </cell>
        </row>
        <row r="472">
          <cell r="C472" t="str">
            <v>Oostlijn</v>
          </cell>
        </row>
        <row r="473">
          <cell r="C473" t="str">
            <v>Oostlijn</v>
          </cell>
        </row>
        <row r="474">
          <cell r="C474" t="str">
            <v>Oostlijn</v>
          </cell>
        </row>
        <row r="475">
          <cell r="C475" t="str">
            <v>Oostlijn</v>
          </cell>
        </row>
        <row r="476">
          <cell r="C476" t="str">
            <v>Oostlijn</v>
          </cell>
        </row>
        <row r="477">
          <cell r="C477" t="str">
            <v>Oostlijn</v>
          </cell>
        </row>
        <row r="478">
          <cell r="C478" t="str">
            <v>Oostlijn</v>
          </cell>
        </row>
        <row r="479">
          <cell r="C479" t="str">
            <v>Oostlijn</v>
          </cell>
        </row>
        <row r="480">
          <cell r="C480" t="str">
            <v>Oostlijn</v>
          </cell>
        </row>
        <row r="481">
          <cell r="C481" t="str">
            <v>Oostlijn</v>
          </cell>
        </row>
        <row r="482">
          <cell r="C482" t="str">
            <v>Oostlijn</v>
          </cell>
        </row>
        <row r="483">
          <cell r="C483" t="str">
            <v>Oostlijn</v>
          </cell>
        </row>
        <row r="484">
          <cell r="C484" t="str">
            <v>Oostlijn</v>
          </cell>
        </row>
        <row r="485">
          <cell r="C485" t="str">
            <v>Oostlijn</v>
          </cell>
        </row>
        <row r="486">
          <cell r="C486" t="str">
            <v>Oostlijn</v>
          </cell>
        </row>
        <row r="487">
          <cell r="C487" t="str">
            <v>Oostlijn</v>
          </cell>
        </row>
        <row r="488">
          <cell r="C488" t="str">
            <v>Oostlijn</v>
          </cell>
        </row>
        <row r="489">
          <cell r="C489" t="str">
            <v>Oostlijn</v>
          </cell>
        </row>
        <row r="490">
          <cell r="C490" t="str">
            <v>Oostlijn</v>
          </cell>
        </row>
        <row r="491">
          <cell r="C491" t="str">
            <v>Oostlijn</v>
          </cell>
        </row>
        <row r="492">
          <cell r="C492" t="str">
            <v>Oostlijn</v>
          </cell>
        </row>
        <row r="493">
          <cell r="C493" t="str">
            <v>Oostlijn</v>
          </cell>
        </row>
        <row r="494">
          <cell r="C494" t="str">
            <v>Oostlijn</v>
          </cell>
        </row>
        <row r="495">
          <cell r="C495" t="str">
            <v>Oostlijn</v>
          </cell>
        </row>
        <row r="496">
          <cell r="C496" t="str">
            <v>Oostlijn</v>
          </cell>
        </row>
        <row r="497">
          <cell r="C497" t="str">
            <v>Oostlijn</v>
          </cell>
        </row>
        <row r="498">
          <cell r="C498" t="str">
            <v>Oostlijn</v>
          </cell>
        </row>
        <row r="499">
          <cell r="C499" t="str">
            <v>Oostlijn</v>
          </cell>
        </row>
        <row r="500">
          <cell r="C500" t="str">
            <v>Oostlijn</v>
          </cell>
        </row>
        <row r="501">
          <cell r="C501" t="str">
            <v>Oostlijn</v>
          </cell>
        </row>
        <row r="502">
          <cell r="C502" t="str">
            <v>Oostlijn</v>
          </cell>
        </row>
        <row r="503">
          <cell r="C503" t="str">
            <v>Oostlijn</v>
          </cell>
        </row>
        <row r="504">
          <cell r="C504" t="str">
            <v>Oostlijn</v>
          </cell>
        </row>
        <row r="505">
          <cell r="C505" t="str">
            <v>Oostlijn</v>
          </cell>
        </row>
        <row r="506">
          <cell r="C506" t="str">
            <v>Oostlijn</v>
          </cell>
        </row>
        <row r="507">
          <cell r="C507" t="str">
            <v>Oostlijn</v>
          </cell>
        </row>
        <row r="508">
          <cell r="C508" t="str">
            <v>Oostlijn</v>
          </cell>
        </row>
        <row r="509">
          <cell r="C509" t="str">
            <v>Oostlijn</v>
          </cell>
        </row>
        <row r="510">
          <cell r="C510" t="str">
            <v>Oostlijn</v>
          </cell>
        </row>
        <row r="511">
          <cell r="C511" t="str">
            <v>Oostlijn</v>
          </cell>
        </row>
        <row r="512">
          <cell r="C512" t="str">
            <v>Oostlijn</v>
          </cell>
        </row>
        <row r="513">
          <cell r="C513" t="str">
            <v>Oostlijn</v>
          </cell>
        </row>
        <row r="514">
          <cell r="C514" t="str">
            <v>Oostlijn</v>
          </cell>
        </row>
        <row r="515">
          <cell r="C515" t="str">
            <v>Oostlijn</v>
          </cell>
        </row>
        <row r="516">
          <cell r="C516" t="str">
            <v>Oostlijn</v>
          </cell>
        </row>
        <row r="517">
          <cell r="C517" t="str">
            <v>Oostlijn</v>
          </cell>
        </row>
        <row r="518">
          <cell r="C518" t="str">
            <v>Oostlijn</v>
          </cell>
        </row>
        <row r="519">
          <cell r="C519" t="str">
            <v>Oostlijn</v>
          </cell>
        </row>
        <row r="520">
          <cell r="C520" t="str">
            <v>Oostlijn</v>
          </cell>
        </row>
        <row r="521">
          <cell r="C521" t="str">
            <v>Oostlijn</v>
          </cell>
        </row>
        <row r="522">
          <cell r="C522" t="str">
            <v>Oostlijn</v>
          </cell>
        </row>
        <row r="523">
          <cell r="C523" t="str">
            <v>Oostlijn</v>
          </cell>
        </row>
        <row r="524">
          <cell r="C524" t="str">
            <v>Oostlijn</v>
          </cell>
        </row>
        <row r="525">
          <cell r="C525" t="str">
            <v>Oostlijn</v>
          </cell>
        </row>
        <row r="526">
          <cell r="C526" t="str">
            <v>Oostlijn</v>
          </cell>
        </row>
        <row r="527">
          <cell r="C527" t="str">
            <v>Oostlijn</v>
          </cell>
        </row>
        <row r="528">
          <cell r="C528" t="str">
            <v>Oostlijn</v>
          </cell>
        </row>
        <row r="529">
          <cell r="C529" t="str">
            <v>Oostlijn</v>
          </cell>
        </row>
        <row r="530">
          <cell r="C530" t="str">
            <v>Oostlijn</v>
          </cell>
        </row>
        <row r="531">
          <cell r="C531" t="str">
            <v>Oostlijn</v>
          </cell>
        </row>
        <row r="532">
          <cell r="C532" t="str">
            <v>Oostlijn</v>
          </cell>
        </row>
        <row r="533">
          <cell r="C533" t="str">
            <v>Oostlijn</v>
          </cell>
        </row>
        <row r="534">
          <cell r="C534" t="str">
            <v>Oostlijn</v>
          </cell>
        </row>
        <row r="535">
          <cell r="C535" t="str">
            <v>Oostlijn</v>
          </cell>
        </row>
        <row r="536">
          <cell r="C536" t="str">
            <v>Oostlijn</v>
          </cell>
        </row>
        <row r="537">
          <cell r="C537" t="str">
            <v>Oostlijn</v>
          </cell>
        </row>
        <row r="538">
          <cell r="C538" t="str">
            <v>Oostlijn</v>
          </cell>
        </row>
        <row r="539">
          <cell r="C539" t="str">
            <v>Oostlijn</v>
          </cell>
        </row>
        <row r="540">
          <cell r="C540" t="str">
            <v>Oostlijn</v>
          </cell>
        </row>
        <row r="541">
          <cell r="C541" t="str">
            <v>Oostlijn</v>
          </cell>
        </row>
        <row r="542">
          <cell r="C542" t="str">
            <v>Oostlijn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blad"/>
      <sheetName val="1-Inschrijfstaat"/>
      <sheetName val="2-Kosten per locatie"/>
      <sheetName val="3-Ruimtestaat"/>
      <sheetName val="4-Kengetal"/>
      <sheetName val="5-Aanvullend"/>
      <sheetName val="6-Sanitaire voorzieningen"/>
      <sheetName val="7-Gladheidsbestrijding"/>
      <sheetName val="8- Afroepprijs"/>
    </sheetNames>
    <sheetDataSet>
      <sheetData sheetId="0"/>
      <sheetData sheetId="1"/>
      <sheetData sheetId="2"/>
      <sheetData sheetId="3"/>
      <sheetData sheetId="4">
        <row r="12">
          <cell r="A12" t="str">
            <v>PER.365.1</v>
          </cell>
          <cell r="B12">
            <v>365</v>
          </cell>
          <cell r="C12" t="str">
            <v>Perrons</v>
          </cell>
          <cell r="D12" t="str">
            <v>Klasse 1</v>
          </cell>
          <cell r="I12">
            <v>0</v>
          </cell>
          <cell r="J12">
            <v>0</v>
          </cell>
          <cell r="K12">
            <v>16679</v>
          </cell>
          <cell r="L12" t="str">
            <v>ja</v>
          </cell>
          <cell r="M12" t="str">
            <v>V</v>
          </cell>
          <cell r="N12" t="str">
            <v>Volledig</v>
          </cell>
          <cell r="O12" t="str">
            <v>naloop</v>
          </cell>
          <cell r="P12" t="str">
            <v>naloop</v>
          </cell>
          <cell r="Q12" t="str">
            <v>Volledig</v>
          </cell>
          <cell r="R12" t="str">
            <v>naloop</v>
          </cell>
          <cell r="S12" t="str">
            <v>naloop</v>
          </cell>
          <cell r="T12" t="str">
            <v>naloop</v>
          </cell>
        </row>
        <row r="13">
          <cell r="A13" t="str">
            <v>PER.365.2</v>
          </cell>
          <cell r="B13">
            <v>365</v>
          </cell>
          <cell r="C13" t="str">
            <v>Perrons</v>
          </cell>
          <cell r="D13" t="str">
            <v>Klasse 2</v>
          </cell>
          <cell r="I13">
            <v>0</v>
          </cell>
          <cell r="J13">
            <v>0</v>
          </cell>
          <cell r="K13">
            <v>10316</v>
          </cell>
          <cell r="L13" t="str">
            <v>ja</v>
          </cell>
          <cell r="M13" t="str">
            <v>V</v>
          </cell>
          <cell r="N13" t="str">
            <v>Omde dag Vol/Nal.</v>
          </cell>
          <cell r="O13" t="str">
            <v>Omde dag Nal./Vol</v>
          </cell>
          <cell r="P13" t="str">
            <v>Omde dag Vol/Nal.</v>
          </cell>
          <cell r="Q13" t="str">
            <v>Omde dag Nal./Vol</v>
          </cell>
          <cell r="R13" t="str">
            <v>Omde dag Vol/Nal.</v>
          </cell>
          <cell r="S13" t="str">
            <v>Omde dag Nal./Vol</v>
          </cell>
          <cell r="T13" t="str">
            <v>Omde dag Vol/Nal.</v>
          </cell>
        </row>
        <row r="14">
          <cell r="A14" t="str">
            <v>PER.365.1a</v>
          </cell>
          <cell r="B14">
            <v>365</v>
          </cell>
          <cell r="C14" t="str">
            <v>Perrons</v>
          </cell>
          <cell r="D14" t="str">
            <v>Klasse 1</v>
          </cell>
          <cell r="I14">
            <v>0</v>
          </cell>
          <cell r="J14">
            <v>0</v>
          </cell>
          <cell r="K14">
            <v>16470.009999999998</v>
          </cell>
          <cell r="L14" t="str">
            <v>ja</v>
          </cell>
          <cell r="M14" t="str">
            <v>V</v>
          </cell>
          <cell r="N14" t="str">
            <v>Volledig</v>
          </cell>
          <cell r="O14" t="str">
            <v>naloop</v>
          </cell>
          <cell r="P14" t="str">
            <v>naloop</v>
          </cell>
          <cell r="Q14" t="str">
            <v>Volledig</v>
          </cell>
          <cell r="R14" t="str">
            <v>naloop</v>
          </cell>
          <cell r="S14" t="str">
            <v>naloop</v>
          </cell>
          <cell r="T14" t="str">
            <v>naloop</v>
          </cell>
        </row>
        <row r="15">
          <cell r="A15" t="str">
            <v>PER.365.2a</v>
          </cell>
          <cell r="B15">
            <v>365</v>
          </cell>
          <cell r="C15" t="str">
            <v>Perrons</v>
          </cell>
          <cell r="D15" t="str">
            <v>Klasse 2</v>
          </cell>
          <cell r="I15">
            <v>0</v>
          </cell>
          <cell r="J15">
            <v>0</v>
          </cell>
          <cell r="K15">
            <v>15783.255499999999</v>
          </cell>
          <cell r="L15" t="str">
            <v>ja</v>
          </cell>
          <cell r="M15" t="str">
            <v>V</v>
          </cell>
          <cell r="N15" t="str">
            <v>Omde dag Vol/Nal.</v>
          </cell>
          <cell r="O15" t="str">
            <v>Omde dag Nal./Vol</v>
          </cell>
          <cell r="P15" t="str">
            <v>Omde dag Vol/Nal.</v>
          </cell>
          <cell r="Q15" t="str">
            <v>Omde dag Nal./Vol</v>
          </cell>
          <cell r="R15" t="str">
            <v>Omde dag Vol/Nal.</v>
          </cell>
          <cell r="S15" t="str">
            <v>Omde dag Nal./Vol</v>
          </cell>
          <cell r="T15" t="str">
            <v>Omde dag Vol/Nal.</v>
          </cell>
        </row>
        <row r="16">
          <cell r="A16" t="str">
            <v>SAN.0012</v>
          </cell>
          <cell r="B16">
            <v>12</v>
          </cell>
          <cell r="C16" t="str">
            <v>Sanitair</v>
          </cell>
          <cell r="D16" t="str">
            <v>1 x per maand</v>
          </cell>
          <cell r="I16">
            <v>0</v>
          </cell>
          <cell r="J16">
            <v>0</v>
          </cell>
          <cell r="K16">
            <v>43</v>
          </cell>
          <cell r="L16" t="str">
            <v>nee</v>
          </cell>
          <cell r="M16" t="str">
            <v>S</v>
          </cell>
          <cell r="N16" t="str">
            <v>Zie Freq</v>
          </cell>
          <cell r="O16" t="str">
            <v>Zie Freq</v>
          </cell>
          <cell r="P16" t="str">
            <v>Zie Freq</v>
          </cell>
          <cell r="Q16" t="str">
            <v>Zie Freq</v>
          </cell>
          <cell r="R16" t="str">
            <v>Zie Freq</v>
          </cell>
          <cell r="S16" t="str">
            <v>NVT</v>
          </cell>
          <cell r="T16" t="str">
            <v>NVT</v>
          </cell>
        </row>
        <row r="17">
          <cell r="A17" t="str">
            <v>SAN.365.1</v>
          </cell>
          <cell r="B17">
            <v>365</v>
          </cell>
          <cell r="C17" t="str">
            <v>Sanitair</v>
          </cell>
          <cell r="D17" t="str">
            <v>Klasse 1</v>
          </cell>
          <cell r="I17">
            <v>0</v>
          </cell>
          <cell r="J17">
            <v>0</v>
          </cell>
          <cell r="K17">
            <v>56.17</v>
          </cell>
          <cell r="L17" t="str">
            <v>ja</v>
          </cell>
          <cell r="M17" t="str">
            <v>S</v>
          </cell>
          <cell r="N17" t="str">
            <v>Volledig</v>
          </cell>
          <cell r="O17" t="str">
            <v>naloop</v>
          </cell>
          <cell r="P17" t="str">
            <v>naloop</v>
          </cell>
          <cell r="Q17" t="str">
            <v>Volledig</v>
          </cell>
          <cell r="R17" t="str">
            <v>naloop</v>
          </cell>
          <cell r="S17" t="str">
            <v>naloop</v>
          </cell>
          <cell r="T17" t="str">
            <v>naloop</v>
          </cell>
        </row>
        <row r="18">
          <cell r="A18" t="str">
            <v>SAN.365.2</v>
          </cell>
          <cell r="B18">
            <v>365</v>
          </cell>
          <cell r="C18" t="str">
            <v>Sanitair</v>
          </cell>
          <cell r="D18" t="str">
            <v>Klasse 2</v>
          </cell>
          <cell r="I18">
            <v>0</v>
          </cell>
          <cell r="J18">
            <v>0</v>
          </cell>
          <cell r="K18">
            <v>136.00225000000003</v>
          </cell>
          <cell r="L18" t="str">
            <v>ja</v>
          </cell>
          <cell r="M18" t="str">
            <v>S</v>
          </cell>
          <cell r="N18" t="str">
            <v>Omde dag Vol/Nal.</v>
          </cell>
          <cell r="O18" t="str">
            <v>Omde dag Nal./Vol</v>
          </cell>
          <cell r="P18" t="str">
            <v>Omde dag Vol/Nal.</v>
          </cell>
          <cell r="Q18" t="str">
            <v>Omde dag Nal./Vol</v>
          </cell>
          <cell r="R18" t="str">
            <v>Omde dag Vol/Nal.</v>
          </cell>
          <cell r="S18" t="str">
            <v>Omde dag Nal./Vol</v>
          </cell>
          <cell r="T18" t="str">
            <v>Omde dag Vol/Nal.</v>
          </cell>
        </row>
        <row r="19">
          <cell r="A19" t="str">
            <v>GAN.0001</v>
          </cell>
          <cell r="B19">
            <v>1</v>
          </cell>
          <cell r="C19" t="str">
            <v>Gangen</v>
          </cell>
          <cell r="D19" t="str">
            <v>1 x per jaar</v>
          </cell>
          <cell r="I19">
            <v>0</v>
          </cell>
          <cell r="J19">
            <v>0</v>
          </cell>
          <cell r="K19">
            <v>2157.6025</v>
          </cell>
          <cell r="L19" t="str">
            <v>nee</v>
          </cell>
          <cell r="M19" t="str">
            <v>V</v>
          </cell>
          <cell r="N19" t="str">
            <v>Zie Freq</v>
          </cell>
          <cell r="O19" t="str">
            <v>Zie Freq</v>
          </cell>
          <cell r="P19" t="str">
            <v>Zie Freq</v>
          </cell>
          <cell r="Q19" t="str">
            <v>Zie Freq</v>
          </cell>
          <cell r="R19" t="str">
            <v>Zie Freq</v>
          </cell>
          <cell r="S19" t="str">
            <v>NVT</v>
          </cell>
          <cell r="T19" t="str">
            <v>NVT</v>
          </cell>
        </row>
        <row r="20">
          <cell r="A20" t="str">
            <v>GAN.0002</v>
          </cell>
          <cell r="B20">
            <v>2</v>
          </cell>
          <cell r="C20" t="str">
            <v>Gangen</v>
          </cell>
          <cell r="D20" t="str">
            <v>2 x per jaar</v>
          </cell>
          <cell r="I20">
            <v>0</v>
          </cell>
          <cell r="J20">
            <v>0</v>
          </cell>
          <cell r="K20">
            <v>712.12999999999988</v>
          </cell>
          <cell r="L20" t="str">
            <v>nee</v>
          </cell>
          <cell r="M20" t="str">
            <v>V</v>
          </cell>
          <cell r="N20" t="str">
            <v>Zie Freq</v>
          </cell>
          <cell r="O20" t="str">
            <v>Zie Freq</v>
          </cell>
          <cell r="P20" t="str">
            <v>Zie Freq</v>
          </cell>
          <cell r="Q20" t="str">
            <v>Zie Freq</v>
          </cell>
          <cell r="R20" t="str">
            <v>Zie Freq</v>
          </cell>
          <cell r="S20" t="str">
            <v>NVT</v>
          </cell>
          <cell r="T20" t="str">
            <v>NVT</v>
          </cell>
        </row>
        <row r="21">
          <cell r="A21" t="str">
            <v>GAN.0003</v>
          </cell>
          <cell r="B21">
            <v>3</v>
          </cell>
          <cell r="C21" t="str">
            <v>Gangen</v>
          </cell>
          <cell r="D21" t="str">
            <v>3 x per jaar</v>
          </cell>
          <cell r="I21">
            <v>0</v>
          </cell>
          <cell r="J21">
            <v>0</v>
          </cell>
          <cell r="K21">
            <v>1903.0238999999995</v>
          </cell>
          <cell r="L21" t="str">
            <v>nee</v>
          </cell>
          <cell r="M21" t="str">
            <v>V</v>
          </cell>
          <cell r="N21" t="str">
            <v>Zie Freq</v>
          </cell>
          <cell r="O21" t="str">
            <v>Zie Freq</v>
          </cell>
          <cell r="P21" t="str">
            <v>Zie Freq</v>
          </cell>
          <cell r="Q21" t="str">
            <v>Zie Freq</v>
          </cell>
          <cell r="R21" t="str">
            <v>Zie Freq</v>
          </cell>
          <cell r="S21" t="str">
            <v>NVT</v>
          </cell>
          <cell r="T21" t="str">
            <v>NVT</v>
          </cell>
        </row>
        <row r="22">
          <cell r="A22" t="str">
            <v>GAN.365.1</v>
          </cell>
          <cell r="B22">
            <v>365</v>
          </cell>
          <cell r="C22" t="str">
            <v>Gangen</v>
          </cell>
          <cell r="D22" t="str">
            <v>Klasse 1</v>
          </cell>
          <cell r="I22">
            <v>0</v>
          </cell>
          <cell r="J22">
            <v>0</v>
          </cell>
          <cell r="K22">
            <v>225.45000000000002</v>
          </cell>
          <cell r="L22" t="str">
            <v>ja</v>
          </cell>
          <cell r="M22" t="str">
            <v>V</v>
          </cell>
          <cell r="N22" t="str">
            <v>Volledig</v>
          </cell>
          <cell r="O22" t="str">
            <v>naloop</v>
          </cell>
          <cell r="P22" t="str">
            <v>naloop</v>
          </cell>
          <cell r="Q22" t="str">
            <v>Volledig</v>
          </cell>
          <cell r="R22" t="str">
            <v>naloop</v>
          </cell>
          <cell r="S22" t="str">
            <v>naloop</v>
          </cell>
          <cell r="T22" t="str">
            <v>naloop</v>
          </cell>
        </row>
        <row r="23">
          <cell r="A23" t="str">
            <v>GAN.365.2</v>
          </cell>
          <cell r="B23">
            <v>365</v>
          </cell>
          <cell r="C23" t="str">
            <v>Gangen</v>
          </cell>
          <cell r="D23" t="str">
            <v>Klasse 2</v>
          </cell>
          <cell r="I23">
            <v>0</v>
          </cell>
          <cell r="J23">
            <v>0</v>
          </cell>
          <cell r="K23">
            <v>132.51</v>
          </cell>
          <cell r="L23" t="str">
            <v>ja</v>
          </cell>
          <cell r="M23" t="str">
            <v>V</v>
          </cell>
          <cell r="N23" t="str">
            <v>Omde dag Vol/Nal.</v>
          </cell>
          <cell r="O23" t="str">
            <v>Omde dag Nal./Vol</v>
          </cell>
          <cell r="P23" t="str">
            <v>Omde dag Vol/Nal.</v>
          </cell>
          <cell r="Q23" t="str">
            <v>Omde dag Nal./Vol</v>
          </cell>
          <cell r="R23" t="str">
            <v>Omde dag Vol/Nal.</v>
          </cell>
          <cell r="S23" t="str">
            <v>Omde dag Nal./Vol</v>
          </cell>
          <cell r="T23" t="str">
            <v>Omde dag Vol/Nal.</v>
          </cell>
        </row>
        <row r="24">
          <cell r="A24" t="str">
            <v>LIF.365.1</v>
          </cell>
          <cell r="B24">
            <v>365</v>
          </cell>
          <cell r="C24" t="str">
            <v>Liften</v>
          </cell>
          <cell r="D24" t="str">
            <v>Klasse 1</v>
          </cell>
          <cell r="I24">
            <v>0</v>
          </cell>
          <cell r="J24">
            <v>0</v>
          </cell>
          <cell r="K24">
            <v>73</v>
          </cell>
          <cell r="L24" t="str">
            <v>ja</v>
          </cell>
          <cell r="M24" t="str">
            <v>V</v>
          </cell>
          <cell r="N24" t="str">
            <v>Volledig</v>
          </cell>
          <cell r="O24" t="str">
            <v>naloop</v>
          </cell>
          <cell r="P24" t="str">
            <v>naloop</v>
          </cell>
          <cell r="Q24" t="str">
            <v>Volledig</v>
          </cell>
          <cell r="R24" t="str">
            <v>naloop</v>
          </cell>
          <cell r="S24" t="str">
            <v>naloop</v>
          </cell>
          <cell r="T24" t="str">
            <v>naloop</v>
          </cell>
        </row>
        <row r="25">
          <cell r="A25" t="str">
            <v>LIF.365.2</v>
          </cell>
          <cell r="B25">
            <v>365</v>
          </cell>
          <cell r="C25" t="str">
            <v>Liften</v>
          </cell>
          <cell r="D25" t="str">
            <v>Klasse 2</v>
          </cell>
          <cell r="I25">
            <v>0</v>
          </cell>
          <cell r="J25">
            <v>0</v>
          </cell>
          <cell r="K25">
            <v>52</v>
          </cell>
          <cell r="L25" t="str">
            <v>ja</v>
          </cell>
          <cell r="M25" t="str">
            <v>V</v>
          </cell>
          <cell r="N25" t="str">
            <v>Omde dag Vol/Nal.</v>
          </cell>
          <cell r="O25" t="str">
            <v>Omde dag Nal./Vol</v>
          </cell>
          <cell r="P25" t="str">
            <v>Omde dag Vol/Nal.</v>
          </cell>
          <cell r="Q25" t="str">
            <v>Omde dag Nal./Vol</v>
          </cell>
          <cell r="R25" t="str">
            <v>Omde dag Vol/Nal.</v>
          </cell>
          <cell r="S25" t="str">
            <v>Omde dag Nal./Vol</v>
          </cell>
          <cell r="T25" t="str">
            <v>Omde dag Vol/Nal.</v>
          </cell>
        </row>
        <row r="26">
          <cell r="A26" t="str">
            <v>LIF.365.1a</v>
          </cell>
          <cell r="B26">
            <v>365</v>
          </cell>
          <cell r="C26" t="str">
            <v>Liften</v>
          </cell>
          <cell r="D26" t="str">
            <v>Klasse 1</v>
          </cell>
          <cell r="I26">
            <v>0</v>
          </cell>
          <cell r="J26">
            <v>0</v>
          </cell>
          <cell r="K26">
            <v>53.349999999999994</v>
          </cell>
          <cell r="L26" t="str">
            <v>ja</v>
          </cell>
          <cell r="M26" t="str">
            <v>V</v>
          </cell>
          <cell r="N26" t="str">
            <v>Volledig</v>
          </cell>
          <cell r="O26" t="str">
            <v>naloop</v>
          </cell>
          <cell r="P26" t="str">
            <v>naloop</v>
          </cell>
          <cell r="Q26" t="str">
            <v>Volledig</v>
          </cell>
          <cell r="R26" t="str">
            <v>naloop</v>
          </cell>
          <cell r="S26" t="str">
            <v>naloop</v>
          </cell>
          <cell r="T26" t="str">
            <v>naloop</v>
          </cell>
        </row>
        <row r="27">
          <cell r="A27" t="str">
            <v>LIF.365.2a</v>
          </cell>
          <cell r="B27">
            <v>365</v>
          </cell>
          <cell r="C27" t="str">
            <v>Liften</v>
          </cell>
          <cell r="D27" t="str">
            <v>Klasse 2</v>
          </cell>
          <cell r="I27">
            <v>0</v>
          </cell>
          <cell r="J27">
            <v>0</v>
          </cell>
          <cell r="K27">
            <v>111.99524999999997</v>
          </cell>
          <cell r="L27" t="str">
            <v>ja</v>
          </cell>
          <cell r="M27" t="str">
            <v>V</v>
          </cell>
          <cell r="N27" t="str">
            <v>Omde dag Vol/Nal.</v>
          </cell>
          <cell r="O27" t="str">
            <v>Omde dag Nal./Vol</v>
          </cell>
          <cell r="P27" t="str">
            <v>Omde dag Vol/Nal.</v>
          </cell>
          <cell r="Q27" t="str">
            <v>Omde dag Nal./Vol</v>
          </cell>
          <cell r="R27" t="str">
            <v>Omde dag Vol/Nal.</v>
          </cell>
          <cell r="S27" t="str">
            <v>Omde dag Nal./Vol</v>
          </cell>
          <cell r="T27" t="str">
            <v>Omde dag Vol/Nal.</v>
          </cell>
        </row>
        <row r="28">
          <cell r="A28" t="str">
            <v>TRA.0002</v>
          </cell>
          <cell r="B28">
            <v>2</v>
          </cell>
          <cell r="C28" t="str">
            <v>Trappen</v>
          </cell>
          <cell r="D28" t="str">
            <v>2 x per jaar</v>
          </cell>
          <cell r="I28">
            <v>0</v>
          </cell>
          <cell r="J28">
            <v>0</v>
          </cell>
          <cell r="K28">
            <v>24</v>
          </cell>
          <cell r="L28" t="str">
            <v>nee</v>
          </cell>
          <cell r="M28" t="str">
            <v>V</v>
          </cell>
          <cell r="N28" t="str">
            <v>Zie Freq</v>
          </cell>
          <cell r="O28" t="str">
            <v>Zie Freq</v>
          </cell>
          <cell r="P28" t="str">
            <v>Zie Freq</v>
          </cell>
          <cell r="Q28" t="str">
            <v>Zie Freq</v>
          </cell>
          <cell r="R28" t="str">
            <v>Zie Freq</v>
          </cell>
          <cell r="S28" t="str">
            <v>NVT</v>
          </cell>
          <cell r="T28" t="str">
            <v>NVT</v>
          </cell>
        </row>
        <row r="29">
          <cell r="A29" t="str">
            <v>TRA.0003</v>
          </cell>
          <cell r="B29">
            <v>3</v>
          </cell>
          <cell r="C29" t="str">
            <v>Trappen</v>
          </cell>
          <cell r="D29" t="str">
            <v>3 x per jaar</v>
          </cell>
          <cell r="I29">
            <v>0</v>
          </cell>
          <cell r="J29">
            <v>0</v>
          </cell>
          <cell r="K29">
            <v>809.2392500000002</v>
          </cell>
          <cell r="L29" t="str">
            <v>nee</v>
          </cell>
          <cell r="M29" t="str">
            <v>V</v>
          </cell>
          <cell r="N29" t="str">
            <v>Zie Freq</v>
          </cell>
          <cell r="O29" t="str">
            <v>Zie Freq</v>
          </cell>
          <cell r="P29" t="str">
            <v>Zie Freq</v>
          </cell>
          <cell r="Q29" t="str">
            <v>Zie Freq</v>
          </cell>
          <cell r="R29" t="str">
            <v>Zie Freq</v>
          </cell>
          <cell r="S29" t="str">
            <v>NVT</v>
          </cell>
          <cell r="T29" t="str">
            <v>NVT</v>
          </cell>
        </row>
        <row r="30">
          <cell r="A30" t="str">
            <v>TRA.365.1</v>
          </cell>
          <cell r="B30">
            <v>365</v>
          </cell>
          <cell r="C30" t="str">
            <v>Trappen</v>
          </cell>
          <cell r="D30" t="str">
            <v>Klasse 1</v>
          </cell>
          <cell r="I30">
            <v>0</v>
          </cell>
          <cell r="J30">
            <v>0</v>
          </cell>
          <cell r="K30">
            <v>1242</v>
          </cell>
          <cell r="L30" t="str">
            <v>ja</v>
          </cell>
          <cell r="M30" t="str">
            <v>V</v>
          </cell>
          <cell r="N30" t="str">
            <v>Volledig</v>
          </cell>
          <cell r="O30" t="str">
            <v>naloop</v>
          </cell>
          <cell r="P30" t="str">
            <v>naloop</v>
          </cell>
          <cell r="Q30" t="str">
            <v>Volledig</v>
          </cell>
          <cell r="R30" t="str">
            <v>naloop</v>
          </cell>
          <cell r="S30" t="str">
            <v>naloop</v>
          </cell>
          <cell r="T30" t="str">
            <v>naloop</v>
          </cell>
        </row>
        <row r="31">
          <cell r="A31" t="str">
            <v>TRA.365.2</v>
          </cell>
          <cell r="B31">
            <v>365</v>
          </cell>
          <cell r="C31" t="str">
            <v>Trappen</v>
          </cell>
          <cell r="D31" t="str">
            <v>Klasse 2</v>
          </cell>
          <cell r="I31">
            <v>0</v>
          </cell>
          <cell r="J31">
            <v>0</v>
          </cell>
          <cell r="K31">
            <v>635</v>
          </cell>
          <cell r="L31" t="str">
            <v>ja</v>
          </cell>
          <cell r="M31" t="str">
            <v>V</v>
          </cell>
          <cell r="N31" t="str">
            <v>Omde dag Vol/Nal.</v>
          </cell>
          <cell r="O31" t="str">
            <v>Omde dag Nal./Vol</v>
          </cell>
          <cell r="P31" t="str">
            <v>Omde dag Vol/Nal.</v>
          </cell>
          <cell r="Q31" t="str">
            <v>Omde dag Nal./Vol</v>
          </cell>
          <cell r="R31" t="str">
            <v>Omde dag Vol/Nal.</v>
          </cell>
          <cell r="S31" t="str">
            <v>Omde dag Nal./Vol</v>
          </cell>
          <cell r="T31" t="str">
            <v>Omde dag Vol/Nal.</v>
          </cell>
        </row>
        <row r="32">
          <cell r="A32" t="str">
            <v>TRA.365.1a</v>
          </cell>
          <cell r="B32">
            <v>365</v>
          </cell>
          <cell r="C32" t="str">
            <v>Trappen</v>
          </cell>
          <cell r="D32" t="str">
            <v>Klasse 1</v>
          </cell>
          <cell r="I32">
            <v>0</v>
          </cell>
          <cell r="J32">
            <v>0</v>
          </cell>
          <cell r="K32">
            <v>659.09</v>
          </cell>
          <cell r="L32" t="str">
            <v>ja</v>
          </cell>
          <cell r="M32" t="str">
            <v>V</v>
          </cell>
          <cell r="N32" t="str">
            <v>Volledig</v>
          </cell>
          <cell r="O32" t="str">
            <v>naloop</v>
          </cell>
          <cell r="P32" t="str">
            <v>naloop</v>
          </cell>
          <cell r="Q32" t="str">
            <v>Volledig</v>
          </cell>
          <cell r="R32" t="str">
            <v>naloop</v>
          </cell>
          <cell r="S32" t="str">
            <v>naloop</v>
          </cell>
          <cell r="T32" t="str">
            <v>naloop</v>
          </cell>
        </row>
        <row r="33">
          <cell r="A33" t="str">
            <v>TRA.365.2a</v>
          </cell>
          <cell r="B33">
            <v>365</v>
          </cell>
          <cell r="C33" t="str">
            <v>Trappen</v>
          </cell>
          <cell r="D33" t="str">
            <v>Klasse 2</v>
          </cell>
          <cell r="I33">
            <v>0</v>
          </cell>
          <cell r="J33">
            <v>0</v>
          </cell>
          <cell r="K33">
            <v>1705.9755</v>
          </cell>
          <cell r="L33" t="str">
            <v>ja</v>
          </cell>
          <cell r="M33" t="str">
            <v>V</v>
          </cell>
          <cell r="N33" t="str">
            <v>Omde dag Vol/Nal.</v>
          </cell>
          <cell r="O33" t="str">
            <v>Omde dag Nal./Vol</v>
          </cell>
          <cell r="P33" t="str">
            <v>Omde dag Vol/Nal.</v>
          </cell>
          <cell r="Q33" t="str">
            <v>Omde dag Nal./Vol</v>
          </cell>
          <cell r="R33" t="str">
            <v>Omde dag Vol/Nal.</v>
          </cell>
          <cell r="S33" t="str">
            <v>Omde dag Nal./Vol</v>
          </cell>
          <cell r="T33" t="str">
            <v>Omde dag Vol/Nal.</v>
          </cell>
        </row>
        <row r="34">
          <cell r="A34" t="str">
            <v>HAL.0002</v>
          </cell>
          <cell r="B34">
            <v>2</v>
          </cell>
          <cell r="C34" t="str">
            <v>Hallen</v>
          </cell>
          <cell r="D34" t="str">
            <v>2 x per jaar</v>
          </cell>
          <cell r="I34">
            <v>0</v>
          </cell>
          <cell r="J34">
            <v>0</v>
          </cell>
          <cell r="K34">
            <v>30</v>
          </cell>
          <cell r="L34" t="str">
            <v>nee</v>
          </cell>
          <cell r="M34" t="str">
            <v>V</v>
          </cell>
          <cell r="N34" t="str">
            <v>Zie Freq</v>
          </cell>
          <cell r="O34" t="str">
            <v>Zie Freq</v>
          </cell>
          <cell r="P34" t="str">
            <v>Zie Freq</v>
          </cell>
          <cell r="Q34" t="str">
            <v>Zie Freq</v>
          </cell>
          <cell r="R34" t="str">
            <v>Zie Freq</v>
          </cell>
          <cell r="S34" t="str">
            <v>NVT</v>
          </cell>
          <cell r="T34" t="str">
            <v>NVT</v>
          </cell>
        </row>
        <row r="35">
          <cell r="A35" t="str">
            <v>HAL.365.1</v>
          </cell>
          <cell r="B35">
            <v>365</v>
          </cell>
          <cell r="C35" t="str">
            <v>Hallen</v>
          </cell>
          <cell r="D35" t="str">
            <v>Klasse 1</v>
          </cell>
          <cell r="I35">
            <v>0</v>
          </cell>
          <cell r="J35">
            <v>0</v>
          </cell>
          <cell r="K35">
            <v>0</v>
          </cell>
          <cell r="L35" t="str">
            <v>ja</v>
          </cell>
          <cell r="M35" t="str">
            <v>V</v>
          </cell>
          <cell r="N35" t="str">
            <v>Volledig</v>
          </cell>
          <cell r="O35" t="str">
            <v>naloop</v>
          </cell>
          <cell r="P35" t="str">
            <v>naloop</v>
          </cell>
          <cell r="Q35" t="str">
            <v>Volledig</v>
          </cell>
          <cell r="R35" t="str">
            <v>naloop</v>
          </cell>
          <cell r="S35" t="str">
            <v>naloop</v>
          </cell>
          <cell r="T35" t="str">
            <v>naloop</v>
          </cell>
        </row>
        <row r="36">
          <cell r="A36" t="str">
            <v>HAL.365.2</v>
          </cell>
          <cell r="B36">
            <v>365</v>
          </cell>
          <cell r="C36" t="str">
            <v>Hallen</v>
          </cell>
          <cell r="D36" t="str">
            <v>Klasse 2</v>
          </cell>
          <cell r="I36">
            <v>0</v>
          </cell>
          <cell r="J36">
            <v>0</v>
          </cell>
          <cell r="K36">
            <v>2012</v>
          </cell>
          <cell r="L36" t="str">
            <v>ja</v>
          </cell>
          <cell r="M36" t="str">
            <v>V</v>
          </cell>
          <cell r="N36" t="str">
            <v>Omde dag Vol/Nal.</v>
          </cell>
          <cell r="O36" t="str">
            <v>Omde dag Nal./Vol</v>
          </cell>
          <cell r="P36" t="str">
            <v>Omde dag Vol/Nal.</v>
          </cell>
          <cell r="Q36" t="str">
            <v>Omde dag Nal./Vol</v>
          </cell>
          <cell r="R36" t="str">
            <v>Omde dag Vol/Nal.</v>
          </cell>
          <cell r="S36" t="str">
            <v>Omde dag Nal./Vol</v>
          </cell>
          <cell r="T36" t="str">
            <v>Omde dag Vol/Nal.</v>
          </cell>
        </row>
        <row r="37">
          <cell r="A37" t="str">
            <v>HAL.365.1a</v>
          </cell>
          <cell r="B37">
            <v>365</v>
          </cell>
          <cell r="C37" t="str">
            <v>Hallen</v>
          </cell>
          <cell r="D37" t="str">
            <v>Klasse 1</v>
          </cell>
          <cell r="I37">
            <v>0</v>
          </cell>
          <cell r="J37">
            <v>0</v>
          </cell>
          <cell r="K37">
            <v>2308.1786440677965</v>
          </cell>
          <cell r="L37" t="str">
            <v>ja</v>
          </cell>
          <cell r="M37" t="str">
            <v>V</v>
          </cell>
          <cell r="N37" t="str">
            <v>Volledig</v>
          </cell>
          <cell r="O37" t="str">
            <v>naloop</v>
          </cell>
          <cell r="P37" t="str">
            <v>naloop</v>
          </cell>
          <cell r="Q37" t="str">
            <v>Volledig</v>
          </cell>
          <cell r="R37" t="str">
            <v>naloop</v>
          </cell>
          <cell r="S37" t="str">
            <v>naloop</v>
          </cell>
          <cell r="T37" t="str">
            <v>naloop</v>
          </cell>
        </row>
        <row r="38">
          <cell r="A38" t="str">
            <v>HAL.365.2a</v>
          </cell>
          <cell r="B38">
            <v>365</v>
          </cell>
          <cell r="C38" t="str">
            <v>Hallen</v>
          </cell>
          <cell r="D38" t="str">
            <v>Klasse 2</v>
          </cell>
          <cell r="I38">
            <v>0</v>
          </cell>
          <cell r="J38">
            <v>0</v>
          </cell>
          <cell r="K38">
            <v>7088.5019999999995</v>
          </cell>
          <cell r="L38" t="str">
            <v>ja</v>
          </cell>
          <cell r="M38" t="str">
            <v>V</v>
          </cell>
          <cell r="N38" t="str">
            <v>Omde dag Vol/Nal.</v>
          </cell>
          <cell r="O38" t="str">
            <v>Omde dag Nal./Vol</v>
          </cell>
          <cell r="P38" t="str">
            <v>Omde dag Vol/Nal.</v>
          </cell>
          <cell r="Q38" t="str">
            <v>Omde dag Nal./Vol</v>
          </cell>
          <cell r="R38" t="str">
            <v>Omde dag Vol/Nal.</v>
          </cell>
          <cell r="S38" t="str">
            <v>Omde dag Nal./Vol</v>
          </cell>
          <cell r="T38" t="str">
            <v>Omde dag Vol/Nal.</v>
          </cell>
        </row>
        <row r="39">
          <cell r="A39" t="str">
            <v>TEC.0001</v>
          </cell>
          <cell r="B39">
            <v>1</v>
          </cell>
          <cell r="C39" t="str">
            <v>Technische ruimten</v>
          </cell>
          <cell r="D39" t="str">
            <v>1 x per jaar</v>
          </cell>
          <cell r="I39">
            <v>0</v>
          </cell>
          <cell r="J39">
            <v>0</v>
          </cell>
          <cell r="K39">
            <v>0</v>
          </cell>
          <cell r="L39" t="str">
            <v>nee</v>
          </cell>
          <cell r="M39" t="str">
            <v>V</v>
          </cell>
          <cell r="N39" t="str">
            <v>Zie Freq</v>
          </cell>
          <cell r="O39" t="str">
            <v>Zie Freq</v>
          </cell>
          <cell r="P39" t="str">
            <v>Zie Freq</v>
          </cell>
          <cell r="Q39" t="str">
            <v>Zie Freq</v>
          </cell>
          <cell r="R39" t="str">
            <v>Zie Freq</v>
          </cell>
          <cell r="S39" t="str">
            <v>NVT</v>
          </cell>
          <cell r="T39" t="str">
            <v>NVT</v>
          </cell>
        </row>
        <row r="40">
          <cell r="A40" t="str">
            <v>TEC.0002</v>
          </cell>
          <cell r="B40">
            <v>2</v>
          </cell>
          <cell r="C40" t="str">
            <v>Technische ruimten</v>
          </cell>
          <cell r="D40" t="str">
            <v>2 x per jaar</v>
          </cell>
          <cell r="I40">
            <v>0</v>
          </cell>
          <cell r="J40">
            <v>0</v>
          </cell>
          <cell r="K40">
            <v>0</v>
          </cell>
          <cell r="L40" t="str">
            <v>nee</v>
          </cell>
          <cell r="M40" t="str">
            <v>V</v>
          </cell>
          <cell r="N40" t="str">
            <v>Zie Freq</v>
          </cell>
          <cell r="O40" t="str">
            <v>Zie Freq</v>
          </cell>
          <cell r="P40" t="str">
            <v>Zie Freq</v>
          </cell>
          <cell r="Q40" t="str">
            <v>Zie Freq</v>
          </cell>
          <cell r="R40" t="str">
            <v>Zie Freq</v>
          </cell>
          <cell r="S40" t="str">
            <v>NVT</v>
          </cell>
          <cell r="T40" t="str">
            <v>NVT</v>
          </cell>
        </row>
        <row r="41">
          <cell r="A41" t="str">
            <v>TEC.0003</v>
          </cell>
          <cell r="B41">
            <v>3</v>
          </cell>
          <cell r="C41" t="str">
            <v>Technische ruimten</v>
          </cell>
          <cell r="D41" t="str">
            <v>3 x per jaar</v>
          </cell>
          <cell r="I41">
            <v>0</v>
          </cell>
          <cell r="J41">
            <v>0</v>
          </cell>
          <cell r="K41">
            <v>0</v>
          </cell>
          <cell r="L41" t="str">
            <v>nee</v>
          </cell>
          <cell r="M41" t="str">
            <v>V</v>
          </cell>
          <cell r="N41" t="str">
            <v>Zie Freq</v>
          </cell>
          <cell r="O41" t="str">
            <v>Zie Freq</v>
          </cell>
          <cell r="P41" t="str">
            <v>Zie Freq</v>
          </cell>
          <cell r="Q41" t="str">
            <v>Zie Freq</v>
          </cell>
          <cell r="R41" t="str">
            <v>Zie Freq</v>
          </cell>
          <cell r="S41" t="str">
            <v>NVT</v>
          </cell>
          <cell r="T41" t="str">
            <v>NVT</v>
          </cell>
        </row>
        <row r="42">
          <cell r="A42" t="str">
            <v>TEC.365.1</v>
          </cell>
          <cell r="B42">
            <v>365</v>
          </cell>
          <cell r="C42" t="str">
            <v>Technische ruimten</v>
          </cell>
          <cell r="D42" t="str">
            <v>Klasse 1</v>
          </cell>
          <cell r="I42">
            <v>0</v>
          </cell>
          <cell r="J42">
            <v>0</v>
          </cell>
          <cell r="K42">
            <v>0</v>
          </cell>
          <cell r="L42" t="str">
            <v>nee</v>
          </cell>
          <cell r="M42" t="str">
            <v>V</v>
          </cell>
          <cell r="N42" t="str">
            <v>Volledig</v>
          </cell>
          <cell r="O42" t="str">
            <v>naloop</v>
          </cell>
          <cell r="P42" t="str">
            <v>naloop</v>
          </cell>
          <cell r="Q42" t="str">
            <v>Volledig</v>
          </cell>
          <cell r="R42" t="str">
            <v>naloop</v>
          </cell>
          <cell r="S42" t="str">
            <v>naloop</v>
          </cell>
          <cell r="T42" t="str">
            <v>naloop</v>
          </cell>
        </row>
        <row r="43">
          <cell r="A43" t="str">
            <v>TEC.365.2</v>
          </cell>
          <cell r="B43">
            <v>365</v>
          </cell>
          <cell r="C43" t="str">
            <v>Technische ruimten</v>
          </cell>
          <cell r="D43" t="str">
            <v>Klasse 2</v>
          </cell>
          <cell r="I43">
            <v>0</v>
          </cell>
          <cell r="J43">
            <v>0</v>
          </cell>
          <cell r="K43">
            <v>0</v>
          </cell>
          <cell r="L43" t="str">
            <v>nee</v>
          </cell>
          <cell r="M43" t="str">
            <v>V</v>
          </cell>
          <cell r="N43" t="str">
            <v>Omde dag Vol/Nal.</v>
          </cell>
          <cell r="O43" t="str">
            <v>Omde dag Nal./Vol</v>
          </cell>
          <cell r="P43" t="str">
            <v>Omde dag Vol/Nal.</v>
          </cell>
          <cell r="Q43" t="str">
            <v>Omde dag Nal./Vol</v>
          </cell>
          <cell r="R43" t="str">
            <v>Omde dag Vol/Nal.</v>
          </cell>
          <cell r="S43" t="str">
            <v>Omde dag Nal./Vol</v>
          </cell>
          <cell r="T43" t="str">
            <v>Omde dag Vol/Nal.</v>
          </cell>
        </row>
        <row r="44">
          <cell r="A44" t="str">
            <v>ROL.365.1</v>
          </cell>
          <cell r="B44">
            <v>365</v>
          </cell>
          <cell r="C44" t="str">
            <v>Roltrappen(inclusief aangrenzende bouwdelen)</v>
          </cell>
          <cell r="D44" t="str">
            <v>Klasse 1</v>
          </cell>
          <cell r="I44">
            <v>0</v>
          </cell>
          <cell r="J44">
            <v>0</v>
          </cell>
          <cell r="K44">
            <v>252</v>
          </cell>
          <cell r="L44" t="str">
            <v>ja</v>
          </cell>
          <cell r="M44" t="str">
            <v>V</v>
          </cell>
          <cell r="N44" t="str">
            <v>Volledig</v>
          </cell>
          <cell r="O44" t="str">
            <v>naloop</v>
          </cell>
          <cell r="P44" t="str">
            <v>naloop</v>
          </cell>
          <cell r="Q44" t="str">
            <v>Volledig</v>
          </cell>
          <cell r="R44" t="str">
            <v>naloop</v>
          </cell>
          <cell r="S44" t="str">
            <v>naloop</v>
          </cell>
          <cell r="T44" t="str">
            <v>naloop</v>
          </cell>
        </row>
        <row r="45">
          <cell r="A45" t="str">
            <v>ROL.365.2</v>
          </cell>
          <cell r="B45">
            <v>365</v>
          </cell>
          <cell r="C45" t="str">
            <v>Roltrappen(inclusief aangrenzende bouwdelen)</v>
          </cell>
          <cell r="D45" t="str">
            <v>Klasse 2</v>
          </cell>
          <cell r="I45">
            <v>0</v>
          </cell>
          <cell r="J45">
            <v>0</v>
          </cell>
          <cell r="K45">
            <v>366</v>
          </cell>
          <cell r="L45" t="str">
            <v>ja</v>
          </cell>
          <cell r="M45" t="str">
            <v>V</v>
          </cell>
          <cell r="N45" t="str">
            <v>Omde dag Vol/Nal.</v>
          </cell>
          <cell r="O45" t="str">
            <v>Omde dag Nal./Vol</v>
          </cell>
          <cell r="P45" t="str">
            <v>Omde dag Vol/Nal.</v>
          </cell>
          <cell r="Q45" t="str">
            <v>Omde dag Nal./Vol</v>
          </cell>
          <cell r="R45" t="str">
            <v>Omde dag Vol/Nal.</v>
          </cell>
          <cell r="S45" t="str">
            <v>Omde dag Nal./Vol</v>
          </cell>
          <cell r="T45" t="str">
            <v>Omde dag Vol/Nal.</v>
          </cell>
        </row>
        <row r="46">
          <cell r="A46" t="str">
            <v>ROL.365.1a</v>
          </cell>
          <cell r="B46">
            <v>365</v>
          </cell>
          <cell r="C46" t="str">
            <v>Roltrappen(inclusief aangrenzende bouwdelen)</v>
          </cell>
          <cell r="D46" t="str">
            <v>Klasse 1</v>
          </cell>
          <cell r="I46">
            <v>0</v>
          </cell>
          <cell r="J46">
            <v>0</v>
          </cell>
          <cell r="K46">
            <v>499.07</v>
          </cell>
          <cell r="L46" t="str">
            <v>ja</v>
          </cell>
          <cell r="M46" t="str">
            <v>V</v>
          </cell>
          <cell r="N46" t="str">
            <v>Volledig</v>
          </cell>
          <cell r="O46" t="str">
            <v>naloop</v>
          </cell>
          <cell r="P46" t="str">
            <v>naloop</v>
          </cell>
          <cell r="Q46" t="str">
            <v>Volledig</v>
          </cell>
          <cell r="R46" t="str">
            <v>naloop</v>
          </cell>
          <cell r="S46" t="str">
            <v>naloop</v>
          </cell>
          <cell r="T46" t="str">
            <v>naloop</v>
          </cell>
        </row>
        <row r="47">
          <cell r="A47" t="str">
            <v>ROL.365.2a</v>
          </cell>
          <cell r="B47">
            <v>365</v>
          </cell>
          <cell r="C47" t="str">
            <v>Roltrappen(inclusief aangrenzende bouwdelen)</v>
          </cell>
          <cell r="D47" t="str">
            <v>Klasse 2</v>
          </cell>
          <cell r="I47">
            <v>0</v>
          </cell>
          <cell r="J47">
            <v>0</v>
          </cell>
          <cell r="K47">
            <v>1021.39</v>
          </cell>
          <cell r="L47" t="str">
            <v>ja</v>
          </cell>
          <cell r="M47" t="str">
            <v>V</v>
          </cell>
          <cell r="N47" t="str">
            <v>Omde dag Vol/Nal.</v>
          </cell>
          <cell r="O47" t="str">
            <v>Omde dag Nal./Vol</v>
          </cell>
          <cell r="P47" t="str">
            <v>Omde dag Vol/Nal.</v>
          </cell>
          <cell r="Q47" t="str">
            <v>Omde dag Nal./Vol</v>
          </cell>
          <cell r="R47" t="str">
            <v>Omde dag Vol/Nal.</v>
          </cell>
          <cell r="S47" t="str">
            <v>Omde dag Nal./Vol</v>
          </cell>
          <cell r="T47" t="str">
            <v>Omde dag Vol/Nal.</v>
          </cell>
        </row>
        <row r="48">
          <cell r="A48" t="str">
            <v>BES.0002</v>
          </cell>
          <cell r="B48">
            <v>2</v>
          </cell>
          <cell r="C48" t="str">
            <v>Bestrating</v>
          </cell>
          <cell r="D48" t="str">
            <v>2 x per jaar</v>
          </cell>
          <cell r="I48">
            <v>0</v>
          </cell>
          <cell r="J48">
            <v>0</v>
          </cell>
          <cell r="K48">
            <v>190</v>
          </cell>
          <cell r="L48" t="str">
            <v>ja</v>
          </cell>
          <cell r="M48" t="str">
            <v>V</v>
          </cell>
          <cell r="N48" t="str">
            <v>Zie Freq</v>
          </cell>
          <cell r="O48" t="str">
            <v>Zie Freq</v>
          </cell>
          <cell r="P48" t="str">
            <v>Zie Freq</v>
          </cell>
          <cell r="Q48" t="str">
            <v>Zie Freq</v>
          </cell>
          <cell r="R48" t="str">
            <v>Zie Freq</v>
          </cell>
          <cell r="S48" t="str">
            <v>NVT</v>
          </cell>
          <cell r="T48" t="str">
            <v>NVT</v>
          </cell>
        </row>
        <row r="49">
          <cell r="A49" t="str">
            <v>BES.0012</v>
          </cell>
          <cell r="B49">
            <v>12</v>
          </cell>
          <cell r="C49" t="str">
            <v>Bestrating</v>
          </cell>
          <cell r="D49" t="str">
            <v>12 x per jaar</v>
          </cell>
          <cell r="I49">
            <v>0</v>
          </cell>
          <cell r="J49">
            <v>0</v>
          </cell>
          <cell r="K49">
            <v>48</v>
          </cell>
          <cell r="L49" t="str">
            <v>ja</v>
          </cell>
          <cell r="M49" t="str">
            <v>V</v>
          </cell>
          <cell r="N49" t="str">
            <v>Zie Freq</v>
          </cell>
          <cell r="O49" t="str">
            <v>Zie Freq</v>
          </cell>
          <cell r="P49" t="str">
            <v>Zie Freq</v>
          </cell>
          <cell r="Q49" t="str">
            <v>Zie Freq</v>
          </cell>
          <cell r="R49" t="str">
            <v>Zie Freq</v>
          </cell>
          <cell r="S49" t="str">
            <v>NVT</v>
          </cell>
          <cell r="T49" t="str">
            <v>NVT</v>
          </cell>
        </row>
        <row r="50">
          <cell r="A50" t="str">
            <v>BES.365.1</v>
          </cell>
          <cell r="B50">
            <v>365</v>
          </cell>
          <cell r="C50" t="str">
            <v>Bestrating</v>
          </cell>
          <cell r="D50" t="str">
            <v>Klasse 1</v>
          </cell>
          <cell r="I50">
            <v>0</v>
          </cell>
          <cell r="J50">
            <v>0</v>
          </cell>
          <cell r="K50">
            <v>513</v>
          </cell>
          <cell r="L50" t="str">
            <v>ja</v>
          </cell>
          <cell r="M50" t="str">
            <v>V</v>
          </cell>
          <cell r="N50" t="str">
            <v>Volledig</v>
          </cell>
          <cell r="O50" t="str">
            <v>naloop</v>
          </cell>
          <cell r="P50" t="str">
            <v>naloop</v>
          </cell>
          <cell r="Q50" t="str">
            <v>Volledig</v>
          </cell>
          <cell r="R50" t="str">
            <v>naloop</v>
          </cell>
          <cell r="S50" t="str">
            <v>naloop</v>
          </cell>
          <cell r="T50" t="str">
            <v>naloop</v>
          </cell>
        </row>
        <row r="51">
          <cell r="A51" t="str">
            <v>BES.365.2</v>
          </cell>
          <cell r="B51">
            <v>365</v>
          </cell>
          <cell r="C51" t="str">
            <v>Bestrating</v>
          </cell>
          <cell r="D51" t="str">
            <v>Klasse 2</v>
          </cell>
          <cell r="I51">
            <v>0</v>
          </cell>
          <cell r="J51">
            <v>0</v>
          </cell>
          <cell r="K51">
            <v>738.2299999999999</v>
          </cell>
          <cell r="L51" t="str">
            <v>ja</v>
          </cell>
          <cell r="M51" t="str">
            <v>V</v>
          </cell>
          <cell r="N51" t="str">
            <v>Omde dag Vol/Nal.</v>
          </cell>
          <cell r="O51" t="str">
            <v>Omde dag Nal./Vol</v>
          </cell>
          <cell r="P51" t="str">
            <v>Omde dag Vol/Nal.</v>
          </cell>
          <cell r="Q51" t="str">
            <v>Omde dag Nal./Vol</v>
          </cell>
          <cell r="R51" t="str">
            <v>Omde dag Vol/Nal.</v>
          </cell>
          <cell r="S51" t="str">
            <v>Omde dag Nal./Vol</v>
          </cell>
          <cell r="T51" t="str">
            <v>Omde dag Vol/Nal.</v>
          </cell>
        </row>
        <row r="52">
          <cell r="A52" t="str">
            <v>BES.365.1a</v>
          </cell>
          <cell r="B52">
            <v>365</v>
          </cell>
          <cell r="C52" t="str">
            <v>Bestrating</v>
          </cell>
          <cell r="D52" t="str">
            <v>Klasse 1</v>
          </cell>
          <cell r="I52">
            <v>0</v>
          </cell>
          <cell r="J52">
            <v>0</v>
          </cell>
          <cell r="K52">
            <v>0</v>
          </cell>
          <cell r="L52" t="str">
            <v>ja</v>
          </cell>
          <cell r="M52" t="str">
            <v>V</v>
          </cell>
          <cell r="N52" t="str">
            <v>Volledig</v>
          </cell>
          <cell r="O52" t="str">
            <v>naloop</v>
          </cell>
          <cell r="P52" t="str">
            <v>naloop</v>
          </cell>
          <cell r="Q52" t="str">
            <v>Volledig</v>
          </cell>
          <cell r="R52" t="str">
            <v>naloop</v>
          </cell>
          <cell r="S52" t="str">
            <v>naloop</v>
          </cell>
          <cell r="T52" t="str">
            <v>naloop</v>
          </cell>
        </row>
        <row r="53">
          <cell r="A53" t="str">
            <v>BES.365.2a</v>
          </cell>
          <cell r="B53">
            <v>365</v>
          </cell>
          <cell r="C53" t="str">
            <v>Bestrating</v>
          </cell>
          <cell r="D53" t="str">
            <v>Klasse 2</v>
          </cell>
          <cell r="I53">
            <v>0</v>
          </cell>
          <cell r="J53">
            <v>0</v>
          </cell>
          <cell r="K53">
            <v>0</v>
          </cell>
          <cell r="L53" t="str">
            <v>ja</v>
          </cell>
          <cell r="M53" t="str">
            <v>V</v>
          </cell>
          <cell r="N53" t="str">
            <v>Omde dag Vol/Nal.</v>
          </cell>
          <cell r="O53" t="str">
            <v>Omde dag Nal./Vol</v>
          </cell>
          <cell r="P53" t="str">
            <v>Omde dag Vol/Nal.</v>
          </cell>
          <cell r="Q53" t="str">
            <v>Omde dag Nal./Vol</v>
          </cell>
          <cell r="R53" t="str">
            <v>Omde dag Vol/Nal.</v>
          </cell>
          <cell r="S53" t="str">
            <v>Omde dag Nal./Vol</v>
          </cell>
          <cell r="T53" t="str">
            <v>Omde dag Vol/Nal.</v>
          </cell>
        </row>
        <row r="54">
          <cell r="A54" t="str">
            <v>BER.0001</v>
          </cell>
          <cell r="B54">
            <v>1</v>
          </cell>
          <cell r="C54" t="str">
            <v>Berging/opslag/magazijn</v>
          </cell>
          <cell r="D54" t="str">
            <v>1 x per jaar</v>
          </cell>
          <cell r="I54">
            <v>0</v>
          </cell>
          <cell r="J54">
            <v>0</v>
          </cell>
          <cell r="K54">
            <v>0</v>
          </cell>
          <cell r="L54" t="str">
            <v>nee</v>
          </cell>
          <cell r="M54" t="str">
            <v>V</v>
          </cell>
          <cell r="N54" t="str">
            <v>Zie Freq</v>
          </cell>
          <cell r="O54" t="str">
            <v>Zie Freq</v>
          </cell>
          <cell r="P54" t="str">
            <v>Zie Freq</v>
          </cell>
          <cell r="Q54" t="str">
            <v>Zie Freq</v>
          </cell>
          <cell r="R54" t="str">
            <v>Zie Freq</v>
          </cell>
          <cell r="S54" t="str">
            <v>NVT</v>
          </cell>
          <cell r="T54" t="str">
            <v>NVT</v>
          </cell>
        </row>
        <row r="55">
          <cell r="A55" t="str">
            <v>BER.0002</v>
          </cell>
          <cell r="B55">
            <v>2</v>
          </cell>
          <cell r="C55" t="str">
            <v>Berging/opslag/magazijn</v>
          </cell>
          <cell r="D55" t="str">
            <v>2 x per jaar</v>
          </cell>
          <cell r="I55">
            <v>0</v>
          </cell>
          <cell r="J55">
            <v>0</v>
          </cell>
          <cell r="K55">
            <v>415.64000000000004</v>
          </cell>
          <cell r="L55" t="str">
            <v>nee</v>
          </cell>
          <cell r="M55" t="str">
            <v>V</v>
          </cell>
          <cell r="N55" t="str">
            <v>Zie Freq</v>
          </cell>
          <cell r="O55" t="str">
            <v>Zie Freq</v>
          </cell>
          <cell r="P55" t="str">
            <v>Zie Freq</v>
          </cell>
          <cell r="Q55" t="str">
            <v>Zie Freq</v>
          </cell>
          <cell r="R55" t="str">
            <v>Zie Freq</v>
          </cell>
          <cell r="S55" t="str">
            <v>NVT</v>
          </cell>
          <cell r="T55" t="str">
            <v>NVT</v>
          </cell>
        </row>
        <row r="56">
          <cell r="A56" t="str">
            <v>BER.0003</v>
          </cell>
          <cell r="B56">
            <v>3</v>
          </cell>
          <cell r="C56" t="str">
            <v>Berging/opslag/magazijn</v>
          </cell>
          <cell r="D56" t="str">
            <v>3 x per jaar</v>
          </cell>
          <cell r="I56">
            <v>0</v>
          </cell>
          <cell r="J56">
            <v>0</v>
          </cell>
          <cell r="K56">
            <v>109.45100000000001</v>
          </cell>
          <cell r="L56" t="str">
            <v>nee</v>
          </cell>
          <cell r="M56" t="str">
            <v>V</v>
          </cell>
          <cell r="N56" t="str">
            <v>Zie Freq</v>
          </cell>
          <cell r="O56" t="str">
            <v>Zie Freq</v>
          </cell>
          <cell r="P56" t="str">
            <v>Zie Freq</v>
          </cell>
          <cell r="Q56" t="str">
            <v>Zie Freq</v>
          </cell>
          <cell r="R56" t="str">
            <v>Zie Freq</v>
          </cell>
          <cell r="S56" t="str">
            <v>NVT</v>
          </cell>
          <cell r="T56" t="str">
            <v>NVT</v>
          </cell>
        </row>
        <row r="57">
          <cell r="A57" t="str">
            <v>BER.365.1</v>
          </cell>
          <cell r="B57">
            <v>365</v>
          </cell>
          <cell r="C57" t="str">
            <v>Berging/opslag/magazijn</v>
          </cell>
          <cell r="D57" t="str">
            <v>Klasse 1</v>
          </cell>
          <cell r="I57">
            <v>0</v>
          </cell>
          <cell r="J57">
            <v>0</v>
          </cell>
          <cell r="K57">
            <v>19.899999999999999</v>
          </cell>
          <cell r="L57" t="str">
            <v>nee</v>
          </cell>
          <cell r="M57" t="str">
            <v>V</v>
          </cell>
          <cell r="N57" t="str">
            <v>Volledig</v>
          </cell>
          <cell r="O57" t="str">
            <v>naloop</v>
          </cell>
          <cell r="P57" t="str">
            <v>naloop</v>
          </cell>
          <cell r="Q57" t="str">
            <v>Volledig</v>
          </cell>
          <cell r="R57" t="str">
            <v>naloop</v>
          </cell>
          <cell r="S57" t="str">
            <v>naloop</v>
          </cell>
          <cell r="T57" t="str">
            <v>naloop</v>
          </cell>
        </row>
        <row r="58">
          <cell r="A58" t="str">
            <v>KAN.0002</v>
          </cell>
          <cell r="B58">
            <v>2</v>
          </cell>
          <cell r="C58" t="str">
            <v>Kantoren/spreekkamers</v>
          </cell>
          <cell r="D58" t="str">
            <v>2 x per jaar</v>
          </cell>
          <cell r="I58">
            <v>0</v>
          </cell>
          <cell r="J58">
            <v>0</v>
          </cell>
          <cell r="K58">
            <v>89</v>
          </cell>
          <cell r="L58" t="str">
            <v>nee</v>
          </cell>
          <cell r="M58" t="str">
            <v>B</v>
          </cell>
          <cell r="N58" t="str">
            <v>Zie Freq</v>
          </cell>
          <cell r="O58" t="str">
            <v>Zie Freq</v>
          </cell>
          <cell r="P58" t="str">
            <v>Zie Freq</v>
          </cell>
          <cell r="Q58" t="str">
            <v>Zie Freq</v>
          </cell>
          <cell r="R58" t="str">
            <v>Zie Freq</v>
          </cell>
          <cell r="S58" t="str">
            <v>NVT</v>
          </cell>
          <cell r="T58" t="str">
            <v>NVT</v>
          </cell>
        </row>
        <row r="59">
          <cell r="A59" t="str">
            <v>KAN.365.1</v>
          </cell>
          <cell r="B59">
            <v>365</v>
          </cell>
          <cell r="C59" t="str">
            <v>Kantoren/spreekkamers</v>
          </cell>
          <cell r="D59" t="str">
            <v>Klasse 1</v>
          </cell>
          <cell r="I59">
            <v>0</v>
          </cell>
          <cell r="J59">
            <v>0</v>
          </cell>
          <cell r="K59">
            <v>220.70999999999998</v>
          </cell>
          <cell r="L59" t="str">
            <v>nee</v>
          </cell>
          <cell r="M59" t="str">
            <v>B</v>
          </cell>
          <cell r="N59" t="str">
            <v>Volledig</v>
          </cell>
          <cell r="O59" t="str">
            <v>naloop</v>
          </cell>
          <cell r="P59" t="str">
            <v>naloop</v>
          </cell>
          <cell r="Q59" t="str">
            <v>Volledig</v>
          </cell>
          <cell r="R59" t="str">
            <v>naloop</v>
          </cell>
          <cell r="S59" t="str">
            <v>naloop</v>
          </cell>
          <cell r="T59" t="str">
            <v>naloop</v>
          </cell>
        </row>
        <row r="60">
          <cell r="A60" t="str">
            <v>KAN.365.2</v>
          </cell>
          <cell r="B60">
            <v>365</v>
          </cell>
          <cell r="C60" t="str">
            <v>Kantoren/spreekkamers</v>
          </cell>
          <cell r="D60" t="str">
            <v>Klasse 2</v>
          </cell>
          <cell r="I60">
            <v>0</v>
          </cell>
          <cell r="J60">
            <v>0</v>
          </cell>
          <cell r="K60">
            <v>325.08</v>
          </cell>
          <cell r="L60" t="str">
            <v>nee</v>
          </cell>
          <cell r="M60" t="str">
            <v>B</v>
          </cell>
          <cell r="N60" t="str">
            <v>Omde dag Vol/Nal.</v>
          </cell>
          <cell r="O60" t="str">
            <v>Omde dag Nal./Vol</v>
          </cell>
          <cell r="P60" t="str">
            <v>Omde dag Vol/Nal.</v>
          </cell>
          <cell r="Q60" t="str">
            <v>Omde dag Nal./Vol</v>
          </cell>
          <cell r="R60" t="str">
            <v>Omde dag Vol/Nal.</v>
          </cell>
          <cell r="S60" t="str">
            <v>Omde dag Nal./Vol</v>
          </cell>
          <cell r="T60" t="str">
            <v>Omde dag Vol/Nal.</v>
          </cell>
        </row>
        <row r="61">
          <cell r="A61" t="str">
            <v>OVE.0001</v>
          </cell>
          <cell r="B61">
            <v>1</v>
          </cell>
          <cell r="C61" t="str">
            <v>Overige</v>
          </cell>
          <cell r="D61" t="str">
            <v>1 x per jaar</v>
          </cell>
          <cell r="I61">
            <v>0</v>
          </cell>
          <cell r="J61">
            <v>0</v>
          </cell>
          <cell r="K61">
            <v>2038.1535349999997</v>
          </cell>
          <cell r="L61" t="str">
            <v>nee</v>
          </cell>
          <cell r="M61" t="str">
            <v>V</v>
          </cell>
          <cell r="N61" t="str">
            <v>Zie Freq</v>
          </cell>
          <cell r="O61" t="str">
            <v>Zie Freq</v>
          </cell>
          <cell r="P61" t="str">
            <v>Zie Freq</v>
          </cell>
          <cell r="Q61" t="str">
            <v>Zie Freq</v>
          </cell>
          <cell r="R61" t="str">
            <v>Zie Freq</v>
          </cell>
          <cell r="S61" t="str">
            <v>NVT</v>
          </cell>
          <cell r="T61" t="str">
            <v>NVT</v>
          </cell>
        </row>
        <row r="62">
          <cell r="A62" t="str">
            <v>OVE.0003</v>
          </cell>
          <cell r="B62">
            <v>3</v>
          </cell>
          <cell r="C62" t="str">
            <v>Overige</v>
          </cell>
          <cell r="D62" t="str">
            <v>3 x per jaar</v>
          </cell>
          <cell r="I62">
            <v>0</v>
          </cell>
          <cell r="J62">
            <v>0</v>
          </cell>
          <cell r="K62">
            <v>172.91300000000004</v>
          </cell>
          <cell r="L62" t="str">
            <v>nee</v>
          </cell>
          <cell r="M62" t="str">
            <v>V</v>
          </cell>
          <cell r="N62" t="str">
            <v>Zie Freq</v>
          </cell>
          <cell r="O62" t="str">
            <v>Zie Freq</v>
          </cell>
          <cell r="P62" t="str">
            <v>Zie Freq</v>
          </cell>
          <cell r="Q62" t="str">
            <v>Zie Freq</v>
          </cell>
          <cell r="R62" t="str">
            <v>Zie Freq</v>
          </cell>
          <cell r="S62" t="str">
            <v>NVT</v>
          </cell>
          <cell r="T62" t="str">
            <v>NVT</v>
          </cell>
        </row>
        <row r="63">
          <cell r="A63" t="str">
            <v>NVT.0000</v>
          </cell>
          <cell r="B63">
            <v>0</v>
          </cell>
          <cell r="C63" t="str">
            <v>Niet van toepassing</v>
          </cell>
          <cell r="D63" t="str">
            <v>Niet van toepassing</v>
          </cell>
          <cell r="I63">
            <v>0</v>
          </cell>
          <cell r="K63">
            <v>16129.401800000003</v>
          </cell>
          <cell r="N63" t="str">
            <v>NVT</v>
          </cell>
          <cell r="O63" t="str">
            <v>NVT</v>
          </cell>
          <cell r="P63" t="str">
            <v>NVT</v>
          </cell>
          <cell r="Q63" t="str">
            <v>NVT</v>
          </cell>
          <cell r="R63" t="str">
            <v>NVT</v>
          </cell>
          <cell r="S63" t="str">
            <v>NVT</v>
          </cell>
          <cell r="T63" t="str">
            <v>NVT</v>
          </cell>
        </row>
        <row r="64">
          <cell r="A64" t="str">
            <v>O.A.0000</v>
          </cell>
          <cell r="B64">
            <v>0</v>
          </cell>
          <cell r="C64" t="str">
            <v>Op afroep</v>
          </cell>
          <cell r="D64" t="str">
            <v>Op afroep</v>
          </cell>
          <cell r="I64">
            <v>0</v>
          </cell>
          <cell r="K64">
            <v>5094.7832500000004</v>
          </cell>
          <cell r="N64" t="str">
            <v>o.a.</v>
          </cell>
          <cell r="O64" t="str">
            <v>o.a.</v>
          </cell>
          <cell r="P64" t="str">
            <v>o.a.</v>
          </cell>
          <cell r="Q64" t="str">
            <v>o.a.</v>
          </cell>
          <cell r="R64" t="str">
            <v>o.a.</v>
          </cell>
          <cell r="S64" t="str">
            <v>o.a.</v>
          </cell>
          <cell r="T64" t="str">
            <v>o.a.</v>
          </cell>
        </row>
        <row r="65">
          <cell r="K65">
            <v>109661.20737906778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getallen"/>
      <sheetName val="Totaal ruimtebestand"/>
      <sheetName val="Offerte-Vergelijking"/>
      <sheetName val="Recap"/>
      <sheetName val="Werkbare dagen"/>
      <sheetName val="Keuze"/>
      <sheetName val="Opbouw uurtarieven"/>
      <sheetName val="Toeslagen matrix"/>
      <sheetName val="Afroepprijzen"/>
      <sheetName val="Machinekosten"/>
      <sheetName val="Kengetal"/>
      <sheetName val="Totaal_ruimtebestand"/>
      <sheetName val="Werkbare_dagen"/>
      <sheetName val="Opbouw_uurtarieven"/>
      <sheetName val="Toeslagen_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>
        <row r="10">
          <cell r="A10" t="str">
            <v>PROGR.CODE</v>
          </cell>
          <cell r="B10" t="str">
            <v>FREQ. PER JAAR</v>
          </cell>
          <cell r="C10" t="str">
            <v>RUIMTECATEGORIE</v>
          </cell>
          <cell r="D10" t="str">
            <v>FREQ. OMSCHRIJVING</v>
          </cell>
          <cell r="E10" t="str">
            <v>KENGETAL BASIS-BEURT</v>
          </cell>
          <cell r="F10" t="str">
            <v>KENGETAL NALOOP-BEURT</v>
          </cell>
          <cell r="G10" t="str">
            <v>KENGETAL ZA-ZO-FST</v>
          </cell>
          <cell r="H10" t="str">
            <v>KENGETAL ZA-ZO-FST NALOOP-BEURT</v>
          </cell>
        </row>
        <row r="12">
          <cell r="A12" t="str">
            <v>01.0012</v>
          </cell>
          <cell r="B12">
            <v>12</v>
          </cell>
          <cell r="C12" t="str">
            <v>diensten perrons</v>
          </cell>
          <cell r="D12" t="str">
            <v>1 x per maand</v>
          </cell>
          <cell r="E12">
            <v>0.11076255714285714</v>
          </cell>
        </row>
        <row r="13">
          <cell r="A13" t="str">
            <v>01.0730b</v>
          </cell>
          <cell r="B13">
            <v>730</v>
          </cell>
          <cell r="C13" t="str">
            <v>perrons Oost en Ringlijn</v>
          </cell>
          <cell r="D13" t="str">
            <v>14x per week</v>
          </cell>
          <cell r="E13">
            <v>0.64832109593023257</v>
          </cell>
          <cell r="F13">
            <v>0.21610169491525424</v>
          </cell>
          <cell r="G13">
            <v>0.10870596981132075</v>
          </cell>
          <cell r="H13">
            <v>9.3220338983050849E-2</v>
          </cell>
        </row>
        <row r="14">
          <cell r="A14" t="str">
            <v>01.1095b</v>
          </cell>
          <cell r="B14">
            <v>1095</v>
          </cell>
          <cell r="C14" t="str">
            <v>perrons Oost en Ringlijn</v>
          </cell>
          <cell r="D14" t="str">
            <v>21x per week</v>
          </cell>
          <cell r="E14">
            <v>0.64832109593023257</v>
          </cell>
          <cell r="F14">
            <v>0.34296729491525424</v>
          </cell>
          <cell r="G14">
            <v>0.10870596981132075</v>
          </cell>
          <cell r="H14">
            <v>0.14794667623795282</v>
          </cell>
        </row>
        <row r="15">
          <cell r="A15" t="str">
            <v>01.1460b</v>
          </cell>
          <cell r="B15">
            <v>1460</v>
          </cell>
          <cell r="C15" t="str">
            <v>perrons Oost en Ringlijn</v>
          </cell>
          <cell r="D15" t="str">
            <v>28x per week</v>
          </cell>
          <cell r="E15">
            <v>0.64832109593023257</v>
          </cell>
          <cell r="F15">
            <v>0.39709269491525423</v>
          </cell>
          <cell r="G15">
            <v>0.10870596981132075</v>
          </cell>
          <cell r="H15">
            <v>0.17129488800265869</v>
          </cell>
        </row>
        <row r="16">
          <cell r="A16" t="str">
            <v>02.0000</v>
          </cell>
          <cell r="B16" t="str">
            <v>0</v>
          </cell>
          <cell r="C16" t="str">
            <v>sanitair</v>
          </cell>
          <cell r="D16" t="str">
            <v>op afroep</v>
          </cell>
          <cell r="E16">
            <v>1.8749999999999999E-2</v>
          </cell>
        </row>
        <row r="17">
          <cell r="A17" t="str">
            <v>02.0004</v>
          </cell>
          <cell r="B17">
            <v>4</v>
          </cell>
          <cell r="C17" t="str">
            <v>sanitair</v>
          </cell>
          <cell r="D17" t="str">
            <v>4x per jaar</v>
          </cell>
          <cell r="E17">
            <v>7.4999999999999997E-2</v>
          </cell>
        </row>
        <row r="18">
          <cell r="A18" t="str">
            <v>02.0026</v>
          </cell>
          <cell r="B18">
            <v>26</v>
          </cell>
          <cell r="C18" t="str">
            <v>sanitair</v>
          </cell>
          <cell r="D18" t="str">
            <v xml:space="preserve">1 x per twee weken </v>
          </cell>
          <cell r="E18">
            <v>0.41935</v>
          </cell>
        </row>
        <row r="19">
          <cell r="A19" t="str">
            <v>02.0052</v>
          </cell>
          <cell r="B19">
            <v>52</v>
          </cell>
          <cell r="C19" t="str">
            <v>sanitair</v>
          </cell>
          <cell r="D19" t="str">
            <v>1x per week</v>
          </cell>
          <cell r="E19">
            <v>0.80913461538461495</v>
          </cell>
        </row>
        <row r="20">
          <cell r="A20" t="str">
            <v>02.0156</v>
          </cell>
          <cell r="B20">
            <v>156</v>
          </cell>
          <cell r="C20" t="str">
            <v>sanitair</v>
          </cell>
          <cell r="D20" t="str">
            <v>3x per week</v>
          </cell>
          <cell r="E20">
            <v>2.2655769230769232</v>
          </cell>
        </row>
        <row r="21">
          <cell r="A21" t="str">
            <v>02.0255</v>
          </cell>
          <cell r="B21">
            <v>255</v>
          </cell>
          <cell r="C21" t="str">
            <v>sanitair</v>
          </cell>
          <cell r="D21" t="str">
            <v>5 x per week</v>
          </cell>
          <cell r="E21">
            <v>3.236538461538462</v>
          </cell>
        </row>
        <row r="22">
          <cell r="A22" t="str">
            <v>02.0365</v>
          </cell>
          <cell r="B22">
            <v>365</v>
          </cell>
          <cell r="C22" t="str">
            <v>sanitair</v>
          </cell>
          <cell r="D22" t="str">
            <v>7x per week</v>
          </cell>
          <cell r="E22">
            <v>3.236538461538462</v>
          </cell>
          <cell r="G22">
            <v>1.2914423076923076</v>
          </cell>
        </row>
        <row r="23">
          <cell r="A23" t="str">
            <v>02.0730</v>
          </cell>
          <cell r="B23">
            <v>730</v>
          </cell>
          <cell r="C23" t="str">
            <v>sanitair</v>
          </cell>
          <cell r="D23" t="str">
            <v>14x per week</v>
          </cell>
          <cell r="E23">
            <v>3.236538461538462</v>
          </cell>
          <cell r="F23">
            <v>2.2636504120879128</v>
          </cell>
          <cell r="G23">
            <v>1.2914423076923076</v>
          </cell>
          <cell r="H23">
            <v>0.90546016483516523</v>
          </cell>
        </row>
        <row r="24">
          <cell r="A24" t="str">
            <v>03.0000</v>
          </cell>
          <cell r="B24" t="str">
            <v>0</v>
          </cell>
          <cell r="C24" t="str">
            <v>gangen</v>
          </cell>
          <cell r="D24" t="str">
            <v>op afroep</v>
          </cell>
          <cell r="E24">
            <v>8.4951923076923078E-3</v>
          </cell>
        </row>
        <row r="25">
          <cell r="A25" t="str">
            <v>03.0004</v>
          </cell>
          <cell r="B25">
            <v>4</v>
          </cell>
          <cell r="C25" t="str">
            <v>gangen</v>
          </cell>
          <cell r="D25" t="str">
            <v>4x per jaar</v>
          </cell>
          <cell r="E25">
            <v>3.3980769230769231E-2</v>
          </cell>
        </row>
        <row r="26">
          <cell r="A26" t="str">
            <v>03.0012</v>
          </cell>
          <cell r="B26">
            <v>12</v>
          </cell>
          <cell r="C26" t="str">
            <v>gangen</v>
          </cell>
          <cell r="D26" t="str">
            <v>1 x per maand</v>
          </cell>
          <cell r="E26">
            <v>1.7325791855203616E-2</v>
          </cell>
        </row>
        <row r="27">
          <cell r="A27" t="str">
            <v>03.0365</v>
          </cell>
          <cell r="B27">
            <v>365</v>
          </cell>
          <cell r="C27" t="str">
            <v>gangen</v>
          </cell>
          <cell r="D27" t="str">
            <v>7x per week</v>
          </cell>
          <cell r="E27">
            <v>0.3313557692307692</v>
          </cell>
          <cell r="G27">
            <v>0.11740384615384616</v>
          </cell>
        </row>
        <row r="28">
          <cell r="A28" t="str">
            <v>04.0012</v>
          </cell>
          <cell r="B28">
            <v>12</v>
          </cell>
          <cell r="C28" t="str">
            <v>liften</v>
          </cell>
          <cell r="D28" t="str">
            <v>1 x per maand</v>
          </cell>
          <cell r="E28">
            <v>6.6666666666666652E-2</v>
          </cell>
        </row>
        <row r="29">
          <cell r="A29" t="str">
            <v>04.0365</v>
          </cell>
          <cell r="B29">
            <v>365</v>
          </cell>
          <cell r="C29" t="str">
            <v>liften</v>
          </cell>
          <cell r="D29" t="str">
            <v>7x per week</v>
          </cell>
          <cell r="E29">
            <v>1.2749999999999999</v>
          </cell>
          <cell r="G29">
            <v>0.50875000000000004</v>
          </cell>
        </row>
        <row r="30">
          <cell r="A30" t="str">
            <v>05.0004</v>
          </cell>
          <cell r="B30">
            <v>4</v>
          </cell>
          <cell r="C30" t="str">
            <v>trappen</v>
          </cell>
          <cell r="D30" t="str">
            <v>4x per jaar</v>
          </cell>
          <cell r="E30">
            <v>7.4566465753424654E-3</v>
          </cell>
        </row>
        <row r="31">
          <cell r="A31" t="str">
            <v>05.0730b</v>
          </cell>
          <cell r="B31">
            <v>730</v>
          </cell>
          <cell r="C31" t="str">
            <v>trappen Ring en Oostlijn</v>
          </cell>
          <cell r="D31" t="str">
            <v>14x per week</v>
          </cell>
          <cell r="E31">
            <v>0.51031424999999997</v>
          </cell>
          <cell r="F31">
            <v>0.35416666666666663</v>
          </cell>
          <cell r="G31">
            <v>0.15262500000000001</v>
          </cell>
          <cell r="H31">
            <v>0.15277777777777776</v>
          </cell>
        </row>
        <row r="32">
          <cell r="A32" t="str">
            <v>06.0026</v>
          </cell>
          <cell r="B32">
            <v>26</v>
          </cell>
          <cell r="C32" t="str">
            <v>hallen</v>
          </cell>
          <cell r="D32" t="str">
            <v xml:space="preserve">1 x per twee weken </v>
          </cell>
          <cell r="E32">
            <v>5.4932954010953161E-2</v>
          </cell>
        </row>
        <row r="33">
          <cell r="A33" t="str">
            <v>06.0730</v>
          </cell>
          <cell r="B33">
            <v>730</v>
          </cell>
          <cell r="C33" t="str">
            <v>hallen</v>
          </cell>
          <cell r="D33" t="str">
            <v>14x per week</v>
          </cell>
          <cell r="E33">
            <v>0.45137975933740604</v>
          </cell>
          <cell r="F33">
            <v>0.19921875</v>
          </cell>
          <cell r="G33">
            <v>8.4217160369821104E-2</v>
          </cell>
          <cell r="H33">
            <v>8.59375E-2</v>
          </cell>
        </row>
        <row r="34">
          <cell r="A34" t="str">
            <v>06.1095</v>
          </cell>
          <cell r="B34">
            <v>1095</v>
          </cell>
          <cell r="C34" t="str">
            <v>hallen</v>
          </cell>
          <cell r="D34" t="str">
            <v>21x per week</v>
          </cell>
          <cell r="E34">
            <v>0.45137975933740604</v>
          </cell>
          <cell r="F34">
            <v>0.31617297499999997</v>
          </cell>
          <cell r="G34">
            <v>8.4217160369821104E-2</v>
          </cell>
          <cell r="H34">
            <v>0.13638834215686274</v>
          </cell>
        </row>
        <row r="35">
          <cell r="A35" t="str">
            <v>06.1460</v>
          </cell>
          <cell r="B35">
            <v>1460</v>
          </cell>
          <cell r="C35" t="str">
            <v>hallen</v>
          </cell>
          <cell r="D35" t="str">
            <v>28x per week</v>
          </cell>
          <cell r="E35">
            <v>0.45137975933740604</v>
          </cell>
          <cell r="F35">
            <v>0.366069828125</v>
          </cell>
          <cell r="G35">
            <v>8.4217160369821104E-2</v>
          </cell>
          <cell r="H35">
            <v>0.17</v>
          </cell>
        </row>
        <row r="36">
          <cell r="A36" t="str">
            <v>07.0000a</v>
          </cell>
          <cell r="B36" t="str">
            <v>0</v>
          </cell>
          <cell r="C36" t="str">
            <v>technische ruimten</v>
          </cell>
          <cell r="D36" t="str">
            <v xml:space="preserve">op afroep </v>
          </cell>
          <cell r="E36">
            <v>2E-3</v>
          </cell>
        </row>
        <row r="37">
          <cell r="A37" t="str">
            <v>07.0000b</v>
          </cell>
          <cell r="B37" t="str">
            <v>0</v>
          </cell>
          <cell r="C37" t="str">
            <v>technische ruimten</v>
          </cell>
          <cell r="D37" t="str">
            <v xml:space="preserve">op afroep </v>
          </cell>
          <cell r="E37">
            <v>3.6363636363636364E-3</v>
          </cell>
        </row>
        <row r="38">
          <cell r="A38" t="str">
            <v>07.0002</v>
          </cell>
          <cell r="B38">
            <v>2</v>
          </cell>
          <cell r="C38" t="str">
            <v>technische ruimten</v>
          </cell>
          <cell r="D38" t="str">
            <v>2x per jaar</v>
          </cell>
          <cell r="E38">
            <v>4.6153846153846149E-3</v>
          </cell>
        </row>
        <row r="39">
          <cell r="A39" t="str">
            <v>07.0004</v>
          </cell>
          <cell r="B39">
            <v>4</v>
          </cell>
          <cell r="C39" t="str">
            <v>technische ruimten</v>
          </cell>
          <cell r="D39" t="str">
            <v>4x per jaar</v>
          </cell>
          <cell r="E39">
            <v>1.673076923076923E-2</v>
          </cell>
        </row>
        <row r="40">
          <cell r="A40" t="str">
            <v>08.0730</v>
          </cell>
          <cell r="B40">
            <v>730</v>
          </cell>
          <cell r="C40" t="str">
            <v>roltrappen(inclusief aangrenzende bouwdelen)</v>
          </cell>
          <cell r="D40" t="str">
            <v>14x per week</v>
          </cell>
          <cell r="E40">
            <v>1.7006250000000001</v>
          </cell>
          <cell r="F40">
            <v>1.605</v>
          </cell>
          <cell r="G40">
            <v>0.69286290322580646</v>
          </cell>
          <cell r="H40">
            <v>0.6923529411764705</v>
          </cell>
        </row>
        <row r="41">
          <cell r="A41" t="str">
            <v>09.0000a</v>
          </cell>
          <cell r="B41" t="str">
            <v>0</v>
          </cell>
          <cell r="C41" t="str">
            <v>berging/opslag/magazijn</v>
          </cell>
          <cell r="D41" t="str">
            <v xml:space="preserve">op afroep </v>
          </cell>
          <cell r="E41">
            <v>1.3636363636363637E-3</v>
          </cell>
        </row>
        <row r="42">
          <cell r="A42" t="str">
            <v>09.0000b</v>
          </cell>
          <cell r="B42" t="str">
            <v>0</v>
          </cell>
          <cell r="C42" t="str">
            <v>berging/opslag/magazijn</v>
          </cell>
          <cell r="D42" t="str">
            <v xml:space="preserve">op afroep </v>
          </cell>
          <cell r="E42">
            <v>2.142857142857143E-3</v>
          </cell>
        </row>
        <row r="43">
          <cell r="A43" t="str">
            <v>09.0004</v>
          </cell>
          <cell r="B43">
            <v>4</v>
          </cell>
          <cell r="C43" t="str">
            <v>berging/opslag/magazijn</v>
          </cell>
          <cell r="D43" t="str">
            <v>4x per jaar</v>
          </cell>
          <cell r="E43">
            <v>1.2E-2</v>
          </cell>
        </row>
        <row r="44">
          <cell r="A44" t="str">
            <v>09.0012</v>
          </cell>
          <cell r="B44">
            <v>12</v>
          </cell>
          <cell r="C44" t="str">
            <v>berging/opslag/magazijn</v>
          </cell>
          <cell r="D44" t="str">
            <v>12x per jaar</v>
          </cell>
          <cell r="E44">
            <v>2.2499999999999999E-2</v>
          </cell>
        </row>
        <row r="45">
          <cell r="A45" t="str">
            <v>10.0000</v>
          </cell>
          <cell r="B45" t="str">
            <v>0</v>
          </cell>
          <cell r="C45" t="str">
            <v>kantoren/spreekkamers</v>
          </cell>
          <cell r="D45" t="str">
            <v xml:space="preserve">op afroep </v>
          </cell>
          <cell r="E45">
            <v>1.0760869565217393E-2</v>
          </cell>
        </row>
        <row r="46">
          <cell r="A46" t="str">
            <v>10.0004</v>
          </cell>
          <cell r="B46">
            <v>4</v>
          </cell>
          <cell r="C46" t="str">
            <v>kantoren/spreekkamers</v>
          </cell>
          <cell r="D46" t="str">
            <v>4x per jaar</v>
          </cell>
          <cell r="E46">
            <v>4.3043478260869572E-2</v>
          </cell>
        </row>
        <row r="47">
          <cell r="A47" t="str">
            <v>10.0012</v>
          </cell>
          <cell r="B47">
            <v>12</v>
          </cell>
          <cell r="C47" t="str">
            <v>kantoren/spreekkamers</v>
          </cell>
          <cell r="D47" t="str">
            <v>1 x per maand</v>
          </cell>
          <cell r="E47">
            <v>3.6955017301038055E-2</v>
          </cell>
        </row>
        <row r="48">
          <cell r="A48" t="str">
            <v>10.0026</v>
          </cell>
          <cell r="B48">
            <v>26</v>
          </cell>
          <cell r="C48" t="str">
            <v>kantoren/spreekkamers</v>
          </cell>
          <cell r="D48" t="str">
            <v xml:space="preserve">1 x per twee weken </v>
          </cell>
          <cell r="E48">
            <v>7.5620915032679731E-2</v>
          </cell>
        </row>
        <row r="49">
          <cell r="A49" t="str">
            <v>10.0156</v>
          </cell>
          <cell r="B49">
            <v>156</v>
          </cell>
          <cell r="C49" t="str">
            <v>kantoren/spreekkamers</v>
          </cell>
          <cell r="D49" t="str">
            <v>3x per week</v>
          </cell>
          <cell r="E49">
            <v>0.43333333333333335</v>
          </cell>
        </row>
        <row r="50">
          <cell r="A50" t="str">
            <v>10.0255</v>
          </cell>
          <cell r="B50">
            <v>255</v>
          </cell>
          <cell r="C50" t="str">
            <v>kantoren/spreekkamers</v>
          </cell>
          <cell r="D50" t="str">
            <v>5x per week</v>
          </cell>
          <cell r="E50">
            <v>0.66749999999999998</v>
          </cell>
        </row>
        <row r="51">
          <cell r="A51" t="str">
            <v>10.0365</v>
          </cell>
          <cell r="B51">
            <v>365</v>
          </cell>
          <cell r="C51" t="str">
            <v>kantoren/spreekkamers</v>
          </cell>
          <cell r="D51" t="str">
            <v>7x per week</v>
          </cell>
          <cell r="E51">
            <v>0.66749999999999998</v>
          </cell>
          <cell r="G51">
            <v>0.25437500000000002</v>
          </cell>
        </row>
        <row r="52">
          <cell r="A52" t="str">
            <v>10.0730</v>
          </cell>
          <cell r="B52">
            <v>730</v>
          </cell>
          <cell r="C52" t="str">
            <v>kantoren/spreekkamers</v>
          </cell>
          <cell r="D52" t="str">
            <v>14x per week</v>
          </cell>
          <cell r="E52">
            <v>0.66749999999999998</v>
          </cell>
          <cell r="F52">
            <v>0.61743749999999997</v>
          </cell>
          <cell r="G52">
            <v>0.25437500000000002</v>
          </cell>
          <cell r="H52">
            <v>0.25437500000000002</v>
          </cell>
        </row>
        <row r="53">
          <cell r="A53" t="str">
            <v>11.0004</v>
          </cell>
          <cell r="B53">
            <v>4</v>
          </cell>
          <cell r="C53" t="str">
            <v>kleedruimte</v>
          </cell>
          <cell r="D53" t="str">
            <v>4x per jaar</v>
          </cell>
          <cell r="E53">
            <v>4.2000000000000003E-2</v>
          </cell>
        </row>
        <row r="54">
          <cell r="A54" t="str">
            <v>12.0365</v>
          </cell>
          <cell r="B54">
            <v>365</v>
          </cell>
          <cell r="C54" t="str">
            <v>tussenruimte</v>
          </cell>
          <cell r="D54" t="str">
            <v>7x per week</v>
          </cell>
          <cell r="E54">
            <v>0.64832109593023257</v>
          </cell>
          <cell r="G54">
            <v>0.10870596981132075</v>
          </cell>
        </row>
        <row r="55">
          <cell r="A55" t="str">
            <v>13.0000</v>
          </cell>
          <cell r="B55" t="str">
            <v>0</v>
          </cell>
          <cell r="C55" t="str">
            <v>tegelwerk onder taluut</v>
          </cell>
          <cell r="D55" t="str">
            <v xml:space="preserve">op afroep </v>
          </cell>
          <cell r="E55">
            <v>2.5000000000000001E-3</v>
          </cell>
        </row>
        <row r="56">
          <cell r="A56" t="str">
            <v>14.0000</v>
          </cell>
          <cell r="B56" t="str">
            <v>0</v>
          </cell>
          <cell r="C56" t="str">
            <v>tegelwerk technische ruimten</v>
          </cell>
          <cell r="D56" t="str">
            <v xml:space="preserve">op afroep </v>
          </cell>
          <cell r="E56">
            <v>2.5000000000000001E-3</v>
          </cell>
        </row>
        <row r="57">
          <cell r="A57" t="str">
            <v>15.0000</v>
          </cell>
          <cell r="B57" t="str">
            <v>0</v>
          </cell>
          <cell r="C57" t="str">
            <v xml:space="preserve">fietsenstalling </v>
          </cell>
          <cell r="D57" t="str">
            <v>op afroep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00.0000</v>
          </cell>
          <cell r="B58" t="str">
            <v>nvt</v>
          </cell>
          <cell r="C58" t="str">
            <v>niet van toepassing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O9" t="str">
            <v>UREN P/JR     NALOOP</v>
          </cell>
        </row>
        <row r="10">
          <cell r="O10">
            <v>0</v>
          </cell>
        </row>
        <row r="11">
          <cell r="O11">
            <v>11.844000000000001</v>
          </cell>
        </row>
        <row r="12">
          <cell r="O12">
            <v>10.264800000000001</v>
          </cell>
        </row>
        <row r="13">
          <cell r="O13">
            <v>36.321600000000004</v>
          </cell>
        </row>
        <row r="14">
          <cell r="O14">
            <v>11.054400000000001</v>
          </cell>
        </row>
        <row r="15">
          <cell r="O15">
            <v>8.6856000000000027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18.160800000000002</v>
          </cell>
        </row>
        <row r="37">
          <cell r="O37">
            <v>18.160800000000002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4">
          <cell r="O54">
            <v>0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12.24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5.4</v>
          </cell>
        </row>
        <row r="79">
          <cell r="O79">
            <v>5.4</v>
          </cell>
        </row>
        <row r="80">
          <cell r="O80">
            <v>0</v>
          </cell>
        </row>
        <row r="81">
          <cell r="O81">
            <v>10.368000000000002</v>
          </cell>
        </row>
        <row r="82">
          <cell r="O82">
            <v>10.368000000000002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4.9920000000000009</v>
          </cell>
        </row>
        <row r="101">
          <cell r="O101">
            <v>5.3760000000000012</v>
          </cell>
        </row>
        <row r="102">
          <cell r="O102">
            <v>5.3760000000000012</v>
          </cell>
        </row>
        <row r="103">
          <cell r="O103">
            <v>19.968000000000004</v>
          </cell>
        </row>
        <row r="104">
          <cell r="O104">
            <v>24.192000000000004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5.3760000000000012</v>
          </cell>
        </row>
        <row r="121">
          <cell r="O121">
            <v>6.5280000000000005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5.7600000000000016</v>
          </cell>
        </row>
        <row r="135">
          <cell r="O135">
            <v>5.7600000000000016</v>
          </cell>
        </row>
        <row r="136">
          <cell r="O136">
            <v>25.344000000000005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4.9920000000000009</v>
          </cell>
        </row>
        <row r="154">
          <cell r="O154">
            <v>5.3760000000000012</v>
          </cell>
        </row>
        <row r="155">
          <cell r="O155">
            <v>5.3760000000000012</v>
          </cell>
        </row>
        <row r="156">
          <cell r="O156">
            <v>24.192000000000004</v>
          </cell>
        </row>
        <row r="157">
          <cell r="O157">
            <v>0</v>
          </cell>
        </row>
        <row r="158">
          <cell r="O158">
            <v>19.584000000000003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5.7600000000000016</v>
          </cell>
        </row>
        <row r="193">
          <cell r="O193">
            <v>5.7600000000000016</v>
          </cell>
        </row>
        <row r="194">
          <cell r="O194">
            <v>25.728000000000005</v>
          </cell>
        </row>
        <row r="195">
          <cell r="O195">
            <v>4.9920000000000009</v>
          </cell>
        </row>
        <row r="196">
          <cell r="O196">
            <v>4.9920000000000009</v>
          </cell>
        </row>
        <row r="197">
          <cell r="O197">
            <v>35.71200000000001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5.3760000000000012</v>
          </cell>
        </row>
        <row r="203">
          <cell r="O203">
            <v>8.8320000000000007</v>
          </cell>
        </row>
        <row r="204">
          <cell r="O204">
            <v>8.4480000000000022</v>
          </cell>
        </row>
        <row r="205">
          <cell r="O205">
            <v>7.2960000000000012</v>
          </cell>
        </row>
        <row r="206">
          <cell r="O206">
            <v>0</v>
          </cell>
        </row>
        <row r="207">
          <cell r="O207">
            <v>6.1440000000000019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0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4.6080000000000005</v>
          </cell>
        </row>
        <row r="226">
          <cell r="O226">
            <v>0.76800000000000024</v>
          </cell>
        </row>
        <row r="227">
          <cell r="O227">
            <v>0</v>
          </cell>
        </row>
        <row r="228">
          <cell r="O228">
            <v>6.9120000000000026</v>
          </cell>
        </row>
        <row r="229">
          <cell r="O229">
            <v>0</v>
          </cell>
        </row>
        <row r="230">
          <cell r="O230">
            <v>0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0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5.6784000000000008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19.063200000000005</v>
          </cell>
        </row>
        <row r="252">
          <cell r="O252">
            <v>0</v>
          </cell>
        </row>
        <row r="253">
          <cell r="O253">
            <v>11.356800000000002</v>
          </cell>
        </row>
        <row r="254">
          <cell r="O254">
            <v>4.8672000000000004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0</v>
          </cell>
        </row>
        <row r="262">
          <cell r="O262">
            <v>0</v>
          </cell>
        </row>
        <row r="263">
          <cell r="O263">
            <v>4.056</v>
          </cell>
        </row>
        <row r="264">
          <cell r="O264">
            <v>4.056</v>
          </cell>
        </row>
        <row r="265">
          <cell r="O265">
            <v>4.4616000000000007</v>
          </cell>
        </row>
        <row r="266">
          <cell r="O266">
            <v>37.315200000000004</v>
          </cell>
        </row>
        <row r="267">
          <cell r="O267">
            <v>56.378400000000006</v>
          </cell>
        </row>
        <row r="268">
          <cell r="O268">
            <v>4.4616000000000007</v>
          </cell>
        </row>
        <row r="269">
          <cell r="O269">
            <v>4.4616000000000007</v>
          </cell>
        </row>
        <row r="270">
          <cell r="O270">
            <v>0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12.573600000000003</v>
          </cell>
        </row>
        <row r="288">
          <cell r="O288">
            <v>0</v>
          </cell>
        </row>
        <row r="289">
          <cell r="O289">
            <v>0</v>
          </cell>
        </row>
        <row r="290">
          <cell r="O290">
            <v>0</v>
          </cell>
        </row>
        <row r="291">
          <cell r="O291">
            <v>0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0</v>
          </cell>
        </row>
        <row r="296">
          <cell r="O296">
            <v>0</v>
          </cell>
        </row>
        <row r="297">
          <cell r="O297">
            <v>0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10.8</v>
          </cell>
        </row>
        <row r="306">
          <cell r="O306">
            <v>10.8</v>
          </cell>
        </row>
        <row r="307">
          <cell r="O307">
            <v>19.800000000000004</v>
          </cell>
        </row>
        <row r="308">
          <cell r="O308">
            <v>38.700000000000003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9.9000000000000021</v>
          </cell>
        </row>
        <row r="329">
          <cell r="O329">
            <v>11.700000000000003</v>
          </cell>
        </row>
        <row r="330">
          <cell r="O330">
            <v>9.9000000000000021</v>
          </cell>
        </row>
        <row r="331">
          <cell r="O331">
            <v>11.700000000000003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</v>
          </cell>
        </row>
        <row r="343">
          <cell r="O343">
            <v>0</v>
          </cell>
        </row>
        <row r="344">
          <cell r="O344">
            <v>0</v>
          </cell>
        </row>
        <row r="345">
          <cell r="O345">
            <v>0</v>
          </cell>
        </row>
        <row r="346">
          <cell r="O346">
            <v>13.500000000000002</v>
          </cell>
        </row>
        <row r="347">
          <cell r="O347">
            <v>11.700000000000003</v>
          </cell>
        </row>
        <row r="348">
          <cell r="O348">
            <v>11.700000000000003</v>
          </cell>
        </row>
        <row r="349">
          <cell r="O349">
            <v>11.700000000000003</v>
          </cell>
        </row>
        <row r="350">
          <cell r="O350">
            <v>11.700000000000003</v>
          </cell>
        </row>
        <row r="351">
          <cell r="O351">
            <v>11.700000000000003</v>
          </cell>
        </row>
        <row r="352">
          <cell r="O352">
            <v>40.5</v>
          </cell>
        </row>
        <row r="353">
          <cell r="O353">
            <v>12.600000000000001</v>
          </cell>
        </row>
        <row r="354">
          <cell r="O354">
            <v>9.9000000000000021</v>
          </cell>
        </row>
        <row r="355">
          <cell r="O355">
            <v>0</v>
          </cell>
        </row>
        <row r="356">
          <cell r="O356">
            <v>0</v>
          </cell>
        </row>
        <row r="357">
          <cell r="O357">
            <v>0</v>
          </cell>
        </row>
        <row r="358">
          <cell r="O358">
            <v>0</v>
          </cell>
        </row>
        <row r="359">
          <cell r="O359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3.9072000000000009</v>
          </cell>
        </row>
        <row r="364">
          <cell r="O364">
            <v>0</v>
          </cell>
        </row>
        <row r="365">
          <cell r="O365">
            <v>0</v>
          </cell>
        </row>
        <row r="366">
          <cell r="O366">
            <v>0</v>
          </cell>
        </row>
        <row r="367">
          <cell r="O367">
            <v>0</v>
          </cell>
        </row>
        <row r="368">
          <cell r="O368">
            <v>0</v>
          </cell>
        </row>
        <row r="369">
          <cell r="O369">
            <v>0</v>
          </cell>
        </row>
        <row r="370"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O379">
            <v>15.628800000000004</v>
          </cell>
        </row>
        <row r="380">
          <cell r="O380">
            <v>3.9072000000000009</v>
          </cell>
        </row>
        <row r="381">
          <cell r="O381">
            <v>3.9072000000000009</v>
          </cell>
        </row>
        <row r="382">
          <cell r="O382">
            <v>10.656000000000001</v>
          </cell>
        </row>
        <row r="383">
          <cell r="O383">
            <v>3.9072000000000009</v>
          </cell>
        </row>
        <row r="384">
          <cell r="O384">
            <v>3.9072000000000009</v>
          </cell>
        </row>
        <row r="385">
          <cell r="O385">
            <v>19.891200000000001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0</v>
          </cell>
        </row>
        <row r="413">
          <cell r="O413">
            <v>0</v>
          </cell>
        </row>
        <row r="414">
          <cell r="O414">
            <v>6.3936000000000019</v>
          </cell>
        </row>
        <row r="415">
          <cell r="O415">
            <v>22.022400000000005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4.9728000000000003</v>
          </cell>
        </row>
        <row r="425">
          <cell r="O425">
            <v>4.9728000000000003</v>
          </cell>
        </row>
        <row r="426">
          <cell r="O426">
            <v>15.2736</v>
          </cell>
        </row>
        <row r="427">
          <cell r="O427">
            <v>21.667200000000001</v>
          </cell>
        </row>
        <row r="428">
          <cell r="O428">
            <v>0</v>
          </cell>
        </row>
        <row r="429">
          <cell r="O429">
            <v>0</v>
          </cell>
        </row>
        <row r="430">
          <cell r="O430">
            <v>0</v>
          </cell>
        </row>
        <row r="431">
          <cell r="O431">
            <v>0</v>
          </cell>
        </row>
        <row r="432">
          <cell r="O432">
            <v>0</v>
          </cell>
        </row>
        <row r="433">
          <cell r="O433">
            <v>0</v>
          </cell>
        </row>
        <row r="434">
          <cell r="O434">
            <v>0</v>
          </cell>
        </row>
        <row r="435">
          <cell r="O435">
            <v>0</v>
          </cell>
        </row>
        <row r="436">
          <cell r="O436">
            <v>0</v>
          </cell>
        </row>
        <row r="437">
          <cell r="O437">
            <v>0</v>
          </cell>
        </row>
        <row r="438">
          <cell r="O438">
            <v>0</v>
          </cell>
        </row>
        <row r="439">
          <cell r="O439">
            <v>0</v>
          </cell>
        </row>
        <row r="440">
          <cell r="O440">
            <v>0</v>
          </cell>
        </row>
        <row r="441">
          <cell r="O441">
            <v>0</v>
          </cell>
        </row>
        <row r="442">
          <cell r="O442">
            <v>0</v>
          </cell>
        </row>
        <row r="443">
          <cell r="O443">
            <v>0</v>
          </cell>
        </row>
        <row r="444">
          <cell r="O444">
            <v>0</v>
          </cell>
        </row>
        <row r="445">
          <cell r="O445">
            <v>0</v>
          </cell>
        </row>
        <row r="446">
          <cell r="O446">
            <v>0</v>
          </cell>
        </row>
        <row r="447">
          <cell r="O447">
            <v>14.208000000000002</v>
          </cell>
        </row>
        <row r="448">
          <cell r="O448">
            <v>4.2624000000000004</v>
          </cell>
        </row>
        <row r="449">
          <cell r="O449">
            <v>6.0384000000000002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3.9072000000000009</v>
          </cell>
        </row>
        <row r="469">
          <cell r="O469">
            <v>3.9072000000000009</v>
          </cell>
        </row>
        <row r="470">
          <cell r="O470">
            <v>12.787200000000004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3.9072000000000009</v>
          </cell>
        </row>
        <row r="482">
          <cell r="O482">
            <v>3.9072000000000009</v>
          </cell>
        </row>
        <row r="483">
          <cell r="O483">
            <v>11.011200000000002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18.470400000000001</v>
          </cell>
        </row>
        <row r="487">
          <cell r="O487">
            <v>3.5520000000000005</v>
          </cell>
        </row>
        <row r="488">
          <cell r="O488">
            <v>3.196800000000001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6.3936000000000019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21.667200000000001</v>
          </cell>
        </row>
        <row r="508">
          <cell r="O508">
            <v>3.9072000000000009</v>
          </cell>
        </row>
        <row r="509">
          <cell r="O509">
            <v>3.9072000000000009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7.4592000000000009</v>
          </cell>
        </row>
        <row r="524">
          <cell r="O524">
            <v>5.3280000000000003</v>
          </cell>
        </row>
        <row r="525">
          <cell r="O525">
            <v>5.6832000000000011</v>
          </cell>
        </row>
        <row r="526">
          <cell r="O526">
            <v>6.748800000000001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11.587199999999999</v>
          </cell>
        </row>
        <row r="576">
          <cell r="O576">
            <v>0</v>
          </cell>
        </row>
        <row r="577">
          <cell r="O577">
            <v>14.654399999999999</v>
          </cell>
        </row>
        <row r="578">
          <cell r="O578">
            <v>15.6768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23.515200000000004</v>
          </cell>
        </row>
        <row r="592">
          <cell r="O592">
            <v>18.744000000000003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36.465600000000002</v>
          </cell>
        </row>
        <row r="617">
          <cell r="O617">
            <v>13.632000000000001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20.107200000000006</v>
          </cell>
        </row>
        <row r="631">
          <cell r="O631">
            <v>26.923200000000005</v>
          </cell>
        </row>
        <row r="632">
          <cell r="O632">
            <v>5.7935999999999996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36.465600000000002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11.587199999999999</v>
          </cell>
        </row>
        <row r="675">
          <cell r="O675">
            <v>25.219200000000004</v>
          </cell>
        </row>
        <row r="676">
          <cell r="O676">
            <v>5.7935999999999996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35.10240000000001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11.587199999999999</v>
          </cell>
        </row>
        <row r="707">
          <cell r="O707">
            <v>25.219200000000004</v>
          </cell>
        </row>
        <row r="708">
          <cell r="O708">
            <v>5.7935999999999996</v>
          </cell>
        </row>
        <row r="709">
          <cell r="O709">
            <v>0</v>
          </cell>
        </row>
        <row r="710">
          <cell r="O710">
            <v>0</v>
          </cell>
        </row>
        <row r="711">
          <cell r="O711">
            <v>0</v>
          </cell>
        </row>
        <row r="712">
          <cell r="O712">
            <v>0</v>
          </cell>
        </row>
        <row r="713">
          <cell r="O713">
            <v>0</v>
          </cell>
        </row>
        <row r="714">
          <cell r="O714">
            <v>0</v>
          </cell>
        </row>
        <row r="715">
          <cell r="O715">
            <v>0</v>
          </cell>
        </row>
        <row r="716">
          <cell r="O716">
            <v>0</v>
          </cell>
        </row>
        <row r="717">
          <cell r="O717">
            <v>0</v>
          </cell>
        </row>
        <row r="718">
          <cell r="O718">
            <v>0</v>
          </cell>
        </row>
        <row r="719">
          <cell r="O719">
            <v>0</v>
          </cell>
        </row>
        <row r="720">
          <cell r="O720">
            <v>0</v>
          </cell>
        </row>
        <row r="721">
          <cell r="O721">
            <v>0</v>
          </cell>
        </row>
        <row r="722">
          <cell r="O722">
            <v>0</v>
          </cell>
        </row>
        <row r="723">
          <cell r="O723">
            <v>0</v>
          </cell>
        </row>
        <row r="724">
          <cell r="O724">
            <v>0</v>
          </cell>
        </row>
        <row r="725">
          <cell r="O725">
            <v>0</v>
          </cell>
        </row>
        <row r="726">
          <cell r="O726">
            <v>0</v>
          </cell>
        </row>
        <row r="727">
          <cell r="O727">
            <v>0</v>
          </cell>
        </row>
        <row r="728">
          <cell r="O728">
            <v>0</v>
          </cell>
        </row>
        <row r="729">
          <cell r="O729">
            <v>13.3848</v>
          </cell>
        </row>
        <row r="730">
          <cell r="O730">
            <v>7.3008000000000015</v>
          </cell>
        </row>
        <row r="731">
          <cell r="O731">
            <v>7.3008000000000015</v>
          </cell>
        </row>
        <row r="732">
          <cell r="O732">
            <v>7.3008000000000015</v>
          </cell>
        </row>
        <row r="733">
          <cell r="O733">
            <v>7.3008000000000015</v>
          </cell>
        </row>
        <row r="734">
          <cell r="O734">
            <v>15.818400000000002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5.272800000000001</v>
          </cell>
        </row>
        <row r="746">
          <cell r="O746">
            <v>6.4896000000000011</v>
          </cell>
        </row>
        <row r="747">
          <cell r="O747">
            <v>5.272800000000001</v>
          </cell>
        </row>
        <row r="748">
          <cell r="O748">
            <v>6.4896000000000011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3.6504000000000008</v>
          </cell>
        </row>
        <row r="755">
          <cell r="O755">
            <v>4.4616000000000007</v>
          </cell>
        </row>
        <row r="756">
          <cell r="O756">
            <v>0</v>
          </cell>
        </row>
        <row r="757">
          <cell r="O757">
            <v>7.3008000000000015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7.3008000000000015</v>
          </cell>
        </row>
        <row r="765">
          <cell r="O765">
            <v>7.3008000000000015</v>
          </cell>
        </row>
        <row r="766">
          <cell r="O766">
            <v>7.3008000000000015</v>
          </cell>
        </row>
        <row r="767">
          <cell r="O767">
            <v>7.3008000000000015</v>
          </cell>
        </row>
        <row r="768">
          <cell r="O768">
            <v>15.818400000000002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5.272800000000001</v>
          </cell>
        </row>
        <row r="781">
          <cell r="O781">
            <v>6.4896000000000011</v>
          </cell>
        </row>
        <row r="782">
          <cell r="O782">
            <v>5.272800000000001</v>
          </cell>
        </row>
        <row r="783">
          <cell r="O783">
            <v>6.4896000000000011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9.3288000000000011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25.080000000000002</v>
          </cell>
        </row>
        <row r="817">
          <cell r="O817">
            <v>25.740000000000002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7.2600000000000016</v>
          </cell>
        </row>
        <row r="822">
          <cell r="O822">
            <v>7.2600000000000016</v>
          </cell>
        </row>
        <row r="823">
          <cell r="O823">
            <v>8.5800000000000018</v>
          </cell>
        </row>
        <row r="824">
          <cell r="O824">
            <v>0</v>
          </cell>
        </row>
        <row r="825">
          <cell r="O825">
            <v>122.10000000000002</v>
          </cell>
        </row>
        <row r="826">
          <cell r="O826">
            <v>9.9000000000000021</v>
          </cell>
        </row>
        <row r="827">
          <cell r="O827">
            <v>0</v>
          </cell>
        </row>
        <row r="828">
          <cell r="O828">
            <v>23.100000000000005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11.22</v>
          </cell>
        </row>
        <row r="849">
          <cell r="O849">
            <v>22.44</v>
          </cell>
        </row>
        <row r="850">
          <cell r="O850">
            <v>44.88</v>
          </cell>
        </row>
        <row r="851">
          <cell r="O851">
            <v>8.5800000000000018</v>
          </cell>
        </row>
        <row r="852">
          <cell r="O852">
            <v>8.5800000000000018</v>
          </cell>
        </row>
        <row r="853">
          <cell r="O853">
            <v>34.320000000000007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0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8">
          <cell r="O918">
            <v>0</v>
          </cell>
        </row>
        <row r="919">
          <cell r="O919">
            <v>0</v>
          </cell>
        </row>
        <row r="920">
          <cell r="O920">
            <v>0</v>
          </cell>
        </row>
        <row r="921">
          <cell r="O921">
            <v>0</v>
          </cell>
        </row>
        <row r="922">
          <cell r="O922">
            <v>0</v>
          </cell>
        </row>
        <row r="923">
          <cell r="O923">
            <v>0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0">
          <cell r="O930">
            <v>0</v>
          </cell>
        </row>
        <row r="931">
          <cell r="O931">
            <v>0</v>
          </cell>
        </row>
        <row r="932">
          <cell r="O932">
            <v>0</v>
          </cell>
        </row>
        <row r="933">
          <cell r="O933">
            <v>0</v>
          </cell>
        </row>
        <row r="934">
          <cell r="O934">
            <v>0</v>
          </cell>
        </row>
        <row r="935">
          <cell r="O935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0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0</v>
          </cell>
        </row>
        <row r="943">
          <cell r="O943">
            <v>0</v>
          </cell>
        </row>
        <row r="944">
          <cell r="O944">
            <v>0</v>
          </cell>
        </row>
        <row r="945">
          <cell r="O945">
            <v>0</v>
          </cell>
        </row>
        <row r="946">
          <cell r="O946">
            <v>0</v>
          </cell>
        </row>
        <row r="947">
          <cell r="O947">
            <v>0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0</v>
          </cell>
        </row>
        <row r="1033">
          <cell r="O1033">
            <v>0</v>
          </cell>
        </row>
        <row r="1034">
          <cell r="O1034">
            <v>0</v>
          </cell>
        </row>
        <row r="1035">
          <cell r="O1035">
            <v>0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0</v>
          </cell>
        </row>
        <row r="1044">
          <cell r="O1044">
            <v>0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0</v>
          </cell>
        </row>
        <row r="1071">
          <cell r="O1071">
            <v>0</v>
          </cell>
        </row>
        <row r="1072">
          <cell r="O1072">
            <v>0</v>
          </cell>
        </row>
        <row r="1073">
          <cell r="O1073">
            <v>0</v>
          </cell>
        </row>
        <row r="1074">
          <cell r="O1074">
            <v>0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0</v>
          </cell>
        </row>
        <row r="1078">
          <cell r="O1078">
            <v>0</v>
          </cell>
        </row>
        <row r="1079">
          <cell r="O1079">
            <v>0</v>
          </cell>
        </row>
        <row r="1080">
          <cell r="O1080">
            <v>0</v>
          </cell>
        </row>
        <row r="1081">
          <cell r="O1081">
            <v>0</v>
          </cell>
        </row>
        <row r="1082">
          <cell r="O1082">
            <v>0</v>
          </cell>
        </row>
        <row r="1083">
          <cell r="O1083">
            <v>0</v>
          </cell>
        </row>
        <row r="1084">
          <cell r="O1084">
            <v>0</v>
          </cell>
        </row>
        <row r="1085">
          <cell r="O1085">
            <v>0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0</v>
          </cell>
        </row>
        <row r="1089">
          <cell r="O1089">
            <v>0</v>
          </cell>
        </row>
        <row r="1090">
          <cell r="O1090">
            <v>0</v>
          </cell>
        </row>
        <row r="1091">
          <cell r="O1091">
            <v>0</v>
          </cell>
        </row>
        <row r="1092">
          <cell r="O1092">
            <v>0</v>
          </cell>
        </row>
        <row r="1093">
          <cell r="O1093">
            <v>0</v>
          </cell>
        </row>
        <row r="1094">
          <cell r="O1094">
            <v>0</v>
          </cell>
        </row>
        <row r="1095">
          <cell r="O1095">
            <v>0</v>
          </cell>
        </row>
        <row r="1096">
          <cell r="O1096">
            <v>0</v>
          </cell>
        </row>
        <row r="1097">
          <cell r="O1097">
            <v>0</v>
          </cell>
        </row>
        <row r="1098">
          <cell r="O1098">
            <v>0</v>
          </cell>
        </row>
        <row r="1099">
          <cell r="O1099">
            <v>0</v>
          </cell>
        </row>
        <row r="1100">
          <cell r="O1100">
            <v>0</v>
          </cell>
        </row>
        <row r="1101">
          <cell r="O1101">
            <v>0</v>
          </cell>
        </row>
        <row r="1102">
          <cell r="O1102">
            <v>0</v>
          </cell>
        </row>
        <row r="1103">
          <cell r="O1103">
            <v>0</v>
          </cell>
        </row>
        <row r="1104">
          <cell r="O1104">
            <v>0</v>
          </cell>
        </row>
        <row r="1105">
          <cell r="O1105">
            <v>0</v>
          </cell>
        </row>
        <row r="1106">
          <cell r="O1106">
            <v>0</v>
          </cell>
        </row>
        <row r="1107">
          <cell r="O1107">
            <v>0</v>
          </cell>
        </row>
        <row r="1108">
          <cell r="O1108">
            <v>0</v>
          </cell>
        </row>
        <row r="1109">
          <cell r="O1109">
            <v>0</v>
          </cell>
        </row>
        <row r="1110">
          <cell r="O1110">
            <v>0</v>
          </cell>
        </row>
        <row r="1111">
          <cell r="O1111">
            <v>0</v>
          </cell>
        </row>
        <row r="1112">
          <cell r="O1112">
            <v>0</v>
          </cell>
        </row>
        <row r="1113">
          <cell r="O1113">
            <v>0</v>
          </cell>
        </row>
        <row r="1114">
          <cell r="O1114">
            <v>0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18">
          <cell r="O1118">
            <v>0</v>
          </cell>
        </row>
        <row r="1119">
          <cell r="O1119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6">
          <cell r="O1126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6">
          <cell r="O1136">
            <v>0</v>
          </cell>
        </row>
        <row r="1137">
          <cell r="O1137">
            <v>0</v>
          </cell>
        </row>
        <row r="1138">
          <cell r="O1138">
            <v>0</v>
          </cell>
        </row>
        <row r="1139">
          <cell r="O1139">
            <v>0</v>
          </cell>
        </row>
        <row r="1140">
          <cell r="O1140">
            <v>0</v>
          </cell>
        </row>
        <row r="1141">
          <cell r="O1141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8">
          <cell r="O1148">
            <v>0</v>
          </cell>
        </row>
        <row r="1149">
          <cell r="O1149">
            <v>0</v>
          </cell>
        </row>
        <row r="1150">
          <cell r="O1150">
            <v>0</v>
          </cell>
        </row>
        <row r="1151">
          <cell r="O1151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0">
          <cell r="O1160">
            <v>0</v>
          </cell>
        </row>
        <row r="1161">
          <cell r="O1161">
            <v>0</v>
          </cell>
        </row>
        <row r="1162">
          <cell r="O1162">
            <v>0</v>
          </cell>
        </row>
        <row r="1163">
          <cell r="O1163">
            <v>0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0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0</v>
          </cell>
        </row>
        <row r="1170">
          <cell r="O1170">
            <v>0</v>
          </cell>
        </row>
        <row r="1171">
          <cell r="O1171">
            <v>0</v>
          </cell>
        </row>
        <row r="1172">
          <cell r="O1172">
            <v>0</v>
          </cell>
        </row>
        <row r="1173">
          <cell r="O1173">
            <v>0</v>
          </cell>
        </row>
        <row r="1174">
          <cell r="O1174">
            <v>0</v>
          </cell>
        </row>
        <row r="1175">
          <cell r="O1175">
            <v>0</v>
          </cell>
        </row>
        <row r="1176">
          <cell r="O1176">
            <v>0</v>
          </cell>
        </row>
        <row r="1177">
          <cell r="O1177">
            <v>0</v>
          </cell>
        </row>
        <row r="1178">
          <cell r="O1178">
            <v>0</v>
          </cell>
        </row>
        <row r="1179">
          <cell r="O1179">
            <v>0</v>
          </cell>
        </row>
        <row r="1180">
          <cell r="O1180">
            <v>0</v>
          </cell>
        </row>
        <row r="1181">
          <cell r="O1181">
            <v>0</v>
          </cell>
        </row>
        <row r="1182">
          <cell r="O1182">
            <v>0</v>
          </cell>
        </row>
        <row r="1183">
          <cell r="O1183">
            <v>0</v>
          </cell>
        </row>
        <row r="1184">
          <cell r="O1184">
            <v>0</v>
          </cell>
        </row>
        <row r="1185">
          <cell r="O1185">
            <v>0</v>
          </cell>
        </row>
        <row r="1186">
          <cell r="O1186">
            <v>0</v>
          </cell>
        </row>
        <row r="1187">
          <cell r="O1187">
            <v>0</v>
          </cell>
        </row>
        <row r="1188">
          <cell r="O1188">
            <v>0</v>
          </cell>
        </row>
        <row r="1189">
          <cell r="O1189">
            <v>0</v>
          </cell>
        </row>
        <row r="1190">
          <cell r="O1190">
            <v>0</v>
          </cell>
        </row>
        <row r="1191">
          <cell r="O1191">
            <v>0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0</v>
          </cell>
        </row>
        <row r="1195">
          <cell r="O1195">
            <v>0</v>
          </cell>
        </row>
        <row r="1196">
          <cell r="O1196">
            <v>0</v>
          </cell>
        </row>
        <row r="1197">
          <cell r="O1197">
            <v>0</v>
          </cell>
        </row>
        <row r="1198">
          <cell r="O1198">
            <v>0</v>
          </cell>
        </row>
        <row r="1199">
          <cell r="O1199">
            <v>0</v>
          </cell>
        </row>
        <row r="1200">
          <cell r="O1200">
            <v>0</v>
          </cell>
        </row>
        <row r="1201">
          <cell r="O1201">
            <v>0</v>
          </cell>
        </row>
        <row r="1202">
          <cell r="O1202">
            <v>0</v>
          </cell>
        </row>
        <row r="1203">
          <cell r="O1203">
            <v>0</v>
          </cell>
        </row>
        <row r="1204">
          <cell r="O1204">
            <v>0</v>
          </cell>
        </row>
        <row r="1205">
          <cell r="O1205">
            <v>0</v>
          </cell>
        </row>
        <row r="1206">
          <cell r="O1206">
            <v>0</v>
          </cell>
        </row>
        <row r="1207">
          <cell r="O1207">
            <v>0</v>
          </cell>
        </row>
        <row r="1208">
          <cell r="O1208">
            <v>0</v>
          </cell>
        </row>
        <row r="1209">
          <cell r="O1209">
            <v>0</v>
          </cell>
        </row>
        <row r="1210">
          <cell r="O1210">
            <v>0</v>
          </cell>
        </row>
        <row r="1211">
          <cell r="O1211">
            <v>0</v>
          </cell>
        </row>
        <row r="1212">
          <cell r="O1212">
            <v>0</v>
          </cell>
        </row>
        <row r="1213">
          <cell r="O1213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1"/>
      <sheetName val="Contract Price"/>
      <sheetName val="Schedule 10"/>
      <sheetName val="Schedule 9"/>
      <sheetName val="Schedule 8 prt2"/>
      <sheetName val="Schedule 8"/>
      <sheetName val="Redundy"/>
      <sheetName val="AREAS"/>
      <sheetName val="Data"/>
      <sheetName val="BG1"/>
      <sheetName val="BG2"/>
      <sheetName val="BG3"/>
      <sheetName val="BG4"/>
      <sheetName val="BG5"/>
      <sheetName val="BG6"/>
      <sheetName val="SG1"/>
      <sheetName val="SG2"/>
      <sheetName val="SG3"/>
      <sheetName val="SG4"/>
      <sheetName val="SG5"/>
      <sheetName val="SG6"/>
      <sheetName val="Managers"/>
      <sheetName val="Labour Costs"/>
      <sheetName val="Part 1 Costs"/>
      <sheetName val="Part 2 Costs"/>
      <sheetName val="Part 1"/>
      <sheetName val="Client Spreadsheet"/>
      <sheetName val="Adds to Tender"/>
      <sheetName val="Consumables"/>
      <sheetName val="Contents"/>
      <sheetName val="Differentials "/>
      <sheetName val="Equip &amp; Mats"/>
      <sheetName val="Lab Cost Anal"/>
      <sheetName val="Lab Alloc &amp; Deploy "/>
      <sheetName val="Man Fee"/>
      <sheetName val="Sched of Rates"/>
      <sheetName val="Periodicals "/>
      <sheetName val="ROSTER "/>
      <sheetName val="Part 2"/>
      <sheetName val="Schedule_11"/>
      <sheetName val="Contract_Price"/>
      <sheetName val="Schedule_10"/>
      <sheetName val="Schedule_9"/>
      <sheetName val="Schedule_8_prt2"/>
      <sheetName val="Schedule_8"/>
      <sheetName val="Labour_Costs"/>
      <sheetName val="Part_1_Costs"/>
      <sheetName val="Part_2_Costs"/>
      <sheetName val="Part_1"/>
      <sheetName val="Client_Spreadsheet"/>
      <sheetName val="Adds_to_Tender"/>
      <sheetName val="Differentials_"/>
      <sheetName val="Equip_&amp;_Mats"/>
      <sheetName val="Lab_Cost_Anal"/>
      <sheetName val="Lab_Alloc_&amp;_Deploy_"/>
      <sheetName val="Man_Fee"/>
      <sheetName val="Sched_of_Rates"/>
      <sheetName val="Periodicals_"/>
      <sheetName val="ROSTER_"/>
      <sheetName val="Part_2"/>
      <sheetName val="Schedule_111"/>
      <sheetName val="Contract_Price1"/>
      <sheetName val="Schedule_101"/>
      <sheetName val="Schedule_91"/>
      <sheetName val="Schedule_8_prt21"/>
      <sheetName val="Schedule_81"/>
      <sheetName val="Labour_Costs1"/>
      <sheetName val="Part_1_Costs1"/>
      <sheetName val="Part_2_Costs1"/>
      <sheetName val="Part_11"/>
      <sheetName val="Client_Spreadsheet1"/>
      <sheetName val="Adds_to_Tender1"/>
      <sheetName val="Differentials_1"/>
      <sheetName val="Equip_&amp;_Mats1"/>
      <sheetName val="Lab_Cost_Anal1"/>
      <sheetName val="Lab_Alloc_&amp;_Deploy_1"/>
      <sheetName val="Man_Fee1"/>
      <sheetName val="Sched_of_Rates1"/>
      <sheetName val="Periodicals_1"/>
      <sheetName val="ROSTER_1"/>
      <sheetName val="Part_21"/>
      <sheetName val="Expense Listing"/>
      <sheetName val="Schedule_113"/>
      <sheetName val="Contract_Price2"/>
      <sheetName val="Schedule_102"/>
      <sheetName val="Schedule_92"/>
      <sheetName val="Schedule_8_prt22"/>
      <sheetName val="Schedule_82"/>
      <sheetName val="Labour_Costs2"/>
      <sheetName val="Part_1_Costs2"/>
      <sheetName val="Part_2_Costs2"/>
      <sheetName val="Part_12"/>
      <sheetName val="Client_Spreadsheet2"/>
      <sheetName val="Adds_to_Tender2"/>
      <sheetName val="Differentials_2"/>
      <sheetName val="Equip_&amp;_Mats2"/>
      <sheetName val="Lab_Cost_Anal2"/>
      <sheetName val="Lab_Alloc_&amp;_Deploy_2"/>
      <sheetName val="Man_Fee2"/>
      <sheetName val="Sched_of_Rates2"/>
      <sheetName val="Periodicals_2"/>
      <sheetName val="ROSTER_2"/>
      <sheetName val="Part_22"/>
      <sheetName val="Schedule_1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hard kopie tbv import"/>
      <sheetName val="2 hard kopie tbv import (2)"/>
      <sheetName val="1 pccl import Simis"/>
      <sheetName val="vloerafwerkingen"/>
      <sheetName val="2 pcclean calc overzicht"/>
      <sheetName val="SCS afroep "/>
      <sheetName val="SCS m² uur"/>
      <sheetName val="freq vloer"/>
      <sheetName val="Basis informatie"/>
      <sheetName val="Aanbieding"/>
      <sheetName val="budget versus calc"/>
      <sheetName val="Financial model "/>
      <sheetName val="Begroting 1"/>
      <sheetName val="P &amp; L 1"/>
      <sheetName val="verrekentarief"/>
      <sheetName val="Blad1"/>
      <sheetName val="Tarief 2013"/>
      <sheetName val="3 calculatie"/>
      <sheetName val="kengetallen"/>
      <sheetName val="kosten overzicht"/>
      <sheetName val="normen Osira"/>
      <sheetName val="ruimte code C &amp; C"/>
      <sheetName val="Ruimte code"/>
      <sheetName val="simiss"/>
      <sheetName val="Contract details"/>
      <sheetName val="additioneel werk"/>
      <sheetName val="Medewerkers"/>
      <sheetName val="calc vs medw uren"/>
      <sheetName val="lokatie@geen id "/>
      <sheetName val="Lokatie overzicht"/>
      <sheetName val="Voeronderhouden"/>
      <sheetName val="glas m2"/>
      <sheetName val="Blad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C1" t="str">
            <v>Klantnaam en/ of nr.</v>
          </cell>
          <cell r="D1" t="str">
            <v>Adres</v>
          </cell>
          <cell r="E1" t="str">
            <v>Plaats</v>
          </cell>
        </row>
        <row r="2">
          <cell r="C2" t="str">
            <v>101.Centraal kantoor</v>
          </cell>
          <cell r="D2" t="str">
            <v>Badweg 4</v>
          </cell>
          <cell r="E2" t="str">
            <v>Leeuwarden</v>
          </cell>
        </row>
        <row r="3">
          <cell r="C3" t="str">
            <v>130.Gezinshuis</v>
          </cell>
          <cell r="D3" t="str">
            <v>Iepensteinlaan 10</v>
          </cell>
          <cell r="E3" t="str">
            <v>Joure</v>
          </cell>
        </row>
        <row r="4">
          <cell r="C4" t="str">
            <v>150.Behandelcentrum Woodbrookers</v>
          </cell>
          <cell r="D4" t="str">
            <v>Boerestreek 22-24</v>
          </cell>
          <cell r="E4" t="str">
            <v>Drachten</v>
          </cell>
        </row>
        <row r="5">
          <cell r="C5" t="str">
            <v>200.Regiokantoor West</v>
          </cell>
          <cell r="D5" t="str">
            <v>Hemdijk 16</v>
          </cell>
          <cell r="E5" t="str">
            <v>Sneek</v>
          </cell>
        </row>
        <row r="6">
          <cell r="C6" t="str">
            <v>201.Basishuys West</v>
          </cell>
          <cell r="D6" t="str">
            <v xml:space="preserve">Hemdijk 27 </v>
          </cell>
          <cell r="E6" t="str">
            <v>Sneek</v>
          </cell>
        </row>
        <row r="7">
          <cell r="C7" t="str">
            <v>202.MOD de Reinboge</v>
          </cell>
          <cell r="D7" t="str">
            <v>Molenkrite 234</v>
          </cell>
          <cell r="E7" t="str">
            <v>Sneek</v>
          </cell>
        </row>
        <row r="8">
          <cell r="C8" t="str">
            <v>220.De Twisken</v>
          </cell>
          <cell r="D8" t="str">
            <v>Tussendyken 1</v>
          </cell>
          <cell r="E8" t="str">
            <v>Burgum</v>
          </cell>
        </row>
        <row r="9">
          <cell r="C9" t="str">
            <v>300.Regiokantoor Oost</v>
          </cell>
          <cell r="D9" t="str">
            <v>Berglaan 60</v>
          </cell>
          <cell r="E9" t="str">
            <v>Drachten</v>
          </cell>
        </row>
        <row r="10">
          <cell r="C10" t="str">
            <v>301.Leefgroep de Flevo</v>
          </cell>
          <cell r="D10" t="str">
            <v>De Bank 1</v>
          </cell>
          <cell r="E10" t="str">
            <v>Drachten</v>
          </cell>
        </row>
        <row r="11">
          <cell r="C11" t="str">
            <v>302.Basishuys Paradyske</v>
          </cell>
          <cell r="D11" t="str">
            <v>Paradyske 6</v>
          </cell>
          <cell r="E11" t="str">
            <v>Drachten</v>
          </cell>
        </row>
        <row r="12">
          <cell r="C12" t="str">
            <v>303.ORB OJ behandelgroep (de Twirre)</v>
          </cell>
          <cell r="D12" t="str">
            <v>Langewijk 273</v>
          </cell>
          <cell r="E12" t="str">
            <v>Drachten</v>
          </cell>
        </row>
        <row r="13">
          <cell r="C13" t="str">
            <v>304.Crisisinterventie</v>
          </cell>
          <cell r="D13" t="str">
            <v>Hagewijk 65</v>
          </cell>
          <cell r="E13" t="str">
            <v>Drachten</v>
          </cell>
        </row>
        <row r="14">
          <cell r="C14" t="str">
            <v>305.Kamertraining Flevo Plus</v>
          </cell>
          <cell r="D14" t="str">
            <v>De Bank 1a</v>
          </cell>
          <cell r="E14" t="str">
            <v>Drachten</v>
          </cell>
        </row>
        <row r="15">
          <cell r="C15" t="str">
            <v>306.MOD De Lytse Walden</v>
          </cell>
          <cell r="D15" t="str">
            <v>De Lanen 98</v>
          </cell>
          <cell r="E15" t="str">
            <v>Drachten</v>
          </cell>
        </row>
        <row r="16">
          <cell r="C16" t="str">
            <v>312.Kamertraining</v>
          </cell>
          <cell r="D16" t="str">
            <v>Zetveld 6-8</v>
          </cell>
          <cell r="E16" t="str">
            <v>Heerenveen</v>
          </cell>
        </row>
        <row r="17">
          <cell r="C17" t="str">
            <v>317.Boddaert</v>
          </cell>
          <cell r="D17" t="str">
            <v>De Hunze 42</v>
          </cell>
          <cell r="E17" t="str">
            <v>Drachten</v>
          </cell>
        </row>
        <row r="18">
          <cell r="C18" t="str">
            <v>320.IGH Gezinshuis</v>
          </cell>
          <cell r="D18" t="str">
            <v>Boerestreek 3</v>
          </cell>
          <cell r="E18" t="str">
            <v>Lippenhuizen</v>
          </cell>
        </row>
        <row r="19">
          <cell r="C19" t="str">
            <v>400.Regiokantoor Noord</v>
          </cell>
          <cell r="D19" t="str">
            <v>Tesselschadestraat 29</v>
          </cell>
          <cell r="E19" t="str">
            <v>Leeuwarden</v>
          </cell>
        </row>
        <row r="20">
          <cell r="C20" t="str">
            <v>402 &amp; 404.Kamertraining Noord en Leefgroep de Balder</v>
          </cell>
          <cell r="D20" t="str">
            <v>Albert Schweitzerstraat 50 - 50b</v>
          </cell>
          <cell r="E20" t="str">
            <v>Leeuwarden</v>
          </cell>
        </row>
        <row r="21">
          <cell r="C21" t="str">
            <v>403 &amp; 405.Kamertraining 3 Noord en Leefgroep Hector Treub</v>
          </cell>
          <cell r="D21" t="str">
            <v>Hector Treubstraat 10</v>
          </cell>
          <cell r="E21" t="str">
            <v>Leeuwarden</v>
          </cell>
        </row>
        <row r="22">
          <cell r="C22" t="str">
            <v>406.Basishuys Noord</v>
          </cell>
          <cell r="D22" t="str">
            <v>De Ruyterweg 66-68</v>
          </cell>
          <cell r="E22" t="str">
            <v>Leeuwarden</v>
          </cell>
        </row>
        <row r="23">
          <cell r="C23" t="str">
            <v>411.MOD It Hofke</v>
          </cell>
          <cell r="D23" t="str">
            <v>J.H. Knoopstraat</v>
          </cell>
          <cell r="E23" t="str">
            <v>Leeuwarden</v>
          </cell>
        </row>
        <row r="24">
          <cell r="C24" t="str">
            <v>414.Leefgroep Vesta</v>
          </cell>
          <cell r="D24" t="str">
            <v>Kalmoes 49-51</v>
          </cell>
          <cell r="E24" t="str">
            <v>Leeuwarden</v>
          </cell>
        </row>
        <row r="25">
          <cell r="C25" t="str">
            <v>420.MOD De Bernebrege</v>
          </cell>
          <cell r="D25" t="str">
            <v>Parklaan 4</v>
          </cell>
          <cell r="E25" t="str">
            <v>Dokkum</v>
          </cell>
        </row>
        <row r="26">
          <cell r="C26" t="str">
            <v>430.ORB OJ behandelgroep</v>
          </cell>
          <cell r="D26" t="str">
            <v>Orxmasingel 12</v>
          </cell>
          <cell r="E26" t="str">
            <v>Menaldum</v>
          </cell>
        </row>
        <row r="27">
          <cell r="C27" t="str">
            <v>Denk</v>
          </cell>
          <cell r="D27" t="str">
            <v xml:space="preserve">Zuidergrachtswal 3 8933 AD </v>
          </cell>
          <cell r="E27" t="str">
            <v>Leeuwarden</v>
          </cell>
        </row>
        <row r="28">
          <cell r="C28" t="str">
            <v>Hegewier</v>
          </cell>
          <cell r="D28" t="str">
            <v xml:space="preserve">Sixmastraat 2 8932 PA </v>
          </cell>
          <cell r="E28" t="str">
            <v>Leeuwarden</v>
          </cell>
        </row>
        <row r="29">
          <cell r="C29" t="str">
            <v>Jelgerhuis</v>
          </cell>
          <cell r="D29" t="str">
            <v>Borniastraat 34B 8934 AD</v>
          </cell>
          <cell r="E29" t="str">
            <v>Leeuwarden</v>
          </cell>
        </row>
        <row r="30">
          <cell r="C30" t="str">
            <v>PCN Noordvliet</v>
          </cell>
          <cell r="D30" t="str">
            <v xml:space="preserve">Noordvliet 37 8921 GD </v>
          </cell>
          <cell r="E30" t="str">
            <v>Leeuwarden</v>
          </cell>
        </row>
        <row r="31">
          <cell r="C31" t="str">
            <v>Sixmastraat 1</v>
          </cell>
          <cell r="D31" t="str">
            <v xml:space="preserve">Sixmastraat 1, 8932 PA </v>
          </cell>
          <cell r="E31" t="str">
            <v>Leeuwarden</v>
          </cell>
        </row>
        <row r="32">
          <cell r="C32" t="str">
            <v>Tadingastraat 5-1</v>
          </cell>
          <cell r="D32" t="str">
            <v xml:space="preserve">Tadingastraat 5, 8932 PA </v>
          </cell>
          <cell r="E32" t="str">
            <v>Leeuwarden</v>
          </cell>
        </row>
        <row r="33">
          <cell r="C33" t="str">
            <v>Antoniusziekenhuis</v>
          </cell>
          <cell r="D33" t="str">
            <v xml:space="preserve">Bolswarderbaan 1, 8601 ZK </v>
          </cell>
          <cell r="E33" t="str">
            <v>Sneek</v>
          </cell>
        </row>
        <row r="34">
          <cell r="C34" t="str">
            <v>Hege Dyk</v>
          </cell>
          <cell r="D34" t="str">
            <v xml:space="preserve">Hegedyk 2, 8602 ZR </v>
          </cell>
          <cell r="E34" t="str">
            <v>Sneek</v>
          </cell>
        </row>
        <row r="35">
          <cell r="C35" t="str">
            <v>Woldenhof</v>
          </cell>
          <cell r="D35" t="str">
            <v>Maria Louisestraat 1</v>
          </cell>
          <cell r="E35" t="str">
            <v>Sneek</v>
          </cell>
        </row>
        <row r="36">
          <cell r="C36" t="str">
            <v>Janco Douwmastraat</v>
          </cell>
          <cell r="D36" t="str">
            <v xml:space="preserve">Janco Douwmastraat 2 8602 BK </v>
          </cell>
          <cell r="E36" t="str">
            <v>Sneek</v>
          </cell>
        </row>
        <row r="37">
          <cell r="C37" t="str">
            <v>Kinnik</v>
          </cell>
          <cell r="D37" t="str">
            <v xml:space="preserve">Swingmastate 1 8925 LD </v>
          </cell>
          <cell r="E37" t="str">
            <v>Leeuwarden</v>
          </cell>
        </row>
        <row r="38">
          <cell r="C38" t="str">
            <v>logeerhuis</v>
          </cell>
          <cell r="D38" t="str">
            <v>Tippelkamp 2  9201 HT</v>
          </cell>
          <cell r="E38" t="str">
            <v>Drachten</v>
          </cell>
        </row>
        <row r="39">
          <cell r="C39" t="str">
            <v>Marienacker</v>
          </cell>
          <cell r="D39" t="str">
            <v>Marienacker, Weverswei 1 8711 GP</v>
          </cell>
          <cell r="E39" t="str">
            <v>Workum</v>
          </cell>
        </row>
        <row r="40">
          <cell r="C40" t="str">
            <v>Tingieterstraat 16</v>
          </cell>
          <cell r="D40" t="str">
            <v xml:space="preserve">Tingieterstraat 16, 8601 WJ </v>
          </cell>
          <cell r="E40" t="str">
            <v>Sneek</v>
          </cell>
        </row>
        <row r="41">
          <cell r="C41" t="str">
            <v>Wismastate 142</v>
          </cell>
          <cell r="D41" t="str">
            <v>Wismastate 142</v>
          </cell>
          <cell r="E41" t="str">
            <v>Leeuwarden</v>
          </cell>
        </row>
        <row r="42">
          <cell r="C42" t="str">
            <v>Wismastate 204</v>
          </cell>
          <cell r="D42" t="str">
            <v>Wismastate 204</v>
          </cell>
          <cell r="E42" t="str">
            <v>Leeuwarden</v>
          </cell>
        </row>
        <row r="43">
          <cell r="C43" t="str">
            <v>Wismastate 206</v>
          </cell>
          <cell r="D43" t="str">
            <v>Wismastate 206</v>
          </cell>
          <cell r="E43" t="str">
            <v>Leeuwarden</v>
          </cell>
        </row>
        <row r="44">
          <cell r="C44" t="str">
            <v>Kastanjelaan Gebouw A</v>
          </cell>
          <cell r="D44" t="str">
            <v xml:space="preserve">Kastanjelaan 1, 8441 NC </v>
          </cell>
          <cell r="E44" t="str">
            <v>Heerenveen</v>
          </cell>
        </row>
        <row r="45">
          <cell r="C45" t="str">
            <v>Kastanjelaan Gebouw B</v>
          </cell>
          <cell r="D45" t="str">
            <v xml:space="preserve">Kastanjelaan 1, 8441 NC </v>
          </cell>
          <cell r="E45" t="str">
            <v>Heerenveen</v>
          </cell>
        </row>
        <row r="46">
          <cell r="C46" t="str">
            <v>Kastanjelaan Gebouw C</v>
          </cell>
          <cell r="D46" t="str">
            <v xml:space="preserve">Kastanjelaan 1, 8441 NC </v>
          </cell>
          <cell r="E46" t="str">
            <v>Heerenveen</v>
          </cell>
        </row>
        <row r="47">
          <cell r="C47" t="str">
            <v>Kastanjelaan Gebouw D</v>
          </cell>
          <cell r="D47" t="str">
            <v xml:space="preserve">Kastanjelaan 1, 8441 NC </v>
          </cell>
          <cell r="E47" t="str">
            <v>Heerenveen</v>
          </cell>
        </row>
        <row r="48">
          <cell r="C48" t="str">
            <v>Kastanjelaan Gebouw E kliniek</v>
          </cell>
          <cell r="D48" t="str">
            <v xml:space="preserve">Kastanjelaan 1, 8441 NC </v>
          </cell>
          <cell r="E48" t="str">
            <v>Heerenveen</v>
          </cell>
        </row>
        <row r="49">
          <cell r="C49" t="str">
            <v>Kastanjelaan Gebouw E wonen</v>
          </cell>
          <cell r="D49" t="str">
            <v xml:space="preserve">Kastanjelaan 1, 8441 NC </v>
          </cell>
          <cell r="E49" t="str">
            <v>Heerenveen</v>
          </cell>
        </row>
        <row r="50">
          <cell r="C50" t="str">
            <v>Kastanjelaan Gebouw F</v>
          </cell>
          <cell r="D50" t="str">
            <v xml:space="preserve">Kastanjelaan 1, 8441 NC </v>
          </cell>
          <cell r="E50" t="str">
            <v>Heerenveen</v>
          </cell>
        </row>
        <row r="51">
          <cell r="C51" t="str">
            <v>Uhlweg 7</v>
          </cell>
          <cell r="D51" t="str">
            <v>Uhlweg 7</v>
          </cell>
          <cell r="E51" t="str">
            <v>Heerenveen</v>
          </cell>
        </row>
        <row r="52">
          <cell r="C52" t="str">
            <v>Eewal</v>
          </cell>
          <cell r="D52" t="str">
            <v xml:space="preserve">Eewal 63, 8911 GS </v>
          </cell>
          <cell r="E52" t="str">
            <v>Leeuwarden</v>
          </cell>
        </row>
        <row r="53">
          <cell r="C53" t="str">
            <v>De Drie Ducatons geb B</v>
          </cell>
          <cell r="D53" t="str">
            <v>Dammelaan 11, 8917 ET</v>
          </cell>
          <cell r="E53" t="str">
            <v>Leeuwarden</v>
          </cell>
        </row>
        <row r="54">
          <cell r="C54" t="str">
            <v>De Drie Dukatons geb A</v>
          </cell>
          <cell r="D54" t="str">
            <v>Dammelaan 13, 8917 ET</v>
          </cell>
          <cell r="E54" t="str">
            <v>Leeuwarden</v>
          </cell>
        </row>
        <row r="55">
          <cell r="C55" t="str">
            <v>De Drie Ducatons geb C</v>
          </cell>
          <cell r="D55" t="str">
            <v>Dammelaan 15, 8917 ET</v>
          </cell>
          <cell r="E55" t="str">
            <v>Leeuwarden</v>
          </cell>
        </row>
        <row r="56">
          <cell r="C56" t="str">
            <v>De Drie Ducatons geb D</v>
          </cell>
          <cell r="D56" t="str">
            <v>Dammelaan , 8917 ET</v>
          </cell>
          <cell r="E56" t="str">
            <v>Leeuwarden</v>
          </cell>
        </row>
        <row r="57">
          <cell r="C57" t="str">
            <v>De Drie Ducatons geb E</v>
          </cell>
          <cell r="D57" t="str">
            <v>Dammelaan , 8917 ET</v>
          </cell>
          <cell r="E57" t="str">
            <v>Leeuwarden</v>
          </cell>
        </row>
        <row r="58">
          <cell r="C58" t="str">
            <v>Heerestraat 3</v>
          </cell>
          <cell r="D58" t="str">
            <v xml:space="preserve">Heerestraat 3, 8911 LC </v>
          </cell>
          <cell r="E58" t="str">
            <v>Leeuwarden</v>
          </cell>
        </row>
        <row r="59">
          <cell r="C59" t="str">
            <v>Marshallweg 9</v>
          </cell>
          <cell r="D59" t="str">
            <v xml:space="preserve">Marshallweg 9, 8912 AC </v>
          </cell>
          <cell r="E59" t="str">
            <v>Leeuwarden</v>
          </cell>
        </row>
        <row r="60">
          <cell r="C60" t="str">
            <v>Michaelsberg 83</v>
          </cell>
          <cell r="D60" t="str">
            <v>9020 CX
 Michaelsberg 83</v>
          </cell>
          <cell r="E60" t="str">
            <v>Drachten</v>
          </cell>
        </row>
        <row r="61">
          <cell r="C61" t="str">
            <v>Michaelsberg 101</v>
          </cell>
          <cell r="D61" t="str">
            <v>Michaelsberg 101, 9202 CX</v>
          </cell>
          <cell r="E61" t="str">
            <v>Drachten</v>
          </cell>
        </row>
        <row r="62">
          <cell r="C62" t="str">
            <v>Oostersingel 15</v>
          </cell>
          <cell r="D62" t="str">
            <v xml:space="preserve">Oostersingel 15, 9101 KL </v>
          </cell>
          <cell r="E62" t="str">
            <v>Dokkum</v>
          </cell>
        </row>
        <row r="63">
          <cell r="C63" t="str">
            <v>Oosterstraat 7</v>
          </cell>
          <cell r="D63" t="str">
            <v>Oosterstraat 7, 8911 LD</v>
          </cell>
          <cell r="E63" t="str">
            <v>Leeuwarden</v>
          </cell>
        </row>
        <row r="64">
          <cell r="C64" t="str">
            <v>Schoenmakersperk 4</v>
          </cell>
          <cell r="D64" t="str">
            <v>Schoenmakersperk 4, 9101 JZ</v>
          </cell>
          <cell r="E64" t="str">
            <v>Dokkum</v>
          </cell>
        </row>
        <row r="65">
          <cell r="C65" t="str">
            <v>Schuur 64</v>
          </cell>
          <cell r="D65" t="str">
            <v xml:space="preserve">Schuur 64, 9205 BA </v>
          </cell>
          <cell r="E65" t="str">
            <v>Drachten</v>
          </cell>
        </row>
        <row r="66">
          <cell r="C66" t="str">
            <v>Schuur 66</v>
          </cell>
          <cell r="D66" t="str">
            <v>Schuur 66, 67, 69-71, 9205 BG</v>
          </cell>
          <cell r="E66" t="str">
            <v>Drachten</v>
          </cell>
        </row>
        <row r="67">
          <cell r="C67" t="str">
            <v>Schuur 67</v>
          </cell>
          <cell r="D67" t="str">
            <v>Schuur 66, 67, 69-71, 9205 BG</v>
          </cell>
          <cell r="E67" t="str">
            <v>Drachten</v>
          </cell>
        </row>
        <row r="68">
          <cell r="C68" t="str">
            <v>Schuur 69-71</v>
          </cell>
          <cell r="D68" t="str">
            <v>Schuur 66, 67, 69-71, 9205 BG</v>
          </cell>
          <cell r="E68" t="str">
            <v>Drachten</v>
          </cell>
        </row>
        <row r="69">
          <cell r="C69" t="str">
            <v>Stal 96-98</v>
          </cell>
          <cell r="D69" t="str">
            <v xml:space="preserve">Stal 96-98 9205 AB </v>
          </cell>
          <cell r="E69" t="str">
            <v>Drachten</v>
          </cell>
        </row>
        <row r="70">
          <cell r="C70" t="str">
            <v>Tramlaan 4</v>
          </cell>
          <cell r="D70" t="str">
            <v>Tramlaan 4, 9201 HX</v>
          </cell>
          <cell r="E70" t="str">
            <v>Drachten</v>
          </cell>
        </row>
        <row r="71">
          <cell r="C71" t="str">
            <v>Woudvaart</v>
          </cell>
          <cell r="D71" t="str">
            <v>Birdaarderstraatweg 80b 9101PK</v>
          </cell>
          <cell r="E71" t="str">
            <v>Dokkum</v>
          </cell>
        </row>
        <row r="72">
          <cell r="C72" t="str">
            <v>De Eenhoorn 4</v>
          </cell>
          <cell r="D72" t="str">
            <v>De Eenhoorn 4 8932 NX</v>
          </cell>
          <cell r="E72" t="str">
            <v>Leeuwarden</v>
          </cell>
        </row>
        <row r="73">
          <cell r="C73" t="str">
            <v>Maria Louisestraat 1</v>
          </cell>
          <cell r="D73" t="str">
            <v>Maria Louisestraat 1 8606 AV</v>
          </cell>
          <cell r="E73" t="str">
            <v>sneek</v>
          </cell>
        </row>
        <row r="74">
          <cell r="C74" t="str">
            <v>Compagnonstraat</v>
          </cell>
          <cell r="D74" t="str">
            <v>Compagnonstraat 26 t/m 42</v>
          </cell>
          <cell r="E74" t="str">
            <v>Heerenveen</v>
          </cell>
        </row>
        <row r="75">
          <cell r="C75" t="str">
            <v>Van Cuijckstraat 34</v>
          </cell>
          <cell r="D75" t="str">
            <v>Van Cuijckstraat 34</v>
          </cell>
          <cell r="E75" t="str">
            <v>Heerenveen</v>
          </cell>
        </row>
        <row r="76">
          <cell r="C76" t="str">
            <v>Van Cuijckstraat 36</v>
          </cell>
          <cell r="D76" t="str">
            <v>Van Cuijckstraat 36</v>
          </cell>
          <cell r="E76" t="str">
            <v>Heerenveen</v>
          </cell>
        </row>
        <row r="77">
          <cell r="C77" t="str">
            <v>Spoarbyls 29</v>
          </cell>
          <cell r="D77" t="str">
            <v>Spoarbyls 29</v>
          </cell>
          <cell r="E77" t="str">
            <v>Sint Nicolaasga</v>
          </cell>
        </row>
        <row r="78">
          <cell r="C78" t="str">
            <v>Spoarbyls 30</v>
          </cell>
          <cell r="D78" t="str">
            <v>Spoarbyls 30</v>
          </cell>
          <cell r="E78" t="str">
            <v>Sint Nicolaasga</v>
          </cell>
        </row>
        <row r="79">
          <cell r="C79" t="str">
            <v>Spoarbyls 31</v>
          </cell>
          <cell r="D79" t="str">
            <v>Spoarbyls 31</v>
          </cell>
          <cell r="E79" t="str">
            <v>Sint Nicolaasga</v>
          </cell>
        </row>
        <row r="80">
          <cell r="C80" t="str">
            <v>Spoarbyls 33</v>
          </cell>
          <cell r="D80" t="str">
            <v>Spoarbyls 33</v>
          </cell>
          <cell r="E80" t="str">
            <v>Sint Nicolaasga</v>
          </cell>
        </row>
        <row r="81">
          <cell r="C81">
            <v>0</v>
          </cell>
          <cell r="D81" t="str">
            <v>Franeker, Burgemeester J. Dijkstraweg 6 8801 PG Franeker-De Stipe</v>
          </cell>
          <cell r="E81" t="str">
            <v>Franeker</v>
          </cell>
        </row>
        <row r="82">
          <cell r="C82">
            <v>0</v>
          </cell>
          <cell r="D82" t="str">
            <v>Franeker, Burgemeester J. Dijkstraweg 6 8801 PG Franeker-Golfbreker</v>
          </cell>
          <cell r="E82" t="str">
            <v>Franeker</v>
          </cell>
        </row>
        <row r="83">
          <cell r="C83">
            <v>0</v>
          </cell>
          <cell r="D83" t="str">
            <v>Franeker, Burgemeester J. Dijkstraweg 6 8801 PG Franeker-De Tille</v>
          </cell>
          <cell r="E83" t="str">
            <v>Franeker</v>
          </cell>
        </row>
        <row r="84">
          <cell r="C84">
            <v>0</v>
          </cell>
          <cell r="D84" t="str">
            <v>Franeker, Burgemeester J. Dijkstraweg 6 8801 PG Franeker-It String</v>
          </cell>
          <cell r="E84" t="str">
            <v>Franeker</v>
          </cell>
        </row>
        <row r="85">
          <cell r="C85">
            <v>0</v>
          </cell>
          <cell r="D85" t="str">
            <v>Franeker, Burgemeester J. Dijkstraweg 6 8801 PG Franeker-PMT buitenlocatie</v>
          </cell>
          <cell r="E85" t="str">
            <v>Franeker</v>
          </cell>
        </row>
        <row r="86">
          <cell r="C86">
            <v>0</v>
          </cell>
          <cell r="D86" t="str">
            <v>Franeker, Burgemeester J. Dijkstraweg 6 8801 PG Franeker-Lankwert</v>
          </cell>
          <cell r="E86" t="str">
            <v>Franeker</v>
          </cell>
        </row>
        <row r="87">
          <cell r="C87">
            <v>0</v>
          </cell>
          <cell r="D87" t="str">
            <v>Franeker, Burgemeester J. Dijkstraweg 6 8801 PG Franeker-uithof</v>
          </cell>
          <cell r="E87" t="str">
            <v>Franeker</v>
          </cell>
        </row>
        <row r="88">
          <cell r="C88">
            <v>0</v>
          </cell>
          <cell r="D88" t="str">
            <v>Franeker, Burgemeester J. Dijkstraweg 6 8801 PG Franeker-boerderij</v>
          </cell>
          <cell r="E88" t="str">
            <v>Franeker</v>
          </cell>
        </row>
        <row r="89">
          <cell r="C89">
            <v>0</v>
          </cell>
          <cell r="D89" t="str">
            <v>Franeker, Burgemeester J. Dijkstraweg 6 8801 PG Franeker-units 17*</v>
          </cell>
          <cell r="E89" t="str">
            <v>Franeker</v>
          </cell>
        </row>
        <row r="90">
          <cell r="C90">
            <v>0</v>
          </cell>
          <cell r="D90" t="str">
            <v>Franeker, Burgemeester J. Dijkstraweg 6 8801 PG Franeker-griend</v>
          </cell>
          <cell r="E90" t="str">
            <v>Franeker</v>
          </cell>
        </row>
        <row r="91">
          <cell r="C91">
            <v>0</v>
          </cell>
          <cell r="D91" t="str">
            <v>Franeker, Burgemeester J. Dijkstraweg 6 8801 PG Franeker-nij lankum</v>
          </cell>
          <cell r="E91" t="str">
            <v>Franeker</v>
          </cell>
        </row>
        <row r="92">
          <cell r="C92">
            <v>0</v>
          </cell>
          <cell r="D92" t="str">
            <v>Franeker, Burgemeester J. Dijkstraweg 6 8801 PG Franeker-landzicht</v>
          </cell>
          <cell r="E92" t="str">
            <v>Franeker</v>
          </cell>
        </row>
        <row r="93">
          <cell r="C93">
            <v>0</v>
          </cell>
          <cell r="D93" t="str">
            <v>Franeker, Burgemeester J. Dijkstraweg 6 8801 PG Franeker-schilbanken</v>
          </cell>
          <cell r="E93" t="str">
            <v>Franeker</v>
          </cell>
        </row>
        <row r="94">
          <cell r="C94">
            <v>0</v>
          </cell>
          <cell r="D94" t="str">
            <v>Franeker, Burgemeester J. Dijkstraweg 6 8801 PG Franeker-FPA</v>
          </cell>
          <cell r="E94" t="str">
            <v>Franeker</v>
          </cell>
        </row>
        <row r="95">
          <cell r="C95">
            <v>0</v>
          </cell>
          <cell r="D95" t="str">
            <v>Franeker, Burgemeester J. Dijkstraweg 6 8801 PG Franeker-Flinter</v>
          </cell>
          <cell r="E95" t="str">
            <v>Franeker</v>
          </cell>
        </row>
        <row r="96">
          <cell r="C96">
            <v>0</v>
          </cell>
          <cell r="D96" t="str">
            <v>Franeker, Burgemeester J. Dijkstraweg 6 8801 PG Franeker-de wig</v>
          </cell>
          <cell r="E96" t="str">
            <v>Franeker</v>
          </cell>
        </row>
      </sheetData>
      <sheetData sheetId="30"/>
      <sheetData sheetId="31"/>
      <sheetData sheetId="3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Toelichting Calculatiemodel"/>
      <sheetName val="budget"/>
      <sheetName val="RS"/>
      <sheetName val="normblad"/>
      <sheetName val="Recap"/>
      <sheetName val="Uurtarieven"/>
      <sheetName val="Percentages"/>
      <sheetName val="Toeslagen"/>
      <sheetName val="Voorblad"/>
      <sheetName val="Uitleg calculatiemodule"/>
      <sheetName val="1.0-Contractblad"/>
      <sheetName val="1.1a-Jaarprijzen"/>
      <sheetName val="1.2-Kengetal"/>
      <sheetName val="1.3-Basis ruimtestaat"/>
      <sheetName val="1.3a-Mutaties"/>
      <sheetName val="1.4-Premies en opslagen"/>
      <sheetName val="1.5 Opbouw uurtarieven"/>
      <sheetName val="1.6-Machine-investeringskosten"/>
      <sheetName val="1.8-Afroepprijs"/>
      <sheetName val="1.9-Glasbewassing"/>
    </sheetNames>
    <sheetDataSet>
      <sheetData sheetId="0"/>
      <sheetData sheetId="1"/>
      <sheetData sheetId="2">
        <row r="29">
          <cell r="F29">
            <v>22866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C10">
            <v>0</v>
          </cell>
        </row>
      </sheetData>
      <sheetData sheetId="14">
        <row r="3">
          <cell r="J3"/>
        </row>
        <row r="4">
          <cell r="J4"/>
        </row>
        <row r="5">
          <cell r="J5"/>
        </row>
        <row r="6">
          <cell r="J6"/>
        </row>
        <row r="7">
          <cell r="J7"/>
        </row>
        <row r="8">
          <cell r="J8"/>
        </row>
        <row r="9">
          <cell r="J9"/>
        </row>
        <row r="10">
          <cell r="D10" t="str">
            <v>Kostenplaats -  LocatieAdres</v>
          </cell>
          <cell r="E10" t="str">
            <v>VERD.</v>
          </cell>
          <cell r="F10" t="str">
            <v xml:space="preserve">RUIMTE NR </v>
          </cell>
          <cell r="G10" t="str">
            <v>RUIMTE OMSCHRIJVING (OPDRACHTGEVER)</v>
          </cell>
          <cell r="H10" t="str">
            <v>RUIMTE CATEGORIE</v>
          </cell>
          <cell r="I10" t="str">
            <v>VLOER SOORT</v>
          </cell>
          <cell r="J10" t="str">
            <v>M2 VLOER IO</v>
          </cell>
          <cell r="K10" t="str">
            <v>M2 VLOER NIO</v>
          </cell>
          <cell r="L10" t="str">
            <v>Calculatie code</v>
          </cell>
          <cell r="M10" t="str">
            <v>Oplever-staat code</v>
          </cell>
          <cell r="N10" t="str">
            <v>b</v>
          </cell>
          <cell r="O10" t="str">
            <v>FREQ. NOTA-TIE</v>
          </cell>
          <cell r="P10" t="str">
            <v>Factor</v>
          </cell>
          <cell r="Q10" t="str">
            <v>UREN P/JR MA-VR REGULIER</v>
          </cell>
          <cell r="R10" t="str">
            <v>UREN P/JR Periodiek</v>
          </cell>
          <cell r="S10" t="str">
            <v>s</v>
          </cell>
        </row>
        <row r="11">
          <cell r="D11" t="str">
            <v>Horizon Anker A gebouw A</v>
          </cell>
          <cell r="E11" t="str">
            <v>bgg</v>
          </cell>
          <cell r="F11" t="str">
            <v>A0.001</v>
          </cell>
          <cell r="G11" t="str">
            <v>Binnenstraat gang</v>
          </cell>
          <cell r="H11" t="str">
            <v>entree, gang, hal, repro, kopieer, was/droogruimte</v>
          </cell>
          <cell r="I11" t="str">
            <v>Linoleum</v>
          </cell>
          <cell r="J11">
            <v>414</v>
          </cell>
          <cell r="K11"/>
          <cell r="L11">
            <v>3153</v>
          </cell>
          <cell r="M11">
            <v>103</v>
          </cell>
          <cell r="N11"/>
          <cell r="O11">
            <v>153</v>
          </cell>
          <cell r="P11">
            <v>1</v>
          </cell>
          <cell r="Q11">
            <v>0</v>
          </cell>
          <cell r="R11">
            <v>0</v>
          </cell>
          <cell r="S11">
            <v>0</v>
          </cell>
        </row>
        <row r="12">
          <cell r="D12" t="str">
            <v>Horizon Anker A gebouw A</v>
          </cell>
          <cell r="E12" t="str">
            <v>bgg</v>
          </cell>
          <cell r="F12" t="str">
            <v>A0.02</v>
          </cell>
          <cell r="G12" t="str">
            <v>Wachten bezoek</v>
          </cell>
          <cell r="H12" t="str">
            <v>entree, gang, hal, repro, kopieer, was/droogruimte</v>
          </cell>
          <cell r="I12" t="str">
            <v>Linoleum</v>
          </cell>
          <cell r="J12">
            <v>18.2</v>
          </cell>
          <cell r="K12"/>
          <cell r="L12">
            <v>3153</v>
          </cell>
          <cell r="M12">
            <v>103</v>
          </cell>
          <cell r="N12"/>
          <cell r="O12">
            <v>153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</row>
        <row r="13">
          <cell r="D13" t="str">
            <v>Horizon Anker A gebouw A</v>
          </cell>
          <cell r="E13" t="str">
            <v>bgg</v>
          </cell>
          <cell r="F13" t="str">
            <v>A0.03</v>
          </cell>
          <cell r="G13" t="str">
            <v>Portier</v>
          </cell>
          <cell r="H13" t="str">
            <v>administratieve -, personeels- en vergaderruimte</v>
          </cell>
          <cell r="I13" t="str">
            <v>Bolidt</v>
          </cell>
          <cell r="J13">
            <v>16.3</v>
          </cell>
          <cell r="K13"/>
          <cell r="L13">
            <v>1102</v>
          </cell>
          <cell r="M13">
            <v>101</v>
          </cell>
          <cell r="N13"/>
          <cell r="O13">
            <v>102</v>
          </cell>
          <cell r="P13">
            <v>1</v>
          </cell>
          <cell r="Q13">
            <v>0</v>
          </cell>
          <cell r="R13">
            <v>0</v>
          </cell>
          <cell r="S13">
            <v>0</v>
          </cell>
        </row>
        <row r="14">
          <cell r="D14" t="str">
            <v>Horizon Anker A gebouw A</v>
          </cell>
          <cell r="E14" t="str">
            <v>bgg</v>
          </cell>
          <cell r="F14" t="str">
            <v>A0.04</v>
          </cell>
          <cell r="G14" t="str">
            <v>Calamiteitendesk</v>
          </cell>
          <cell r="H14" t="str">
            <v>administratieve -, personeels- en vergaderruimte</v>
          </cell>
          <cell r="I14" t="str">
            <v>Bolidt</v>
          </cell>
          <cell r="J14">
            <v>33.700000000000003</v>
          </cell>
          <cell r="K14"/>
          <cell r="L14">
            <v>1102</v>
          </cell>
          <cell r="M14">
            <v>101</v>
          </cell>
          <cell r="N14"/>
          <cell r="O14">
            <v>102</v>
          </cell>
          <cell r="P14">
            <v>1</v>
          </cell>
          <cell r="Q14">
            <v>0</v>
          </cell>
          <cell r="R14">
            <v>0</v>
          </cell>
          <cell r="S14">
            <v>0</v>
          </cell>
        </row>
        <row r="15">
          <cell r="D15" t="str">
            <v>Horizon Anker A gebouw A</v>
          </cell>
          <cell r="E15" t="str">
            <v>bgg</v>
          </cell>
          <cell r="F15" t="str">
            <v>A0.05</v>
          </cell>
          <cell r="G15" t="str">
            <v>Techniekportier/cp</v>
          </cell>
          <cell r="H15" t="str">
            <v>administratieve -, personeels- en vergaderruimte</v>
          </cell>
          <cell r="I15" t="str">
            <v>Linoleum</v>
          </cell>
          <cell r="J15">
            <v>13.2</v>
          </cell>
          <cell r="K15"/>
          <cell r="L15">
            <v>1153</v>
          </cell>
          <cell r="M15">
            <v>101</v>
          </cell>
          <cell r="N15"/>
          <cell r="O15">
            <v>153</v>
          </cell>
          <cell r="P15">
            <v>1</v>
          </cell>
          <cell r="Q15">
            <v>0</v>
          </cell>
          <cell r="R15">
            <v>0</v>
          </cell>
          <cell r="S15">
            <v>0</v>
          </cell>
        </row>
        <row r="16">
          <cell r="D16" t="str">
            <v>Horizon Anker A gebouw A</v>
          </cell>
          <cell r="E16" t="str">
            <v>bgg</v>
          </cell>
          <cell r="F16" t="str">
            <v>A0.06</v>
          </cell>
          <cell r="G16" t="str">
            <v>Toilet</v>
          </cell>
          <cell r="H16" t="str">
            <v>sanitaire ruimte (toilet-/doucheruimte)</v>
          </cell>
          <cell r="I16" t="str">
            <v>Tegels</v>
          </cell>
          <cell r="J16">
            <v>1.5</v>
          </cell>
          <cell r="K16"/>
          <cell r="L16">
            <v>4153</v>
          </cell>
          <cell r="M16">
            <v>104</v>
          </cell>
          <cell r="N16"/>
          <cell r="O16">
            <v>153</v>
          </cell>
          <cell r="P16">
            <v>1</v>
          </cell>
          <cell r="Q16">
            <v>0</v>
          </cell>
          <cell r="R16">
            <v>0</v>
          </cell>
          <cell r="S16">
            <v>0</v>
          </cell>
        </row>
        <row r="17">
          <cell r="D17" t="str">
            <v>Horizon Anker A gebouw A</v>
          </cell>
          <cell r="E17" t="str">
            <v>bgg</v>
          </cell>
          <cell r="F17" t="str">
            <v>A0.07</v>
          </cell>
          <cell r="G17" t="str">
            <v>Sluis</v>
          </cell>
          <cell r="H17" t="str">
            <v>entree, gang, hal, repro, kopieer, was/droogruimte</v>
          </cell>
          <cell r="I17" t="str">
            <v>Tegels</v>
          </cell>
          <cell r="J17">
            <v>11.2</v>
          </cell>
          <cell r="K17"/>
          <cell r="L17">
            <v>3153</v>
          </cell>
          <cell r="M17">
            <v>103</v>
          </cell>
          <cell r="N17"/>
          <cell r="O17">
            <v>153</v>
          </cell>
          <cell r="P17">
            <v>1</v>
          </cell>
          <cell r="Q17">
            <v>0</v>
          </cell>
          <cell r="R17">
            <v>0</v>
          </cell>
          <cell r="S17">
            <v>0</v>
          </cell>
        </row>
        <row r="18">
          <cell r="D18" t="str">
            <v>Horizon Anker A gebouw A</v>
          </cell>
          <cell r="E18" t="str">
            <v>bgg</v>
          </cell>
          <cell r="F18" t="str">
            <v>A0.08</v>
          </cell>
          <cell r="G18" t="str">
            <v>Vergaderruimte</v>
          </cell>
          <cell r="H18" t="str">
            <v>administratieve -, personeels- en vergaderruimte</v>
          </cell>
          <cell r="I18" t="str">
            <v>Linoleum</v>
          </cell>
          <cell r="J18">
            <v>25.4</v>
          </cell>
          <cell r="K18"/>
          <cell r="L18">
            <v>1153</v>
          </cell>
          <cell r="M18">
            <v>101</v>
          </cell>
          <cell r="N18"/>
          <cell r="O18">
            <v>153</v>
          </cell>
          <cell r="P18">
            <v>1</v>
          </cell>
          <cell r="Q18">
            <v>0</v>
          </cell>
          <cell r="R18">
            <v>0</v>
          </cell>
          <cell r="S18">
            <v>0</v>
          </cell>
        </row>
        <row r="19">
          <cell r="D19" t="str">
            <v>Horizon Anker A gebouw A</v>
          </cell>
          <cell r="E19" t="str">
            <v>bgg</v>
          </cell>
          <cell r="F19" t="str">
            <v>A0.009</v>
          </cell>
          <cell r="G19" t="str">
            <v>Voorruimte Toiletten</v>
          </cell>
          <cell r="H19" t="str">
            <v>sanitaire ruimte (toilet-/doucheruimte)</v>
          </cell>
          <cell r="I19" t="str">
            <v>Tegels</v>
          </cell>
          <cell r="J19">
            <v>5.2</v>
          </cell>
          <cell r="K19"/>
          <cell r="L19">
            <v>4153</v>
          </cell>
          <cell r="M19">
            <v>104</v>
          </cell>
          <cell r="N19"/>
          <cell r="O19">
            <v>153</v>
          </cell>
          <cell r="P19">
            <v>1</v>
          </cell>
          <cell r="Q19">
            <v>0</v>
          </cell>
          <cell r="R19">
            <v>0</v>
          </cell>
          <cell r="S19">
            <v>0</v>
          </cell>
        </row>
        <row r="20">
          <cell r="D20" t="str">
            <v>Horizon Anker A gebouw A</v>
          </cell>
          <cell r="E20" t="str">
            <v>bgg</v>
          </cell>
          <cell r="F20" t="str">
            <v>A0.010</v>
          </cell>
          <cell r="G20" t="str">
            <v>Toilet</v>
          </cell>
          <cell r="H20" t="str">
            <v>sanitaire ruimte (toilet-/doucheruimte)</v>
          </cell>
          <cell r="I20" t="str">
            <v>Tegels</v>
          </cell>
          <cell r="J20">
            <v>1.6</v>
          </cell>
          <cell r="K20"/>
          <cell r="L20">
            <v>4153</v>
          </cell>
          <cell r="M20">
            <v>104</v>
          </cell>
          <cell r="N20"/>
          <cell r="O20">
            <v>153</v>
          </cell>
          <cell r="P20">
            <v>1</v>
          </cell>
          <cell r="Q20">
            <v>0</v>
          </cell>
          <cell r="R20">
            <v>0</v>
          </cell>
          <cell r="S20">
            <v>0</v>
          </cell>
        </row>
        <row r="21">
          <cell r="D21" t="str">
            <v>Horizon Anker A gebouw A</v>
          </cell>
          <cell r="E21" t="str">
            <v>bgg</v>
          </cell>
          <cell r="F21" t="str">
            <v>A0.011</v>
          </cell>
          <cell r="G21" t="str">
            <v xml:space="preserve">Toilet Invaliden </v>
          </cell>
          <cell r="H21" t="str">
            <v>sanitaire ruimte (toilet-/doucheruimte)</v>
          </cell>
          <cell r="I21" t="str">
            <v>Tegels</v>
          </cell>
          <cell r="J21">
            <v>4.9000000000000004</v>
          </cell>
          <cell r="K21"/>
          <cell r="L21">
            <v>4153</v>
          </cell>
          <cell r="M21">
            <v>104</v>
          </cell>
          <cell r="N21"/>
          <cell r="O21">
            <v>153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D22" t="str">
            <v>Horizon Anker A gebouw A</v>
          </cell>
          <cell r="E22" t="str">
            <v>bgg</v>
          </cell>
          <cell r="F22" t="str">
            <v>A0.012</v>
          </cell>
          <cell r="G22" t="str">
            <v>Toilet</v>
          </cell>
          <cell r="H22" t="str">
            <v>sanitaire ruimte (toilet-/doucheruimte)</v>
          </cell>
          <cell r="I22" t="str">
            <v>Tegels</v>
          </cell>
          <cell r="J22">
            <v>3.1</v>
          </cell>
          <cell r="K22"/>
          <cell r="L22">
            <v>4153</v>
          </cell>
          <cell r="M22">
            <v>104</v>
          </cell>
          <cell r="N22"/>
          <cell r="O22">
            <v>153</v>
          </cell>
          <cell r="P22">
            <v>1</v>
          </cell>
          <cell r="Q22">
            <v>0</v>
          </cell>
          <cell r="R22">
            <v>0</v>
          </cell>
          <cell r="S22">
            <v>0</v>
          </cell>
        </row>
        <row r="23">
          <cell r="D23" t="str">
            <v>Horizon Anker A gebouw A</v>
          </cell>
          <cell r="E23" t="str">
            <v>bgg</v>
          </cell>
          <cell r="F23" t="str">
            <v>A0.013</v>
          </cell>
          <cell r="G23" t="str">
            <v>Gang</v>
          </cell>
          <cell r="H23" t="str">
            <v>entree, gang, hal, repro, kopieer, was/droogruimte</v>
          </cell>
          <cell r="I23" t="str">
            <v>Linoleum</v>
          </cell>
          <cell r="J23">
            <v>31.8</v>
          </cell>
          <cell r="K23"/>
          <cell r="L23">
            <v>3153</v>
          </cell>
          <cell r="M23">
            <v>103</v>
          </cell>
          <cell r="N23"/>
          <cell r="O23">
            <v>153</v>
          </cell>
          <cell r="P23">
            <v>1</v>
          </cell>
          <cell r="Q23">
            <v>0</v>
          </cell>
          <cell r="R23">
            <v>0</v>
          </cell>
          <cell r="S23">
            <v>0</v>
          </cell>
        </row>
        <row r="24">
          <cell r="D24" t="str">
            <v>Horizon Anker A gebouw A</v>
          </cell>
          <cell r="E24" t="str">
            <v>bgg</v>
          </cell>
          <cell r="F24" t="str">
            <v>A0.014</v>
          </cell>
          <cell r="G24" t="str">
            <v>Kantoor/hoofd cp</v>
          </cell>
          <cell r="H24" t="str">
            <v>administratieve -, personeels- en vergaderruimte</v>
          </cell>
          <cell r="I24" t="str">
            <v>Linoleum</v>
          </cell>
          <cell r="J24">
            <v>18.3</v>
          </cell>
          <cell r="K24"/>
          <cell r="L24">
            <v>1102</v>
          </cell>
          <cell r="M24">
            <v>101</v>
          </cell>
          <cell r="N24"/>
          <cell r="O24">
            <v>102</v>
          </cell>
          <cell r="P24">
            <v>1</v>
          </cell>
          <cell r="Q24">
            <v>0</v>
          </cell>
          <cell r="R24">
            <v>0</v>
          </cell>
          <cell r="S24">
            <v>0</v>
          </cell>
        </row>
        <row r="25">
          <cell r="D25" t="str">
            <v>Horizon Anker A gebouw A</v>
          </cell>
          <cell r="E25" t="str">
            <v>bgg</v>
          </cell>
          <cell r="F25" t="str">
            <v>A0.015</v>
          </cell>
          <cell r="G25" t="str">
            <v>Kantoor</v>
          </cell>
          <cell r="H25" t="str">
            <v>administratieve -, personeels- en vergaderruimte</v>
          </cell>
          <cell r="I25" t="str">
            <v>Linoleum</v>
          </cell>
          <cell r="J25">
            <v>23.5</v>
          </cell>
          <cell r="K25"/>
          <cell r="L25">
            <v>1102</v>
          </cell>
          <cell r="M25">
            <v>101</v>
          </cell>
          <cell r="N25"/>
          <cell r="O25">
            <v>102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</row>
        <row r="26">
          <cell r="D26" t="str">
            <v>Horizon Anker A gebouw A</v>
          </cell>
          <cell r="E26" t="str">
            <v>bgg</v>
          </cell>
          <cell r="F26" t="str">
            <v>A0.016</v>
          </cell>
          <cell r="G26" t="str">
            <v>Kantoor</v>
          </cell>
          <cell r="H26" t="str">
            <v>administratieve -, personeels- en vergaderruimte</v>
          </cell>
          <cell r="I26" t="str">
            <v>Linoleum</v>
          </cell>
          <cell r="J26">
            <v>23.5</v>
          </cell>
          <cell r="K26"/>
          <cell r="L26">
            <v>1102</v>
          </cell>
          <cell r="M26">
            <v>101</v>
          </cell>
          <cell r="N26"/>
          <cell r="O26">
            <v>102</v>
          </cell>
          <cell r="P26">
            <v>1</v>
          </cell>
          <cell r="Q26">
            <v>0</v>
          </cell>
          <cell r="R26">
            <v>0</v>
          </cell>
          <cell r="S26">
            <v>0</v>
          </cell>
        </row>
        <row r="27">
          <cell r="D27" t="str">
            <v>Horizon Anker A gebouw A</v>
          </cell>
          <cell r="E27" t="str">
            <v>bgg</v>
          </cell>
          <cell r="F27" t="str">
            <v>A0.017</v>
          </cell>
          <cell r="G27" t="str">
            <v>Kantoor</v>
          </cell>
          <cell r="H27" t="str">
            <v>administratieve -, personeels- en vergaderruimte</v>
          </cell>
          <cell r="I27" t="str">
            <v>Linoleum</v>
          </cell>
          <cell r="J27">
            <v>23.5</v>
          </cell>
          <cell r="K27"/>
          <cell r="L27">
            <v>1102</v>
          </cell>
          <cell r="M27">
            <v>101</v>
          </cell>
          <cell r="N27"/>
          <cell r="O27">
            <v>102</v>
          </cell>
          <cell r="P27">
            <v>1</v>
          </cell>
          <cell r="Q27">
            <v>0</v>
          </cell>
          <cell r="R27">
            <v>0</v>
          </cell>
          <cell r="S27">
            <v>0</v>
          </cell>
        </row>
        <row r="28">
          <cell r="D28" t="str">
            <v>Horizon Anker A gebouw A</v>
          </cell>
          <cell r="E28" t="str">
            <v>bgg</v>
          </cell>
          <cell r="F28" t="str">
            <v>A0.018</v>
          </cell>
          <cell r="G28" t="str">
            <v>Pantry</v>
          </cell>
          <cell r="H28" t="str">
            <v>pantry</v>
          </cell>
          <cell r="I28" t="str">
            <v>Linoleum</v>
          </cell>
          <cell r="J28">
            <v>3.1</v>
          </cell>
          <cell r="K28"/>
          <cell r="L28">
            <v>5153</v>
          </cell>
          <cell r="M28">
            <v>105</v>
          </cell>
          <cell r="N28"/>
          <cell r="O28">
            <v>153</v>
          </cell>
          <cell r="P28">
            <v>1</v>
          </cell>
          <cell r="Q28">
            <v>0</v>
          </cell>
          <cell r="R28">
            <v>0</v>
          </cell>
          <cell r="S28">
            <v>0</v>
          </cell>
        </row>
        <row r="29">
          <cell r="D29" t="str">
            <v>Horizon Anker A gebouw A</v>
          </cell>
          <cell r="E29" t="str">
            <v>bgg</v>
          </cell>
          <cell r="F29" t="str">
            <v>A0.019</v>
          </cell>
          <cell r="G29" t="str">
            <v xml:space="preserve">Kopieerruimte </v>
          </cell>
          <cell r="H29" t="str">
            <v>entree, gang, hal, repro, kopieer, was/droogruimte</v>
          </cell>
          <cell r="I29" t="str">
            <v>Linoleum</v>
          </cell>
          <cell r="J29">
            <v>3.1</v>
          </cell>
          <cell r="K29"/>
          <cell r="L29">
            <v>3153</v>
          </cell>
          <cell r="M29">
            <v>103</v>
          </cell>
          <cell r="N29"/>
          <cell r="O29">
            <v>153</v>
          </cell>
          <cell r="P29">
            <v>1</v>
          </cell>
          <cell r="Q29">
            <v>0</v>
          </cell>
          <cell r="R29">
            <v>0</v>
          </cell>
          <cell r="S29">
            <v>0</v>
          </cell>
        </row>
        <row r="30">
          <cell r="D30" t="str">
            <v>Horizon Anker A gebouw A</v>
          </cell>
          <cell r="E30" t="str">
            <v>bgg</v>
          </cell>
          <cell r="F30" t="str">
            <v>A0.020</v>
          </cell>
          <cell r="G30" t="str">
            <v>Wachtruimte</v>
          </cell>
          <cell r="H30" t="str">
            <v>aula, gemeenschappelijke ruimte, bibliotheek</v>
          </cell>
          <cell r="I30" t="str">
            <v>Linoleum</v>
          </cell>
          <cell r="J30">
            <v>2.2000000000000002</v>
          </cell>
          <cell r="K30"/>
          <cell r="L30">
            <v>2153</v>
          </cell>
          <cell r="M30">
            <v>102</v>
          </cell>
          <cell r="N30"/>
          <cell r="O30">
            <v>153</v>
          </cell>
          <cell r="P30">
            <v>1</v>
          </cell>
          <cell r="Q30">
            <v>0</v>
          </cell>
          <cell r="R30">
            <v>0</v>
          </cell>
          <cell r="S30">
            <v>0</v>
          </cell>
        </row>
        <row r="31">
          <cell r="D31" t="str">
            <v>Horizon Anker A gebouw A</v>
          </cell>
          <cell r="E31" t="str">
            <v>bgg</v>
          </cell>
          <cell r="F31" t="str">
            <v>A0.021</v>
          </cell>
          <cell r="G31" t="str">
            <v>Technische ruimte</v>
          </cell>
          <cell r="H31" t="str">
            <v>niet van toepassing</v>
          </cell>
          <cell r="I31"/>
          <cell r="J31"/>
          <cell r="K31"/>
          <cell r="L31" t="str">
            <v>nvt</v>
          </cell>
          <cell r="M31">
            <v>0</v>
          </cell>
          <cell r="N31"/>
          <cell r="O31">
            <v>0</v>
          </cell>
          <cell r="P31">
            <v>1</v>
          </cell>
          <cell r="Q31">
            <v>0</v>
          </cell>
          <cell r="R31">
            <v>0</v>
          </cell>
          <cell r="S31">
            <v>0</v>
          </cell>
        </row>
        <row r="32">
          <cell r="D32" t="str">
            <v>Horizon Anker A gebouw A</v>
          </cell>
          <cell r="E32" t="str">
            <v>bgg</v>
          </cell>
          <cell r="F32" t="str">
            <v>A0.022</v>
          </cell>
          <cell r="G32" t="str">
            <v>portaal therapie</v>
          </cell>
          <cell r="H32" t="str">
            <v>entree, gang, hal, repro, kopieer, was/droogruimte</v>
          </cell>
          <cell r="I32" t="str">
            <v>Linoleum</v>
          </cell>
          <cell r="J32">
            <v>11.2</v>
          </cell>
          <cell r="K32"/>
          <cell r="L32">
            <v>3153</v>
          </cell>
          <cell r="M32">
            <v>103</v>
          </cell>
          <cell r="N32"/>
          <cell r="O32">
            <v>153</v>
          </cell>
          <cell r="P32">
            <v>1</v>
          </cell>
          <cell r="Q32">
            <v>0</v>
          </cell>
          <cell r="R32">
            <v>0</v>
          </cell>
          <cell r="S32">
            <v>0</v>
          </cell>
        </row>
        <row r="33">
          <cell r="D33" t="str">
            <v>Horizon Anker A gebouw A</v>
          </cell>
          <cell r="E33" t="str">
            <v>bgg</v>
          </cell>
          <cell r="F33" t="str">
            <v>A0.023</v>
          </cell>
          <cell r="G33" t="str">
            <v>Therapie</v>
          </cell>
          <cell r="H33" t="str">
            <v>administratieve -, personeels- en vergaderruimte</v>
          </cell>
          <cell r="I33" t="str">
            <v>Linoleum</v>
          </cell>
          <cell r="J33">
            <v>11.3</v>
          </cell>
          <cell r="K33"/>
          <cell r="L33">
            <v>1153</v>
          </cell>
          <cell r="M33">
            <v>101</v>
          </cell>
          <cell r="N33"/>
          <cell r="O33">
            <v>153</v>
          </cell>
          <cell r="P33">
            <v>1</v>
          </cell>
          <cell r="Q33">
            <v>0</v>
          </cell>
          <cell r="R33">
            <v>0</v>
          </cell>
          <cell r="S33">
            <v>0</v>
          </cell>
        </row>
        <row r="34">
          <cell r="D34" t="str">
            <v>Horizon Anker A gebouw A</v>
          </cell>
          <cell r="E34" t="str">
            <v>bgg</v>
          </cell>
          <cell r="F34" t="str">
            <v>A0.024</v>
          </cell>
          <cell r="G34" t="str">
            <v>Therapie</v>
          </cell>
          <cell r="H34" t="str">
            <v>administratieve -, personeels- en vergaderruimte</v>
          </cell>
          <cell r="I34" t="str">
            <v>Linoleum</v>
          </cell>
          <cell r="J34">
            <v>12.1</v>
          </cell>
          <cell r="K34"/>
          <cell r="L34">
            <v>1153</v>
          </cell>
          <cell r="M34">
            <v>101</v>
          </cell>
          <cell r="N34"/>
          <cell r="O34">
            <v>153</v>
          </cell>
          <cell r="P34">
            <v>1</v>
          </cell>
          <cell r="Q34">
            <v>0</v>
          </cell>
          <cell r="R34">
            <v>0</v>
          </cell>
          <cell r="S34">
            <v>0</v>
          </cell>
        </row>
        <row r="35">
          <cell r="D35" t="str">
            <v>Horizon Anker A gebouw A</v>
          </cell>
          <cell r="E35" t="str">
            <v>bgg</v>
          </cell>
          <cell r="F35" t="str">
            <v>A0.025</v>
          </cell>
          <cell r="G35" t="str">
            <v>Therapie</v>
          </cell>
          <cell r="H35" t="str">
            <v>administratieve -, personeels- en vergaderruimte</v>
          </cell>
          <cell r="I35" t="str">
            <v>Linoleum</v>
          </cell>
          <cell r="J35">
            <v>13.2</v>
          </cell>
          <cell r="K35"/>
          <cell r="L35">
            <v>1153</v>
          </cell>
          <cell r="M35">
            <v>101</v>
          </cell>
          <cell r="N35"/>
          <cell r="O35">
            <v>153</v>
          </cell>
          <cell r="P35">
            <v>1</v>
          </cell>
          <cell r="Q35">
            <v>0</v>
          </cell>
          <cell r="R35">
            <v>0</v>
          </cell>
          <cell r="S35">
            <v>0</v>
          </cell>
        </row>
        <row r="36">
          <cell r="D36" t="str">
            <v>Horizon Anker A gebouw A</v>
          </cell>
          <cell r="E36" t="str">
            <v>bgg</v>
          </cell>
          <cell r="F36" t="str">
            <v>A0.026</v>
          </cell>
          <cell r="G36" t="str">
            <v>Therapie</v>
          </cell>
          <cell r="H36" t="str">
            <v>administratieve -, personeels- en vergaderruimte</v>
          </cell>
          <cell r="I36" t="str">
            <v>Linoleum</v>
          </cell>
          <cell r="J36">
            <v>12.2</v>
          </cell>
          <cell r="K36"/>
          <cell r="L36">
            <v>1153</v>
          </cell>
          <cell r="M36">
            <v>101</v>
          </cell>
          <cell r="N36"/>
          <cell r="O36">
            <v>153</v>
          </cell>
          <cell r="P36">
            <v>1</v>
          </cell>
          <cell r="Q36">
            <v>0</v>
          </cell>
          <cell r="R36">
            <v>0</v>
          </cell>
          <cell r="S36">
            <v>0</v>
          </cell>
        </row>
        <row r="37">
          <cell r="D37" t="str">
            <v>Horizon Anker A gebouw A</v>
          </cell>
          <cell r="E37" t="str">
            <v>bgg</v>
          </cell>
          <cell r="F37" t="str">
            <v>A0.027</v>
          </cell>
          <cell r="G37" t="str">
            <v>Toilet</v>
          </cell>
          <cell r="H37" t="str">
            <v>sanitaire ruimte (toilet-/doucheruimte)</v>
          </cell>
          <cell r="I37" t="str">
            <v>Tegels</v>
          </cell>
          <cell r="J37">
            <v>1.4</v>
          </cell>
          <cell r="K37"/>
          <cell r="L37">
            <v>4153</v>
          </cell>
          <cell r="M37">
            <v>104</v>
          </cell>
          <cell r="N37"/>
          <cell r="O37">
            <v>153</v>
          </cell>
          <cell r="P37">
            <v>1</v>
          </cell>
          <cell r="Q37">
            <v>0</v>
          </cell>
          <cell r="R37">
            <v>0</v>
          </cell>
          <cell r="S37">
            <v>0</v>
          </cell>
        </row>
        <row r="38">
          <cell r="D38" t="str">
            <v>Horizon Anker A gebouw A</v>
          </cell>
          <cell r="E38" t="str">
            <v>bgg</v>
          </cell>
          <cell r="F38" t="str">
            <v>A0.028</v>
          </cell>
          <cell r="G38" t="str">
            <v>Therapie</v>
          </cell>
          <cell r="H38" t="str">
            <v>administratieve -, personeels- en vergaderruimte</v>
          </cell>
          <cell r="I38" t="str">
            <v>Linoleum</v>
          </cell>
          <cell r="J38">
            <v>21.7</v>
          </cell>
          <cell r="K38"/>
          <cell r="L38">
            <v>1153</v>
          </cell>
          <cell r="M38">
            <v>101</v>
          </cell>
          <cell r="N38"/>
          <cell r="O38">
            <v>153</v>
          </cell>
          <cell r="P38">
            <v>1</v>
          </cell>
          <cell r="Q38">
            <v>0</v>
          </cell>
          <cell r="R38">
            <v>0</v>
          </cell>
          <cell r="S38">
            <v>0</v>
          </cell>
        </row>
        <row r="39">
          <cell r="D39" t="str">
            <v>Horizon Anker A gebouw A</v>
          </cell>
          <cell r="E39" t="str">
            <v>bgg</v>
          </cell>
          <cell r="F39" t="str">
            <v>A.0029</v>
          </cell>
          <cell r="G39" t="str">
            <v>Gang</v>
          </cell>
          <cell r="H39" t="str">
            <v>entree, gang, hal, repro, kopieer, was/droogruimte</v>
          </cell>
          <cell r="I39" t="str">
            <v>Tegels</v>
          </cell>
          <cell r="J39">
            <v>30</v>
          </cell>
          <cell r="K39"/>
          <cell r="L39">
            <v>3153</v>
          </cell>
          <cell r="M39">
            <v>103</v>
          </cell>
          <cell r="N39"/>
          <cell r="O39">
            <v>153</v>
          </cell>
          <cell r="P39">
            <v>1</v>
          </cell>
          <cell r="Q39">
            <v>0</v>
          </cell>
          <cell r="R39">
            <v>0</v>
          </cell>
          <cell r="S39">
            <v>0</v>
          </cell>
        </row>
        <row r="40">
          <cell r="D40" t="str">
            <v>Horizon Anker A gebouw A</v>
          </cell>
          <cell r="E40" t="str">
            <v>bgg</v>
          </cell>
          <cell r="F40" t="str">
            <v>A0.030</v>
          </cell>
          <cell r="G40" t="str">
            <v>Kleedruimte</v>
          </cell>
          <cell r="H40" t="str">
            <v>kleedruimten</v>
          </cell>
          <cell r="I40" t="str">
            <v>Tegels</v>
          </cell>
          <cell r="J40">
            <v>23.4</v>
          </cell>
          <cell r="K40"/>
          <cell r="L40">
            <v>13255</v>
          </cell>
          <cell r="M40">
            <v>103</v>
          </cell>
          <cell r="N40"/>
          <cell r="O40">
            <v>255</v>
          </cell>
          <cell r="P40">
            <v>1</v>
          </cell>
          <cell r="Q40">
            <v>0</v>
          </cell>
          <cell r="R40">
            <v>0</v>
          </cell>
          <cell r="S40">
            <v>0</v>
          </cell>
        </row>
        <row r="41">
          <cell r="D41" t="str">
            <v>Horizon Anker A gebouw A</v>
          </cell>
          <cell r="E41" t="str">
            <v>bgg</v>
          </cell>
          <cell r="F41" t="str">
            <v>A0.031</v>
          </cell>
          <cell r="G41" t="str">
            <v>douches</v>
          </cell>
          <cell r="H41" t="str">
            <v>sanitaire ruimte (toilet-/doucheruimte)</v>
          </cell>
          <cell r="I41" t="str">
            <v>Tegels</v>
          </cell>
          <cell r="J41">
            <v>5.0999999999999996</v>
          </cell>
          <cell r="K41"/>
          <cell r="L41">
            <v>4255</v>
          </cell>
          <cell r="M41">
            <v>104</v>
          </cell>
          <cell r="N41"/>
          <cell r="O41">
            <v>255</v>
          </cell>
          <cell r="P41">
            <v>1</v>
          </cell>
          <cell r="Q41">
            <v>0</v>
          </cell>
          <cell r="R41">
            <v>0</v>
          </cell>
          <cell r="S41">
            <v>0</v>
          </cell>
        </row>
        <row r="42">
          <cell r="D42" t="str">
            <v>Horizon Anker A gebouw A</v>
          </cell>
          <cell r="E42" t="str">
            <v>bgg</v>
          </cell>
          <cell r="F42" t="str">
            <v>A0.032</v>
          </cell>
          <cell r="G42" t="str">
            <v>Gasflessen</v>
          </cell>
          <cell r="H42" t="str">
            <v>niet van toepassing</v>
          </cell>
          <cell r="I42"/>
          <cell r="J42"/>
          <cell r="K42"/>
          <cell r="L42" t="str">
            <v>nvt</v>
          </cell>
          <cell r="M42">
            <v>0</v>
          </cell>
          <cell r="N42"/>
          <cell r="O42">
            <v>0</v>
          </cell>
          <cell r="P42">
            <v>1</v>
          </cell>
          <cell r="Q42">
            <v>0</v>
          </cell>
          <cell r="R42">
            <v>0</v>
          </cell>
          <cell r="S42">
            <v>0</v>
          </cell>
        </row>
        <row r="43">
          <cell r="D43" t="str">
            <v>Horizon Anker A gebouw A</v>
          </cell>
          <cell r="E43" t="str">
            <v>bgg</v>
          </cell>
          <cell r="F43" t="str">
            <v>A0.033</v>
          </cell>
          <cell r="G43" t="str">
            <v>Kleedruimte</v>
          </cell>
          <cell r="H43" t="str">
            <v>kleedruimten</v>
          </cell>
          <cell r="I43" t="str">
            <v>Tegels</v>
          </cell>
          <cell r="J43">
            <v>11.6</v>
          </cell>
          <cell r="K43"/>
          <cell r="L43">
            <v>13255</v>
          </cell>
          <cell r="M43">
            <v>103</v>
          </cell>
          <cell r="N43"/>
          <cell r="O43">
            <v>255</v>
          </cell>
          <cell r="P43">
            <v>1</v>
          </cell>
          <cell r="Q43">
            <v>0</v>
          </cell>
          <cell r="R43">
            <v>0</v>
          </cell>
          <cell r="S43">
            <v>0</v>
          </cell>
        </row>
        <row r="44">
          <cell r="D44" t="str">
            <v>Horizon Anker A gebouw A</v>
          </cell>
          <cell r="E44" t="str">
            <v>bgg</v>
          </cell>
          <cell r="F44" t="str">
            <v>A0.034</v>
          </cell>
          <cell r="G44" t="str">
            <v>douches</v>
          </cell>
          <cell r="H44" t="str">
            <v>sanitaire ruimte (toilet-/doucheruimte)</v>
          </cell>
          <cell r="I44" t="str">
            <v>Tegels</v>
          </cell>
          <cell r="J44">
            <v>11.4</v>
          </cell>
          <cell r="K44"/>
          <cell r="L44">
            <v>4255</v>
          </cell>
          <cell r="M44">
            <v>104</v>
          </cell>
          <cell r="N44"/>
          <cell r="O44">
            <v>255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</row>
        <row r="45">
          <cell r="D45" t="str">
            <v>Horizon Anker A gebouw A</v>
          </cell>
          <cell r="E45" t="str">
            <v>bgg</v>
          </cell>
          <cell r="F45" t="str">
            <v>A0.035</v>
          </cell>
          <cell r="G45" t="str">
            <v>Toilet</v>
          </cell>
          <cell r="H45" t="str">
            <v>sanitaire ruimte (toilet-/doucheruimte)</v>
          </cell>
          <cell r="I45" t="str">
            <v>Tegels</v>
          </cell>
          <cell r="J45">
            <v>1.2</v>
          </cell>
          <cell r="K45"/>
          <cell r="L45">
            <v>4153</v>
          </cell>
          <cell r="M45">
            <v>104</v>
          </cell>
          <cell r="N45"/>
          <cell r="O45">
            <v>153</v>
          </cell>
          <cell r="P45">
            <v>1</v>
          </cell>
          <cell r="Q45">
            <v>0</v>
          </cell>
          <cell r="R45">
            <v>0</v>
          </cell>
          <cell r="S45">
            <v>0</v>
          </cell>
        </row>
        <row r="46">
          <cell r="D46" t="str">
            <v>Horizon Anker A gebouw A</v>
          </cell>
          <cell r="E46" t="str">
            <v>bgg</v>
          </cell>
          <cell r="F46" t="str">
            <v>A0.036</v>
          </cell>
          <cell r="G46" t="str">
            <v>Sportzaal</v>
          </cell>
          <cell r="H46" t="str">
            <v>gymzaal</v>
          </cell>
          <cell r="I46" t="str">
            <v>sportvloer</v>
          </cell>
          <cell r="J46">
            <v>285.8</v>
          </cell>
          <cell r="K46"/>
          <cell r="L46">
            <v>14153</v>
          </cell>
          <cell r="M46">
            <v>108</v>
          </cell>
          <cell r="N46"/>
          <cell r="O46">
            <v>153</v>
          </cell>
          <cell r="P46">
            <v>1</v>
          </cell>
          <cell r="Q46">
            <v>0</v>
          </cell>
          <cell r="R46">
            <v>0</v>
          </cell>
          <cell r="S46">
            <v>0</v>
          </cell>
        </row>
        <row r="47">
          <cell r="D47" t="str">
            <v>Horizon Anker A gebouw A</v>
          </cell>
          <cell r="E47" t="str">
            <v>bgg</v>
          </cell>
          <cell r="F47" t="str">
            <v>A0.037</v>
          </cell>
          <cell r="G47" t="str">
            <v>Toezichtsport</v>
          </cell>
          <cell r="H47" t="str">
            <v>administratieve -, personeels- en vergaderruimte</v>
          </cell>
          <cell r="I47" t="str">
            <v>Linoleum</v>
          </cell>
          <cell r="J47">
            <v>11.8</v>
          </cell>
          <cell r="K47"/>
          <cell r="L47">
            <v>1153</v>
          </cell>
          <cell r="M47">
            <v>101</v>
          </cell>
          <cell r="N47"/>
          <cell r="O47">
            <v>153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</row>
        <row r="48">
          <cell r="D48" t="str">
            <v>Horizon Anker A gebouw A</v>
          </cell>
          <cell r="E48" t="str">
            <v>bgg</v>
          </cell>
          <cell r="F48" t="str">
            <v>A0.038</v>
          </cell>
          <cell r="G48" t="str">
            <v>Berging</v>
          </cell>
          <cell r="H48" t="str">
            <v>niet van toepassing</v>
          </cell>
          <cell r="I48"/>
          <cell r="J48"/>
          <cell r="K48"/>
          <cell r="L48" t="str">
            <v>nvt</v>
          </cell>
          <cell r="M48">
            <v>0</v>
          </cell>
          <cell r="N48"/>
          <cell r="O48">
            <v>0</v>
          </cell>
          <cell r="P48">
            <v>1</v>
          </cell>
          <cell r="Q48">
            <v>0</v>
          </cell>
          <cell r="R48">
            <v>0</v>
          </cell>
          <cell r="S48">
            <v>0</v>
          </cell>
        </row>
        <row r="49">
          <cell r="D49" t="str">
            <v>Horizon Anker A gebouw A</v>
          </cell>
          <cell r="E49" t="str">
            <v>bgg</v>
          </cell>
          <cell r="F49" t="str">
            <v>A0.039</v>
          </cell>
          <cell r="G49" t="str">
            <v>Berging sporttoestellen</v>
          </cell>
          <cell r="H49" t="str">
            <v>niet van toepassing</v>
          </cell>
          <cell r="I49"/>
          <cell r="J49"/>
          <cell r="K49"/>
          <cell r="L49" t="str">
            <v>nvt</v>
          </cell>
          <cell r="M49">
            <v>0</v>
          </cell>
          <cell r="N49"/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</v>
          </cell>
        </row>
        <row r="50">
          <cell r="D50" t="str">
            <v>Horizon Anker A gebouw A</v>
          </cell>
          <cell r="E50" t="str">
            <v>bgg</v>
          </cell>
          <cell r="F50" t="str">
            <v>A0.040</v>
          </cell>
          <cell r="G50" t="str">
            <v>Trap</v>
          </cell>
          <cell r="H50" t="str">
            <v>trappenhuis</v>
          </cell>
          <cell r="I50" t="str">
            <v>hout</v>
          </cell>
          <cell r="J50">
            <v>17.100000000000001</v>
          </cell>
          <cell r="K50"/>
          <cell r="L50">
            <v>9153</v>
          </cell>
          <cell r="M50">
            <v>109</v>
          </cell>
          <cell r="N50"/>
          <cell r="O50">
            <v>153</v>
          </cell>
          <cell r="P50">
            <v>1</v>
          </cell>
          <cell r="Q50">
            <v>0</v>
          </cell>
          <cell r="R50">
            <v>0</v>
          </cell>
          <cell r="S50">
            <v>0</v>
          </cell>
        </row>
        <row r="51">
          <cell r="D51" t="str">
            <v>Horizon Anker A gebouw A</v>
          </cell>
          <cell r="E51" t="str">
            <v>bgg</v>
          </cell>
          <cell r="F51" t="str">
            <v>A0.041</v>
          </cell>
          <cell r="G51" t="str">
            <v>Gang</v>
          </cell>
          <cell r="H51" t="str">
            <v>entree, gang, hal, repro, kopieer, was/droogruimte</v>
          </cell>
          <cell r="I51" t="str">
            <v>Linoleum</v>
          </cell>
          <cell r="J51">
            <v>34.700000000000003</v>
          </cell>
          <cell r="K51"/>
          <cell r="L51">
            <v>3153</v>
          </cell>
          <cell r="M51">
            <v>103</v>
          </cell>
          <cell r="N51"/>
          <cell r="O51">
            <v>153</v>
          </cell>
          <cell r="P51">
            <v>1</v>
          </cell>
          <cell r="Q51">
            <v>0</v>
          </cell>
          <cell r="R51">
            <v>0</v>
          </cell>
          <cell r="S51">
            <v>0</v>
          </cell>
        </row>
        <row r="52">
          <cell r="D52" t="str">
            <v>Horizon Anker A gebouw A</v>
          </cell>
          <cell r="E52" t="str">
            <v>bgg</v>
          </cell>
          <cell r="F52" t="str">
            <v>A0.042</v>
          </cell>
          <cell r="G52" t="str">
            <v>Techniek opslag</v>
          </cell>
          <cell r="H52" t="str">
            <v>niet van toepassing</v>
          </cell>
          <cell r="I52"/>
          <cell r="J52"/>
          <cell r="K52"/>
          <cell r="L52" t="str">
            <v>nvt</v>
          </cell>
          <cell r="M52">
            <v>0</v>
          </cell>
          <cell r="N52"/>
          <cell r="O52">
            <v>0</v>
          </cell>
          <cell r="P52">
            <v>1</v>
          </cell>
          <cell r="Q52">
            <v>0</v>
          </cell>
          <cell r="R52">
            <v>0</v>
          </cell>
          <cell r="S52">
            <v>0</v>
          </cell>
        </row>
        <row r="53">
          <cell r="D53" t="str">
            <v>Horizon Anker A gebouw A</v>
          </cell>
          <cell r="E53" t="str">
            <v>bgg</v>
          </cell>
          <cell r="F53" t="str">
            <v>A0.043</v>
          </cell>
          <cell r="G53" t="str">
            <v>Afdelingshoofd</v>
          </cell>
          <cell r="H53" t="str">
            <v>administratieve -, personeels- en vergaderruimte</v>
          </cell>
          <cell r="I53" t="str">
            <v>Linoleum</v>
          </cell>
          <cell r="J53">
            <v>26.5</v>
          </cell>
          <cell r="K53"/>
          <cell r="L53">
            <v>1102</v>
          </cell>
          <cell r="M53">
            <v>101</v>
          </cell>
          <cell r="N53"/>
          <cell r="O53">
            <v>102</v>
          </cell>
          <cell r="P53">
            <v>1</v>
          </cell>
          <cell r="Q53">
            <v>0</v>
          </cell>
          <cell r="R53">
            <v>0</v>
          </cell>
          <cell r="S53">
            <v>0</v>
          </cell>
        </row>
        <row r="54">
          <cell r="D54" t="str">
            <v>Horizon Anker A gebouw A</v>
          </cell>
          <cell r="E54" t="str">
            <v>bgg</v>
          </cell>
          <cell r="F54" t="str">
            <v>A0.044</v>
          </cell>
          <cell r="G54" t="str">
            <v>Trap</v>
          </cell>
          <cell r="H54" t="str">
            <v>trappenhuis</v>
          </cell>
          <cell r="I54" t="str">
            <v>hout</v>
          </cell>
          <cell r="J54">
            <v>5.5</v>
          </cell>
          <cell r="K54"/>
          <cell r="L54">
            <v>9153</v>
          </cell>
          <cell r="M54">
            <v>109</v>
          </cell>
          <cell r="N54"/>
          <cell r="O54">
            <v>153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</row>
        <row r="55">
          <cell r="D55" t="str">
            <v>Horizon Anker A gebouw A</v>
          </cell>
          <cell r="E55" t="str">
            <v>bgg</v>
          </cell>
          <cell r="F55" t="str">
            <v>A0.045</v>
          </cell>
          <cell r="G55" t="str">
            <v>Portaal fitness</v>
          </cell>
          <cell r="H55" t="str">
            <v>entree, gang, hal, repro, kopieer, was/droogruimte</v>
          </cell>
          <cell r="I55" t="str">
            <v>Linoleum</v>
          </cell>
          <cell r="J55">
            <v>7.1</v>
          </cell>
          <cell r="K55"/>
          <cell r="L55">
            <v>3153</v>
          </cell>
          <cell r="M55">
            <v>103</v>
          </cell>
          <cell r="N55"/>
          <cell r="O55">
            <v>153</v>
          </cell>
          <cell r="P55">
            <v>1</v>
          </cell>
          <cell r="Q55">
            <v>0</v>
          </cell>
          <cell r="R55">
            <v>0</v>
          </cell>
          <cell r="S55">
            <v>0</v>
          </cell>
        </row>
        <row r="56">
          <cell r="D56" t="str">
            <v>Horizon Anker A gebouw A</v>
          </cell>
          <cell r="E56" t="str">
            <v>bgg</v>
          </cell>
          <cell r="F56" t="str">
            <v>A0.046</v>
          </cell>
          <cell r="G56" t="str">
            <v>fitnesruimte</v>
          </cell>
          <cell r="H56" t="str">
            <v>fiitness</v>
          </cell>
          <cell r="I56" t="str">
            <v>Linoleum</v>
          </cell>
          <cell r="J56">
            <v>69.400000000000006</v>
          </cell>
          <cell r="K56"/>
          <cell r="L56">
            <v>15153</v>
          </cell>
          <cell r="M56">
            <v>108</v>
          </cell>
          <cell r="N56"/>
          <cell r="O56">
            <v>153</v>
          </cell>
          <cell r="P56">
            <v>1</v>
          </cell>
          <cell r="Q56">
            <v>0</v>
          </cell>
          <cell r="R56">
            <v>0</v>
          </cell>
          <cell r="S56">
            <v>0</v>
          </cell>
        </row>
        <row r="57">
          <cell r="D57" t="str">
            <v>Horizon Anker A gebouw A</v>
          </cell>
          <cell r="E57" t="str">
            <v>bgg</v>
          </cell>
          <cell r="F57" t="str">
            <v>A0.047</v>
          </cell>
          <cell r="G57" t="str">
            <v>Werkkast</v>
          </cell>
          <cell r="H57" t="str">
            <v>niet van toepassing</v>
          </cell>
          <cell r="I57"/>
          <cell r="J57"/>
          <cell r="K57"/>
          <cell r="L57" t="str">
            <v>nvt</v>
          </cell>
          <cell r="M57">
            <v>0</v>
          </cell>
          <cell r="N57"/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</row>
        <row r="58">
          <cell r="D58" t="str">
            <v>Horizon Anker A gebouw A</v>
          </cell>
          <cell r="E58" t="str">
            <v>bgg</v>
          </cell>
          <cell r="F58" t="str">
            <v>A0.048</v>
          </cell>
          <cell r="G58" t="str">
            <v>Toilet</v>
          </cell>
          <cell r="H58" t="str">
            <v>sanitaire ruimte (toilet-/doucheruimte)</v>
          </cell>
          <cell r="I58" t="str">
            <v>Tegels</v>
          </cell>
          <cell r="J58">
            <v>1.8</v>
          </cell>
          <cell r="K58"/>
          <cell r="L58">
            <v>4153</v>
          </cell>
          <cell r="M58">
            <v>104</v>
          </cell>
          <cell r="N58"/>
          <cell r="O58">
            <v>153</v>
          </cell>
          <cell r="P58">
            <v>1</v>
          </cell>
          <cell r="Q58">
            <v>0</v>
          </cell>
          <cell r="R58">
            <v>0</v>
          </cell>
          <cell r="S58">
            <v>0</v>
          </cell>
        </row>
        <row r="59">
          <cell r="D59" t="str">
            <v>Horizon Anker A gebouw A</v>
          </cell>
          <cell r="E59" t="str">
            <v>bgg</v>
          </cell>
          <cell r="F59" t="str">
            <v>A0.049</v>
          </cell>
          <cell r="G59" t="str">
            <v>Spreekkamer</v>
          </cell>
          <cell r="H59" t="str">
            <v>administratieve -, personeels- en vergaderruimte</v>
          </cell>
          <cell r="I59" t="str">
            <v>Linoleum</v>
          </cell>
          <cell r="J59">
            <v>11.6</v>
          </cell>
          <cell r="K59"/>
          <cell r="L59">
            <v>1153</v>
          </cell>
          <cell r="M59">
            <v>101</v>
          </cell>
          <cell r="N59"/>
          <cell r="O59">
            <v>153</v>
          </cell>
          <cell r="P59">
            <v>1</v>
          </cell>
          <cell r="Q59">
            <v>0</v>
          </cell>
          <cell r="R59">
            <v>0</v>
          </cell>
          <cell r="S59">
            <v>0</v>
          </cell>
        </row>
        <row r="60">
          <cell r="D60" t="str">
            <v>Horizon Anker A gebouw A</v>
          </cell>
          <cell r="E60" t="str">
            <v>bgg</v>
          </cell>
          <cell r="F60" t="str">
            <v>A0.050</v>
          </cell>
          <cell r="G60" t="str">
            <v>Spreekkamer</v>
          </cell>
          <cell r="H60" t="str">
            <v>administratieve -, personeels- en vergaderruimte</v>
          </cell>
          <cell r="I60" t="str">
            <v>Linoleum</v>
          </cell>
          <cell r="J60">
            <v>16.5</v>
          </cell>
          <cell r="K60"/>
          <cell r="L60">
            <v>1153</v>
          </cell>
          <cell r="M60">
            <v>101</v>
          </cell>
          <cell r="N60"/>
          <cell r="O60">
            <v>153</v>
          </cell>
          <cell r="P60">
            <v>1</v>
          </cell>
          <cell r="Q60">
            <v>0</v>
          </cell>
          <cell r="R60">
            <v>0</v>
          </cell>
          <cell r="S60">
            <v>0</v>
          </cell>
        </row>
        <row r="61">
          <cell r="D61" t="str">
            <v>Horizon Anker A gebouw A</v>
          </cell>
          <cell r="E61" t="str">
            <v>bgg</v>
          </cell>
          <cell r="F61" t="str">
            <v>A0.050b</v>
          </cell>
          <cell r="G61" t="str">
            <v>Tochtsluis</v>
          </cell>
          <cell r="H61" t="str">
            <v>entree, gang, hal, repro, kopieer, was/droogruimte</v>
          </cell>
          <cell r="I61" t="str">
            <v>Mat</v>
          </cell>
          <cell r="J61">
            <v>15</v>
          </cell>
          <cell r="K61"/>
          <cell r="L61">
            <v>3153</v>
          </cell>
          <cell r="M61">
            <v>103</v>
          </cell>
          <cell r="N61"/>
          <cell r="O61">
            <v>153</v>
          </cell>
          <cell r="P61">
            <v>1</v>
          </cell>
          <cell r="Q61">
            <v>0</v>
          </cell>
          <cell r="R61">
            <v>0</v>
          </cell>
          <cell r="S61">
            <v>0</v>
          </cell>
        </row>
        <row r="62">
          <cell r="D62" t="str">
            <v>Horizon Anker A gebouw A</v>
          </cell>
          <cell r="E62" t="str">
            <v>bgg</v>
          </cell>
          <cell r="F62" t="str">
            <v>A0.050c</v>
          </cell>
          <cell r="G62" t="str">
            <v>Toilet</v>
          </cell>
          <cell r="H62" t="str">
            <v>sanitaire ruimte (toilet-/doucheruimte)</v>
          </cell>
          <cell r="I62" t="str">
            <v>Tegels</v>
          </cell>
          <cell r="J62">
            <v>3.9</v>
          </cell>
          <cell r="K62"/>
          <cell r="L62">
            <v>4153</v>
          </cell>
          <cell r="M62">
            <v>104</v>
          </cell>
          <cell r="N62"/>
          <cell r="O62">
            <v>153</v>
          </cell>
          <cell r="P62">
            <v>1</v>
          </cell>
          <cell r="Q62">
            <v>0</v>
          </cell>
          <cell r="R62">
            <v>0</v>
          </cell>
          <cell r="S62">
            <v>0</v>
          </cell>
        </row>
        <row r="63">
          <cell r="D63" t="str">
            <v>Horizon Anker A gebouw A</v>
          </cell>
          <cell r="E63" t="str">
            <v>bgg</v>
          </cell>
          <cell r="F63" t="str">
            <v>A0.051</v>
          </cell>
          <cell r="G63" t="str">
            <v>Spreekkamer</v>
          </cell>
          <cell r="H63" t="str">
            <v>administratieve -, personeels- en vergaderruimte</v>
          </cell>
          <cell r="I63" t="str">
            <v>Linoleum</v>
          </cell>
          <cell r="J63">
            <v>16.5</v>
          </cell>
          <cell r="K63"/>
          <cell r="L63">
            <v>1153</v>
          </cell>
          <cell r="M63">
            <v>101</v>
          </cell>
          <cell r="N63"/>
          <cell r="O63">
            <v>153</v>
          </cell>
          <cell r="P63">
            <v>1</v>
          </cell>
          <cell r="Q63">
            <v>0</v>
          </cell>
          <cell r="R63">
            <v>0</v>
          </cell>
          <cell r="S63">
            <v>0</v>
          </cell>
        </row>
        <row r="64">
          <cell r="D64" t="str">
            <v>Horizon Anker A gebouw A</v>
          </cell>
          <cell r="E64" t="str">
            <v>bgg</v>
          </cell>
          <cell r="F64" t="str">
            <v>A0.052</v>
          </cell>
          <cell r="G64" t="str">
            <v>Spreekkamer</v>
          </cell>
          <cell r="H64" t="str">
            <v>administratieve -, personeels- en vergaderruimte</v>
          </cell>
          <cell r="I64" t="str">
            <v>Linoleum</v>
          </cell>
          <cell r="J64">
            <v>17.399999999999999</v>
          </cell>
          <cell r="K64"/>
          <cell r="L64">
            <v>1153</v>
          </cell>
          <cell r="M64">
            <v>101</v>
          </cell>
          <cell r="N64"/>
          <cell r="O64">
            <v>153</v>
          </cell>
          <cell r="P64">
            <v>1</v>
          </cell>
          <cell r="Q64">
            <v>0</v>
          </cell>
          <cell r="R64">
            <v>0</v>
          </cell>
          <cell r="S64">
            <v>0</v>
          </cell>
        </row>
        <row r="65">
          <cell r="D65" t="str">
            <v>Horizon Anker A gebouw A</v>
          </cell>
          <cell r="E65" t="str">
            <v>bgg</v>
          </cell>
          <cell r="F65" t="str">
            <v>A0.053</v>
          </cell>
          <cell r="G65" t="str">
            <v>Portaal</v>
          </cell>
          <cell r="H65" t="str">
            <v>entree, gang, hal, repro, kopieer, was/droogruimte</v>
          </cell>
          <cell r="I65" t="str">
            <v>Linoleum</v>
          </cell>
          <cell r="J65">
            <v>12.5</v>
          </cell>
          <cell r="K65"/>
          <cell r="L65">
            <v>3153</v>
          </cell>
          <cell r="M65">
            <v>103</v>
          </cell>
          <cell r="N65"/>
          <cell r="O65">
            <v>153</v>
          </cell>
          <cell r="P65">
            <v>1</v>
          </cell>
          <cell r="Q65">
            <v>0</v>
          </cell>
          <cell r="R65">
            <v>0</v>
          </cell>
          <cell r="S65">
            <v>0</v>
          </cell>
        </row>
        <row r="66">
          <cell r="D66" t="str">
            <v>Horizon Anker A gebouw A</v>
          </cell>
          <cell r="E66" t="str">
            <v>bgg</v>
          </cell>
          <cell r="F66" t="str">
            <v>A0.054</v>
          </cell>
          <cell r="G66" t="str">
            <v>Berging</v>
          </cell>
          <cell r="H66" t="str">
            <v>niet van toepassing</v>
          </cell>
          <cell r="I66"/>
          <cell r="J66"/>
          <cell r="K66"/>
          <cell r="L66" t="str">
            <v>nvt</v>
          </cell>
          <cell r="M66">
            <v>0</v>
          </cell>
          <cell r="N66"/>
          <cell r="O66">
            <v>0</v>
          </cell>
          <cell r="P66">
            <v>1</v>
          </cell>
          <cell r="Q66">
            <v>0</v>
          </cell>
          <cell r="R66">
            <v>0</v>
          </cell>
          <cell r="S66">
            <v>0</v>
          </cell>
        </row>
        <row r="67">
          <cell r="D67" t="str">
            <v>Horizon Anker A gebouw A</v>
          </cell>
          <cell r="E67" t="str">
            <v>bgg</v>
          </cell>
          <cell r="F67" t="str">
            <v>A0.055</v>
          </cell>
          <cell r="G67" t="str">
            <v>Winkel</v>
          </cell>
          <cell r="H67" t="str">
            <v>niet van toepassing</v>
          </cell>
          <cell r="I67" t="str">
            <v>Linoleum</v>
          </cell>
          <cell r="J67"/>
          <cell r="K67"/>
          <cell r="L67" t="str">
            <v>nvt</v>
          </cell>
          <cell r="M67">
            <v>0</v>
          </cell>
          <cell r="N67"/>
          <cell r="O67">
            <v>0</v>
          </cell>
          <cell r="P67">
            <v>1</v>
          </cell>
          <cell r="Q67">
            <v>0</v>
          </cell>
          <cell r="R67">
            <v>0</v>
          </cell>
          <cell r="S67">
            <v>0</v>
          </cell>
        </row>
        <row r="68">
          <cell r="D68" t="str">
            <v>Horizon Anker A gebouw A</v>
          </cell>
          <cell r="E68" t="str">
            <v>bgg</v>
          </cell>
          <cell r="F68" t="str">
            <v>A0.056</v>
          </cell>
          <cell r="G68" t="str">
            <v>Sparruimte</v>
          </cell>
          <cell r="H68" t="str">
            <v>niet van toepassing</v>
          </cell>
          <cell r="I68"/>
          <cell r="J68"/>
          <cell r="K68"/>
          <cell r="L68" t="str">
            <v>nvt</v>
          </cell>
          <cell r="M68">
            <v>0</v>
          </cell>
          <cell r="N68"/>
          <cell r="O68">
            <v>0</v>
          </cell>
          <cell r="P68">
            <v>1</v>
          </cell>
          <cell r="Q68">
            <v>0</v>
          </cell>
          <cell r="R68">
            <v>0</v>
          </cell>
          <cell r="S68">
            <v>0</v>
          </cell>
        </row>
        <row r="69">
          <cell r="D69" t="str">
            <v>Horizon Anker A gebouw A</v>
          </cell>
          <cell r="E69" t="str">
            <v>bgg</v>
          </cell>
          <cell r="F69" t="str">
            <v>A0.058</v>
          </cell>
          <cell r="G69" t="str">
            <v>Berging</v>
          </cell>
          <cell r="H69" t="str">
            <v>niet van toepassing</v>
          </cell>
          <cell r="I69"/>
          <cell r="J69"/>
          <cell r="K69"/>
          <cell r="L69" t="str">
            <v>nvt</v>
          </cell>
          <cell r="M69">
            <v>0</v>
          </cell>
          <cell r="N69"/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</row>
        <row r="70">
          <cell r="D70" t="str">
            <v>Horizon Anker A gebouw A</v>
          </cell>
          <cell r="E70" t="str">
            <v>bgg</v>
          </cell>
          <cell r="F70" t="str">
            <v>A0.059</v>
          </cell>
          <cell r="G70" t="str">
            <v>Toilet</v>
          </cell>
          <cell r="H70" t="str">
            <v>sanitaire ruimte (toilet-/doucheruimte)</v>
          </cell>
          <cell r="I70" t="str">
            <v>Tegels</v>
          </cell>
          <cell r="J70">
            <v>1.2</v>
          </cell>
          <cell r="K70"/>
          <cell r="L70">
            <v>4153</v>
          </cell>
          <cell r="M70">
            <v>104</v>
          </cell>
          <cell r="N70"/>
          <cell r="O70">
            <v>153</v>
          </cell>
          <cell r="P70">
            <v>1</v>
          </cell>
          <cell r="Q70">
            <v>0</v>
          </cell>
          <cell r="R70">
            <v>0</v>
          </cell>
          <cell r="S70">
            <v>0</v>
          </cell>
        </row>
        <row r="71">
          <cell r="D71" t="str">
            <v>Horizon Anker A gebouw A</v>
          </cell>
          <cell r="E71" t="str">
            <v>bgg</v>
          </cell>
          <cell r="F71" t="str">
            <v>A0.060</v>
          </cell>
          <cell r="G71" t="str">
            <v>Trap</v>
          </cell>
          <cell r="H71" t="str">
            <v>trappenhuis</v>
          </cell>
          <cell r="I71" t="str">
            <v>hout</v>
          </cell>
          <cell r="J71">
            <v>33.200000000000003</v>
          </cell>
          <cell r="K71"/>
          <cell r="L71">
            <v>9153</v>
          </cell>
          <cell r="M71">
            <v>109</v>
          </cell>
          <cell r="N71"/>
          <cell r="O71">
            <v>153</v>
          </cell>
          <cell r="P71">
            <v>1</v>
          </cell>
          <cell r="Q71">
            <v>0</v>
          </cell>
          <cell r="R71">
            <v>0</v>
          </cell>
          <cell r="S71">
            <v>0</v>
          </cell>
        </row>
        <row r="72">
          <cell r="D72" t="str">
            <v>Horizon Anker A gebouw A</v>
          </cell>
          <cell r="E72" t="str">
            <v>bgg</v>
          </cell>
          <cell r="F72" t="str">
            <v>A0.061</v>
          </cell>
          <cell r="G72" t="str">
            <v xml:space="preserve">Kopieerruimte </v>
          </cell>
          <cell r="H72" t="str">
            <v>entree, gang, hal, repro, kopieer, was/droogruimte</v>
          </cell>
          <cell r="I72" t="str">
            <v>Linoleum</v>
          </cell>
          <cell r="J72">
            <v>1</v>
          </cell>
          <cell r="K72"/>
          <cell r="L72">
            <v>3153</v>
          </cell>
          <cell r="M72">
            <v>103</v>
          </cell>
          <cell r="N72"/>
          <cell r="O72">
            <v>153</v>
          </cell>
          <cell r="P72">
            <v>1</v>
          </cell>
          <cell r="Q72">
            <v>0</v>
          </cell>
          <cell r="R72">
            <v>0</v>
          </cell>
          <cell r="S72">
            <v>0</v>
          </cell>
        </row>
        <row r="73">
          <cell r="D73" t="str">
            <v>Horizon Anker A gebouw A</v>
          </cell>
          <cell r="E73" t="str">
            <v>bgg</v>
          </cell>
          <cell r="F73" t="str">
            <v>A0.062</v>
          </cell>
          <cell r="G73" t="str">
            <v>Opslag</v>
          </cell>
          <cell r="H73" t="str">
            <v>niet van toepassing</v>
          </cell>
          <cell r="I73"/>
          <cell r="J73"/>
          <cell r="K73"/>
          <cell r="L73" t="str">
            <v>nvt</v>
          </cell>
          <cell r="M73">
            <v>0</v>
          </cell>
          <cell r="N73"/>
          <cell r="O73">
            <v>0</v>
          </cell>
          <cell r="P73">
            <v>1</v>
          </cell>
          <cell r="Q73">
            <v>0</v>
          </cell>
          <cell r="R73">
            <v>0</v>
          </cell>
          <cell r="S73">
            <v>0</v>
          </cell>
        </row>
        <row r="74">
          <cell r="D74" t="str">
            <v>Horizon Anker A gebouw A</v>
          </cell>
          <cell r="E74" t="str">
            <v>bgg</v>
          </cell>
          <cell r="F74" t="str">
            <v>A0.063</v>
          </cell>
          <cell r="G74" t="str">
            <v>Lift</v>
          </cell>
          <cell r="H74" t="str">
            <v>niet van toepassing</v>
          </cell>
          <cell r="I74"/>
          <cell r="J74"/>
          <cell r="K74"/>
          <cell r="L74" t="str">
            <v>nvt</v>
          </cell>
          <cell r="M74">
            <v>0</v>
          </cell>
          <cell r="N74"/>
          <cell r="O74">
            <v>0</v>
          </cell>
          <cell r="P74">
            <v>1</v>
          </cell>
          <cell r="Q74">
            <v>0</v>
          </cell>
          <cell r="R74">
            <v>0</v>
          </cell>
          <cell r="S74">
            <v>0</v>
          </cell>
        </row>
        <row r="75">
          <cell r="D75" t="str">
            <v>Horizon Anker A gebouw A</v>
          </cell>
          <cell r="E75" t="str">
            <v>bgg</v>
          </cell>
          <cell r="F75" t="str">
            <v>A0.064</v>
          </cell>
          <cell r="G75" t="str">
            <v>Wachtruimte</v>
          </cell>
          <cell r="H75" t="str">
            <v>aula, gemeenschappelijke ruimte, bibliotheek</v>
          </cell>
          <cell r="I75" t="str">
            <v>Linoleum</v>
          </cell>
          <cell r="J75">
            <v>9.9</v>
          </cell>
          <cell r="K75"/>
          <cell r="L75">
            <v>2153</v>
          </cell>
          <cell r="M75">
            <v>102</v>
          </cell>
          <cell r="N75"/>
          <cell r="O75">
            <v>153</v>
          </cell>
          <cell r="P75">
            <v>1</v>
          </cell>
          <cell r="Q75">
            <v>0</v>
          </cell>
          <cell r="R75">
            <v>0</v>
          </cell>
          <cell r="S75">
            <v>0</v>
          </cell>
        </row>
        <row r="76">
          <cell r="D76" t="str">
            <v>Horizon Anker A gebouw A</v>
          </cell>
          <cell r="E76" t="str">
            <v>bgg</v>
          </cell>
          <cell r="F76" t="str">
            <v>A0.065</v>
          </cell>
          <cell r="G76" t="str">
            <v>Gang</v>
          </cell>
          <cell r="H76" t="str">
            <v>entree, gang, hal, repro, kopieer, was/droogruimte</v>
          </cell>
          <cell r="I76" t="str">
            <v>Linoleum</v>
          </cell>
          <cell r="J76">
            <v>24.7</v>
          </cell>
          <cell r="K76"/>
          <cell r="L76">
            <v>3153</v>
          </cell>
          <cell r="M76">
            <v>103</v>
          </cell>
          <cell r="N76"/>
          <cell r="O76">
            <v>153</v>
          </cell>
          <cell r="P76">
            <v>1</v>
          </cell>
          <cell r="Q76">
            <v>0</v>
          </cell>
          <cell r="R76">
            <v>0</v>
          </cell>
          <cell r="S76">
            <v>0</v>
          </cell>
        </row>
        <row r="77">
          <cell r="D77" t="str">
            <v>Horizon Anker A gebouw A</v>
          </cell>
          <cell r="E77" t="str">
            <v>bgg</v>
          </cell>
          <cell r="F77" t="str">
            <v>A0.066</v>
          </cell>
          <cell r="G77" t="str">
            <v xml:space="preserve">entree( 2m borstelmat) </v>
          </cell>
          <cell r="H77" t="str">
            <v>entree, gang, hal, repro, kopieer, was/droogruimte</v>
          </cell>
          <cell r="I77" t="str">
            <v>Linoleum</v>
          </cell>
          <cell r="J77">
            <v>7.5</v>
          </cell>
          <cell r="K77"/>
          <cell r="L77">
            <v>3153</v>
          </cell>
          <cell r="M77">
            <v>103</v>
          </cell>
          <cell r="N77"/>
          <cell r="O77">
            <v>153</v>
          </cell>
          <cell r="P77">
            <v>1</v>
          </cell>
          <cell r="Q77">
            <v>0</v>
          </cell>
          <cell r="R77">
            <v>0</v>
          </cell>
          <cell r="S77">
            <v>0</v>
          </cell>
        </row>
        <row r="78">
          <cell r="D78" t="str">
            <v>Horizon Anker A gebouw A</v>
          </cell>
          <cell r="E78" t="str">
            <v>bgg</v>
          </cell>
          <cell r="F78" t="str">
            <v>A0.067</v>
          </cell>
          <cell r="G78" t="str">
            <v>Biometrie</v>
          </cell>
          <cell r="H78" t="str">
            <v>entree, gang, hal, repro, kopieer, was/droogruimte</v>
          </cell>
          <cell r="I78" t="str">
            <v>Linoleum</v>
          </cell>
          <cell r="J78">
            <v>5.4</v>
          </cell>
          <cell r="K78"/>
          <cell r="L78">
            <v>3153</v>
          </cell>
          <cell r="M78">
            <v>103</v>
          </cell>
          <cell r="N78"/>
          <cell r="O78">
            <v>153</v>
          </cell>
          <cell r="P78">
            <v>1</v>
          </cell>
          <cell r="Q78">
            <v>0</v>
          </cell>
          <cell r="R78">
            <v>0</v>
          </cell>
          <cell r="S78">
            <v>0</v>
          </cell>
        </row>
        <row r="79">
          <cell r="D79" t="str">
            <v>Horizon Anker A gebouw A</v>
          </cell>
          <cell r="E79" t="str">
            <v>bgg</v>
          </cell>
          <cell r="F79" t="str">
            <v>A0.068</v>
          </cell>
          <cell r="G79" t="str">
            <v>Visitatie is incl. wc 1,5 m2 en douche 1,5 m2</v>
          </cell>
          <cell r="H79" t="str">
            <v>sanitaire ruimte (toilet-/doucheruimte)</v>
          </cell>
          <cell r="I79" t="str">
            <v>Linoleum</v>
          </cell>
          <cell r="J79">
            <v>7.9</v>
          </cell>
          <cell r="K79"/>
          <cell r="L79">
            <v>4255</v>
          </cell>
          <cell r="M79">
            <v>104</v>
          </cell>
          <cell r="N79"/>
          <cell r="O79">
            <v>255</v>
          </cell>
          <cell r="P79">
            <v>1</v>
          </cell>
          <cell r="Q79">
            <v>0</v>
          </cell>
          <cell r="R79">
            <v>0</v>
          </cell>
          <cell r="S79">
            <v>0</v>
          </cell>
        </row>
        <row r="80">
          <cell r="D80" t="str">
            <v>Horizon Anker A gebouw A</v>
          </cell>
          <cell r="E80" t="str">
            <v>bgg</v>
          </cell>
          <cell r="F80" t="str">
            <v>A0.069</v>
          </cell>
          <cell r="G80" t="str">
            <v>Kantoor</v>
          </cell>
          <cell r="H80" t="str">
            <v>administratieve -, personeels- en vergaderruimte</v>
          </cell>
          <cell r="I80" t="str">
            <v>Linoleum</v>
          </cell>
          <cell r="J80">
            <v>9.4</v>
          </cell>
          <cell r="K80"/>
          <cell r="L80">
            <v>1102</v>
          </cell>
          <cell r="M80">
            <v>101</v>
          </cell>
          <cell r="N80"/>
          <cell r="O80">
            <v>102</v>
          </cell>
          <cell r="P80">
            <v>1</v>
          </cell>
          <cell r="Q80">
            <v>0</v>
          </cell>
          <cell r="R80">
            <v>0</v>
          </cell>
          <cell r="S80">
            <v>0</v>
          </cell>
        </row>
        <row r="81">
          <cell r="D81" t="str">
            <v>Horizon Anker A gebouw A</v>
          </cell>
          <cell r="E81" t="str">
            <v>bgg</v>
          </cell>
          <cell r="F81" t="str">
            <v>A0.070</v>
          </cell>
          <cell r="G81" t="str">
            <v>Gang</v>
          </cell>
          <cell r="H81" t="str">
            <v>entree, gang, hal, repro, kopieer, was/droogruimte</v>
          </cell>
          <cell r="I81" t="str">
            <v>Linoleum</v>
          </cell>
          <cell r="J81">
            <v>34.299999999999997</v>
          </cell>
          <cell r="K81"/>
          <cell r="L81">
            <v>3153</v>
          </cell>
          <cell r="M81">
            <v>103</v>
          </cell>
          <cell r="N81"/>
          <cell r="O81">
            <v>153</v>
          </cell>
          <cell r="P81">
            <v>1</v>
          </cell>
          <cell r="Q81">
            <v>0</v>
          </cell>
          <cell r="R81">
            <v>0</v>
          </cell>
          <cell r="S81">
            <v>0</v>
          </cell>
        </row>
        <row r="82">
          <cell r="D82" t="str">
            <v>Horizon Anker A gebouw A</v>
          </cell>
          <cell r="E82" t="str">
            <v>bgg</v>
          </cell>
          <cell r="F82" t="str">
            <v>A0.071</v>
          </cell>
          <cell r="G82" t="str">
            <v>Containers</v>
          </cell>
          <cell r="H82" t="str">
            <v>niet van toepassing</v>
          </cell>
          <cell r="I82" t="str">
            <v>Linoleum</v>
          </cell>
          <cell r="J82"/>
          <cell r="K82"/>
          <cell r="L82" t="str">
            <v>nvt</v>
          </cell>
          <cell r="M82">
            <v>0</v>
          </cell>
          <cell r="N82"/>
          <cell r="O82">
            <v>0</v>
          </cell>
          <cell r="P82">
            <v>1</v>
          </cell>
          <cell r="Q82">
            <v>0</v>
          </cell>
          <cell r="R82">
            <v>0</v>
          </cell>
          <cell r="S82">
            <v>0</v>
          </cell>
        </row>
        <row r="83">
          <cell r="D83" t="str">
            <v>Horizon Anker A gebouw A</v>
          </cell>
          <cell r="E83" t="str">
            <v>bgg</v>
          </cell>
          <cell r="F83" t="str">
            <v>A0.072</v>
          </cell>
          <cell r="G83" t="str">
            <v>Kantoor</v>
          </cell>
          <cell r="H83" t="str">
            <v>administratieve -, personeels- en vergaderruimte</v>
          </cell>
          <cell r="I83" t="str">
            <v>Linoleum</v>
          </cell>
          <cell r="J83">
            <v>16.8</v>
          </cell>
          <cell r="K83"/>
          <cell r="L83">
            <v>1102</v>
          </cell>
          <cell r="M83">
            <v>101</v>
          </cell>
          <cell r="N83"/>
          <cell r="O83">
            <v>102</v>
          </cell>
          <cell r="P83">
            <v>1</v>
          </cell>
          <cell r="Q83">
            <v>0</v>
          </cell>
          <cell r="R83">
            <v>0</v>
          </cell>
          <cell r="S83">
            <v>0</v>
          </cell>
        </row>
        <row r="84">
          <cell r="D84" t="str">
            <v>Horizon Anker A gebouw A</v>
          </cell>
          <cell r="E84" t="str">
            <v>bgg</v>
          </cell>
          <cell r="F84" t="str">
            <v>A0.073</v>
          </cell>
          <cell r="G84" t="str">
            <v>Kantoor</v>
          </cell>
          <cell r="H84" t="str">
            <v>administratieve -, personeels- en vergaderruimte</v>
          </cell>
          <cell r="I84" t="str">
            <v>Linoleum</v>
          </cell>
          <cell r="J84">
            <v>16.8</v>
          </cell>
          <cell r="K84"/>
          <cell r="L84">
            <v>1102</v>
          </cell>
          <cell r="M84">
            <v>101</v>
          </cell>
          <cell r="N84"/>
          <cell r="O84">
            <v>102</v>
          </cell>
          <cell r="P84">
            <v>1</v>
          </cell>
          <cell r="Q84">
            <v>0</v>
          </cell>
          <cell r="R84">
            <v>0</v>
          </cell>
          <cell r="S84">
            <v>0</v>
          </cell>
        </row>
        <row r="85">
          <cell r="D85" t="str">
            <v>Horizon Anker A gebouw A</v>
          </cell>
          <cell r="E85" t="str">
            <v>bgg</v>
          </cell>
          <cell r="F85" t="str">
            <v>A0.074</v>
          </cell>
          <cell r="G85" t="str">
            <v>Kantoor</v>
          </cell>
          <cell r="H85" t="str">
            <v>administratieve -, personeels- en vergaderruimte</v>
          </cell>
          <cell r="I85" t="str">
            <v>Linoleum</v>
          </cell>
          <cell r="J85">
            <v>16.8</v>
          </cell>
          <cell r="K85"/>
          <cell r="L85">
            <v>1102</v>
          </cell>
          <cell r="M85">
            <v>101</v>
          </cell>
          <cell r="N85"/>
          <cell r="O85">
            <v>102</v>
          </cell>
          <cell r="P85">
            <v>1</v>
          </cell>
          <cell r="Q85">
            <v>0</v>
          </cell>
          <cell r="R85">
            <v>0</v>
          </cell>
          <cell r="S85">
            <v>0</v>
          </cell>
        </row>
        <row r="86">
          <cell r="D86" t="str">
            <v>Horizon Anker A gebouw A</v>
          </cell>
          <cell r="E86" t="str">
            <v>bgg</v>
          </cell>
          <cell r="F86" t="str">
            <v>A0.075</v>
          </cell>
          <cell r="G86" t="str">
            <v>Kantoor/Vergaderruimte</v>
          </cell>
          <cell r="H86" t="str">
            <v>administratieve -, personeels- en vergaderruimte</v>
          </cell>
          <cell r="I86" t="str">
            <v>Linoleum</v>
          </cell>
          <cell r="J86">
            <v>34.9</v>
          </cell>
          <cell r="K86"/>
          <cell r="L86">
            <v>1102</v>
          </cell>
          <cell r="M86">
            <v>101</v>
          </cell>
          <cell r="N86"/>
          <cell r="O86">
            <v>102</v>
          </cell>
          <cell r="P86">
            <v>1</v>
          </cell>
          <cell r="Q86">
            <v>0</v>
          </cell>
          <cell r="R86">
            <v>0</v>
          </cell>
          <cell r="S86">
            <v>0</v>
          </cell>
        </row>
        <row r="87">
          <cell r="D87" t="str">
            <v>Horizon Anker A gebouw A</v>
          </cell>
          <cell r="E87" t="str">
            <v>bgg</v>
          </cell>
          <cell r="F87" t="str">
            <v>A0.077</v>
          </cell>
          <cell r="G87" t="str">
            <v>Kantoor/Flexpekken</v>
          </cell>
          <cell r="H87" t="str">
            <v>administratieve -, personeels- en vergaderruimte</v>
          </cell>
          <cell r="I87" t="str">
            <v>Linoleum</v>
          </cell>
          <cell r="J87">
            <v>47.8</v>
          </cell>
          <cell r="K87"/>
          <cell r="L87">
            <v>1102</v>
          </cell>
          <cell r="M87">
            <v>101</v>
          </cell>
          <cell r="N87"/>
          <cell r="O87">
            <v>102</v>
          </cell>
          <cell r="P87">
            <v>1</v>
          </cell>
          <cell r="Q87">
            <v>0</v>
          </cell>
          <cell r="R87">
            <v>0</v>
          </cell>
          <cell r="S87">
            <v>0</v>
          </cell>
        </row>
        <row r="88">
          <cell r="D88" t="str">
            <v>Horizon Anker A gebouw A</v>
          </cell>
          <cell r="E88" t="str">
            <v>bgg</v>
          </cell>
          <cell r="F88" t="str">
            <v>A0.078</v>
          </cell>
          <cell r="G88" t="str">
            <v>gang</v>
          </cell>
          <cell r="H88" t="str">
            <v>entree, gang, hal, repro, kopieer, was/droogruimte</v>
          </cell>
          <cell r="I88" t="str">
            <v>Linoleum</v>
          </cell>
          <cell r="J88">
            <v>5.4</v>
          </cell>
          <cell r="K88"/>
          <cell r="L88">
            <v>3153</v>
          </cell>
          <cell r="M88">
            <v>103</v>
          </cell>
          <cell r="N88"/>
          <cell r="O88">
            <v>153</v>
          </cell>
          <cell r="P88">
            <v>1</v>
          </cell>
          <cell r="Q88">
            <v>0</v>
          </cell>
          <cell r="R88">
            <v>0</v>
          </cell>
          <cell r="S88">
            <v>0</v>
          </cell>
        </row>
        <row r="89">
          <cell r="D89" t="str">
            <v>Horizon Anker A gebouw A</v>
          </cell>
          <cell r="E89" t="str">
            <v>bgg</v>
          </cell>
          <cell r="F89" t="str">
            <v>A0.079</v>
          </cell>
          <cell r="G89" t="str">
            <v>Berging</v>
          </cell>
          <cell r="H89" t="str">
            <v>niet van toepassing</v>
          </cell>
          <cell r="I89"/>
          <cell r="J89"/>
          <cell r="K89"/>
          <cell r="L89" t="str">
            <v>nvt</v>
          </cell>
          <cell r="M89">
            <v>0</v>
          </cell>
          <cell r="N89"/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0</v>
          </cell>
        </row>
        <row r="90">
          <cell r="D90" t="str">
            <v>Horizon Anker A gebouw A</v>
          </cell>
          <cell r="E90" t="str">
            <v>bgg</v>
          </cell>
          <cell r="F90" t="str">
            <v>A0.080</v>
          </cell>
          <cell r="G90" t="str">
            <v xml:space="preserve">Kantoor </v>
          </cell>
          <cell r="H90" t="str">
            <v>administratieve -, personeels- en vergaderruimte</v>
          </cell>
          <cell r="I90" t="str">
            <v>Linoleum</v>
          </cell>
          <cell r="J90">
            <v>19.2</v>
          </cell>
          <cell r="K90"/>
          <cell r="L90">
            <v>1102</v>
          </cell>
          <cell r="M90">
            <v>101</v>
          </cell>
          <cell r="N90"/>
          <cell r="O90">
            <v>102</v>
          </cell>
          <cell r="P90">
            <v>1</v>
          </cell>
          <cell r="Q90">
            <v>0</v>
          </cell>
          <cell r="R90">
            <v>0</v>
          </cell>
          <cell r="S90">
            <v>0</v>
          </cell>
        </row>
        <row r="91">
          <cell r="D91" t="str">
            <v>Horizon Anker A gebouw A</v>
          </cell>
          <cell r="E91" t="str">
            <v>bgg</v>
          </cell>
          <cell r="F91" t="str">
            <v>A0.081</v>
          </cell>
          <cell r="G91" t="str">
            <v>gang</v>
          </cell>
          <cell r="H91" t="str">
            <v>entree, gang, hal, repro, kopieer, was/droogruimte</v>
          </cell>
          <cell r="I91" t="str">
            <v>Linoleum</v>
          </cell>
          <cell r="J91">
            <v>29.7</v>
          </cell>
          <cell r="K91"/>
          <cell r="L91">
            <v>3153</v>
          </cell>
          <cell r="M91">
            <v>103</v>
          </cell>
          <cell r="N91"/>
          <cell r="O91">
            <v>153</v>
          </cell>
          <cell r="P91">
            <v>1</v>
          </cell>
          <cell r="Q91">
            <v>0</v>
          </cell>
          <cell r="R91">
            <v>0</v>
          </cell>
          <cell r="S91">
            <v>0</v>
          </cell>
        </row>
        <row r="92">
          <cell r="D92" t="str">
            <v>Horizon Anker A gebouw A</v>
          </cell>
          <cell r="E92" t="str">
            <v>bgg</v>
          </cell>
          <cell r="F92" t="str">
            <v>A0.082</v>
          </cell>
          <cell r="G92" t="str">
            <v>Patch ruimte</v>
          </cell>
          <cell r="H92" t="str">
            <v>niet van toepassing</v>
          </cell>
          <cell r="I92" t="str">
            <v>Linoleum</v>
          </cell>
          <cell r="J92"/>
          <cell r="K92"/>
          <cell r="L92" t="str">
            <v>nvt</v>
          </cell>
          <cell r="M92">
            <v>0</v>
          </cell>
          <cell r="N92"/>
          <cell r="O92">
            <v>0</v>
          </cell>
          <cell r="P92">
            <v>1</v>
          </cell>
          <cell r="Q92">
            <v>0</v>
          </cell>
          <cell r="R92">
            <v>0</v>
          </cell>
          <cell r="S92">
            <v>0</v>
          </cell>
        </row>
        <row r="93">
          <cell r="D93" t="str">
            <v>Horizon Anker A gebouw A</v>
          </cell>
          <cell r="E93" t="str">
            <v>bgg</v>
          </cell>
          <cell r="F93" t="str">
            <v>A0.083</v>
          </cell>
          <cell r="G93" t="str">
            <v>Kantoor</v>
          </cell>
          <cell r="H93" t="str">
            <v>administratieve -, personeels- en vergaderruimte</v>
          </cell>
          <cell r="I93" t="str">
            <v>Linoleum</v>
          </cell>
          <cell r="J93">
            <v>23.2</v>
          </cell>
          <cell r="K93"/>
          <cell r="L93">
            <v>1102</v>
          </cell>
          <cell r="M93">
            <v>101</v>
          </cell>
          <cell r="N93"/>
          <cell r="O93">
            <v>102</v>
          </cell>
          <cell r="P93">
            <v>1</v>
          </cell>
          <cell r="Q93">
            <v>0</v>
          </cell>
          <cell r="R93">
            <v>0</v>
          </cell>
          <cell r="S93">
            <v>0</v>
          </cell>
        </row>
        <row r="94">
          <cell r="D94" t="str">
            <v>Horizon Anker A gebouw A</v>
          </cell>
          <cell r="E94" t="str">
            <v>bgg</v>
          </cell>
          <cell r="F94" t="str">
            <v>A0.084</v>
          </cell>
          <cell r="G94" t="str">
            <v xml:space="preserve">Kantoor </v>
          </cell>
          <cell r="H94" t="str">
            <v>administratieve -, personeels- en vergaderruimte</v>
          </cell>
          <cell r="I94" t="str">
            <v>Linoleum</v>
          </cell>
          <cell r="J94">
            <v>23.5</v>
          </cell>
          <cell r="K94"/>
          <cell r="L94">
            <v>1102</v>
          </cell>
          <cell r="M94">
            <v>101</v>
          </cell>
          <cell r="N94"/>
          <cell r="O94">
            <v>102</v>
          </cell>
          <cell r="P94">
            <v>1</v>
          </cell>
          <cell r="Q94">
            <v>0</v>
          </cell>
          <cell r="R94">
            <v>0</v>
          </cell>
          <cell r="S94">
            <v>0</v>
          </cell>
        </row>
        <row r="95">
          <cell r="D95" t="str">
            <v>Horizon Anker A gebouw A</v>
          </cell>
          <cell r="E95" t="str">
            <v>bgg</v>
          </cell>
          <cell r="F95" t="str">
            <v>A0.085</v>
          </cell>
          <cell r="G95" t="str">
            <v xml:space="preserve">Kantoor </v>
          </cell>
          <cell r="H95" t="str">
            <v>administratieve -, personeels- en vergaderruimte</v>
          </cell>
          <cell r="I95" t="str">
            <v>Linoleum</v>
          </cell>
          <cell r="J95">
            <v>23.5</v>
          </cell>
          <cell r="K95"/>
          <cell r="L95">
            <v>1102</v>
          </cell>
          <cell r="M95">
            <v>101</v>
          </cell>
          <cell r="N95"/>
          <cell r="O95">
            <v>102</v>
          </cell>
          <cell r="P95">
            <v>1</v>
          </cell>
          <cell r="Q95">
            <v>0</v>
          </cell>
          <cell r="R95">
            <v>0</v>
          </cell>
          <cell r="S95">
            <v>0</v>
          </cell>
        </row>
        <row r="96">
          <cell r="D96" t="str">
            <v>Horizon Anker A gebouw A</v>
          </cell>
          <cell r="E96" t="str">
            <v>bgg</v>
          </cell>
          <cell r="F96" t="str">
            <v>A0.086</v>
          </cell>
          <cell r="G96" t="str">
            <v>Pantry</v>
          </cell>
          <cell r="H96" t="str">
            <v>pantry</v>
          </cell>
          <cell r="I96" t="str">
            <v>Linoleum</v>
          </cell>
          <cell r="J96">
            <v>3.1</v>
          </cell>
          <cell r="K96"/>
          <cell r="L96">
            <v>5153</v>
          </cell>
          <cell r="M96">
            <v>105</v>
          </cell>
          <cell r="N96"/>
          <cell r="O96">
            <v>153</v>
          </cell>
          <cell r="P96">
            <v>1</v>
          </cell>
          <cell r="Q96">
            <v>0</v>
          </cell>
          <cell r="R96">
            <v>0</v>
          </cell>
          <cell r="S96">
            <v>0</v>
          </cell>
        </row>
        <row r="97">
          <cell r="D97" t="str">
            <v>Horizon Anker A gebouw A</v>
          </cell>
          <cell r="E97" t="str">
            <v>bgg</v>
          </cell>
          <cell r="F97" t="str">
            <v>A0.087</v>
          </cell>
          <cell r="G97" t="str">
            <v xml:space="preserve">Kopieerruimte </v>
          </cell>
          <cell r="H97" t="str">
            <v>entree, gang, hal, repro, kopieer, was/droogruimte</v>
          </cell>
          <cell r="I97" t="str">
            <v>Linoleum</v>
          </cell>
          <cell r="J97">
            <v>8.9</v>
          </cell>
          <cell r="K97"/>
          <cell r="L97">
            <v>3153</v>
          </cell>
          <cell r="M97">
            <v>103</v>
          </cell>
          <cell r="N97"/>
          <cell r="O97">
            <v>153</v>
          </cell>
          <cell r="P97">
            <v>1</v>
          </cell>
          <cell r="Q97">
            <v>0</v>
          </cell>
          <cell r="R97">
            <v>0</v>
          </cell>
          <cell r="S97">
            <v>0</v>
          </cell>
        </row>
        <row r="98">
          <cell r="D98" t="str">
            <v>Horizon Anker A gebouw A</v>
          </cell>
          <cell r="E98" t="str">
            <v>bgg</v>
          </cell>
          <cell r="F98" t="str">
            <v>A0.088</v>
          </cell>
          <cell r="G98" t="str">
            <v>Tandarts</v>
          </cell>
          <cell r="H98" t="str">
            <v>administratieve -, personeels- en vergaderruimte</v>
          </cell>
          <cell r="I98" t="str">
            <v>Linoleum</v>
          </cell>
          <cell r="J98">
            <v>23.5</v>
          </cell>
          <cell r="K98"/>
          <cell r="L98">
            <v>1153</v>
          </cell>
          <cell r="M98">
            <v>101</v>
          </cell>
          <cell r="N98"/>
          <cell r="O98">
            <v>153</v>
          </cell>
          <cell r="P98">
            <v>1</v>
          </cell>
          <cell r="Q98">
            <v>0</v>
          </cell>
          <cell r="R98">
            <v>0</v>
          </cell>
          <cell r="S98">
            <v>0</v>
          </cell>
        </row>
        <row r="99">
          <cell r="D99" t="str">
            <v>Horizon Anker A gebouw A</v>
          </cell>
          <cell r="E99" t="str">
            <v>bgg</v>
          </cell>
          <cell r="F99" t="str">
            <v>A0.089</v>
          </cell>
          <cell r="G99" t="str">
            <v>Portaal</v>
          </cell>
          <cell r="H99" t="str">
            <v>entree, gang, hal, repro, kopieer, was/droogruimte</v>
          </cell>
          <cell r="I99" t="str">
            <v>Linoleum</v>
          </cell>
          <cell r="J99">
            <v>5.5</v>
          </cell>
          <cell r="K99"/>
          <cell r="L99">
            <v>3153</v>
          </cell>
          <cell r="M99">
            <v>103</v>
          </cell>
          <cell r="N99"/>
          <cell r="O99">
            <v>153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</row>
        <row r="100">
          <cell r="D100" t="str">
            <v>Horizon Anker A gebouw A</v>
          </cell>
          <cell r="E100" t="str">
            <v>bgg</v>
          </cell>
          <cell r="F100" t="str">
            <v>A0.090</v>
          </cell>
          <cell r="G100" t="str">
            <v>Verpleegkundige/spreekkamer arts</v>
          </cell>
          <cell r="H100" t="str">
            <v>administratieve -, personeels- en vergaderruimte</v>
          </cell>
          <cell r="I100" t="str">
            <v>Linoleum</v>
          </cell>
          <cell r="J100">
            <v>29.6</v>
          </cell>
          <cell r="K100"/>
          <cell r="L100">
            <v>1153</v>
          </cell>
          <cell r="M100">
            <v>101</v>
          </cell>
          <cell r="N100"/>
          <cell r="O100">
            <v>153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</row>
        <row r="101">
          <cell r="D101" t="str">
            <v>Horizon Anker A gebouw A</v>
          </cell>
          <cell r="E101" t="str">
            <v>bgg</v>
          </cell>
          <cell r="F101" t="str">
            <v>A0.091</v>
          </cell>
          <cell r="G101" t="str">
            <v>Onderzoekkamer arts</v>
          </cell>
          <cell r="H101" t="str">
            <v>administratieve -, personeels- en vergaderruimte</v>
          </cell>
          <cell r="I101" t="str">
            <v>Linoleum</v>
          </cell>
          <cell r="J101">
            <v>9</v>
          </cell>
          <cell r="K101"/>
          <cell r="L101">
            <v>1153</v>
          </cell>
          <cell r="M101">
            <v>101</v>
          </cell>
          <cell r="N101"/>
          <cell r="O101">
            <v>153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</row>
        <row r="102">
          <cell r="D102" t="str">
            <v>Horizon Anker A gebouw A</v>
          </cell>
          <cell r="E102" t="str">
            <v>bgg</v>
          </cell>
          <cell r="F102" t="str">
            <v>A0.092</v>
          </cell>
          <cell r="G102" t="str">
            <v>Opname/fouilleer</v>
          </cell>
          <cell r="H102" t="str">
            <v>entree, gang, hal, repro, kopieer, was/droogruimte</v>
          </cell>
          <cell r="I102" t="str">
            <v>Tegels</v>
          </cell>
          <cell r="J102">
            <v>5.9</v>
          </cell>
          <cell r="K102"/>
          <cell r="L102">
            <v>3153</v>
          </cell>
          <cell r="M102">
            <v>103</v>
          </cell>
          <cell r="N102"/>
          <cell r="O102">
            <v>153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</row>
        <row r="103">
          <cell r="D103" t="str">
            <v>Horizon Anker A gebouw A</v>
          </cell>
          <cell r="E103" t="str">
            <v>bgg</v>
          </cell>
          <cell r="F103" t="str">
            <v>A0.093</v>
          </cell>
          <cell r="G103" t="str">
            <v>PZI sleuteluitgifte</v>
          </cell>
          <cell r="H103" t="str">
            <v>entree, gang, hal, repro, kopieer, was/droogruimte</v>
          </cell>
          <cell r="I103" t="str">
            <v>Tegels</v>
          </cell>
          <cell r="J103">
            <v>17</v>
          </cell>
          <cell r="K103"/>
          <cell r="L103">
            <v>3153</v>
          </cell>
          <cell r="M103">
            <v>103</v>
          </cell>
          <cell r="N103"/>
          <cell r="O103">
            <v>153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</row>
        <row r="104">
          <cell r="D104" t="str">
            <v>Horizon Anker A gebouw A</v>
          </cell>
          <cell r="E104" t="str">
            <v>bgg</v>
          </cell>
          <cell r="F104" t="str">
            <v>A0.094</v>
          </cell>
          <cell r="G104" t="str">
            <v>MIVA(sanitair)</v>
          </cell>
          <cell r="H104" t="str">
            <v>sanitaire ruimte (toilet-/doucheruimte)</v>
          </cell>
          <cell r="I104" t="str">
            <v>Tegels</v>
          </cell>
          <cell r="J104">
            <v>4.0999999999999996</v>
          </cell>
          <cell r="K104"/>
          <cell r="L104">
            <v>4255</v>
          </cell>
          <cell r="M104">
            <v>104</v>
          </cell>
          <cell r="N104"/>
          <cell r="O104">
            <v>255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</row>
        <row r="105">
          <cell r="D105" t="str">
            <v>Horizon Anker A gebouw A</v>
          </cell>
          <cell r="E105" t="str">
            <v>bgg</v>
          </cell>
          <cell r="F105" t="str">
            <v>A0.095</v>
          </cell>
          <cell r="G105" t="str">
            <v>Entree</v>
          </cell>
          <cell r="H105" t="str">
            <v>entree, gang, hal, repro, kopieer, was/droogruimte</v>
          </cell>
          <cell r="I105" t="str">
            <v>Borstelmat</v>
          </cell>
          <cell r="J105">
            <v>14.8</v>
          </cell>
          <cell r="K105"/>
          <cell r="L105">
            <v>3153</v>
          </cell>
          <cell r="M105">
            <v>103</v>
          </cell>
          <cell r="N105"/>
          <cell r="O105">
            <v>153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</row>
        <row r="106">
          <cell r="D106" t="str">
            <v>Horizon Anker A gebouw A</v>
          </cell>
          <cell r="E106" t="str">
            <v>bgg</v>
          </cell>
          <cell r="F106" t="str">
            <v>A0.096</v>
          </cell>
          <cell r="G106" t="str">
            <v>Hal voor detectie</v>
          </cell>
          <cell r="H106" t="str">
            <v>entree, gang, hal, repro, kopieer, was/droogruimte</v>
          </cell>
          <cell r="I106" t="str">
            <v>Tegels</v>
          </cell>
          <cell r="J106">
            <v>30.1</v>
          </cell>
          <cell r="K106"/>
          <cell r="L106">
            <v>3153</v>
          </cell>
          <cell r="M106">
            <v>103</v>
          </cell>
          <cell r="N106"/>
          <cell r="O106">
            <v>153</v>
          </cell>
          <cell r="P106">
            <v>1</v>
          </cell>
          <cell r="Q106">
            <v>0</v>
          </cell>
          <cell r="R106">
            <v>0</v>
          </cell>
          <cell r="S106">
            <v>0</v>
          </cell>
        </row>
        <row r="107">
          <cell r="D107" t="str">
            <v>Horizon Anker A gebouw A</v>
          </cell>
          <cell r="E107" t="str">
            <v>bgg</v>
          </cell>
          <cell r="F107" t="str">
            <v>A0.097</v>
          </cell>
          <cell r="G107" t="str">
            <v>Hal na detectie</v>
          </cell>
          <cell r="H107" t="str">
            <v>entree, gang, hal, repro, kopieer, was/droogruimte</v>
          </cell>
          <cell r="I107" t="str">
            <v>Tegels</v>
          </cell>
          <cell r="J107">
            <v>21</v>
          </cell>
          <cell r="K107"/>
          <cell r="L107">
            <v>3153</v>
          </cell>
          <cell r="M107">
            <v>103</v>
          </cell>
          <cell r="N107"/>
          <cell r="O107">
            <v>153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</row>
        <row r="108">
          <cell r="D108" t="str">
            <v>Horizon Anker Kompas 1 gebouw A</v>
          </cell>
          <cell r="E108" t="str">
            <v>bgg</v>
          </cell>
          <cell r="F108" t="str">
            <v>A0.101</v>
          </cell>
          <cell r="G108" t="str">
            <v>Gang voor de sl.kamers</v>
          </cell>
          <cell r="H108" t="str">
            <v>entree, gang, hal, repro, kopieer, was/droogruimte</v>
          </cell>
          <cell r="I108" t="str">
            <v>linoleum</v>
          </cell>
          <cell r="J108">
            <v>77.8</v>
          </cell>
          <cell r="K108"/>
          <cell r="L108">
            <v>3153</v>
          </cell>
          <cell r="M108">
            <v>103</v>
          </cell>
          <cell r="N108"/>
          <cell r="O108">
            <v>153</v>
          </cell>
          <cell r="P108">
            <v>1</v>
          </cell>
          <cell r="Q108">
            <v>0</v>
          </cell>
          <cell r="R108">
            <v>0</v>
          </cell>
          <cell r="S108">
            <v>0</v>
          </cell>
        </row>
        <row r="109">
          <cell r="D109" t="str">
            <v>Horizon Anker Kompas 1 gebouw A</v>
          </cell>
          <cell r="E109" t="str">
            <v>bgg</v>
          </cell>
          <cell r="F109" t="str">
            <v>A0.102</v>
          </cell>
          <cell r="G109" t="str">
            <v>Trap</v>
          </cell>
          <cell r="H109" t="str">
            <v>trappenhuis</v>
          </cell>
          <cell r="I109" t="str">
            <v>Steen</v>
          </cell>
          <cell r="J109">
            <v>14.2</v>
          </cell>
          <cell r="K109"/>
          <cell r="L109">
            <v>9153</v>
          </cell>
          <cell r="M109">
            <v>109</v>
          </cell>
          <cell r="N109"/>
          <cell r="O109">
            <v>153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</row>
        <row r="110">
          <cell r="D110" t="str">
            <v>Horizon Anker Kompas 1 gebouw A</v>
          </cell>
          <cell r="E110" t="str">
            <v>bgg</v>
          </cell>
          <cell r="F110" t="str">
            <v>A0.103</v>
          </cell>
          <cell r="G110" t="str">
            <v>Linnenkamer</v>
          </cell>
          <cell r="H110" t="str">
            <v>entree, gang, hal, repro, kopieer, was/droogruimte</v>
          </cell>
          <cell r="I110" t="str">
            <v>Tegels</v>
          </cell>
          <cell r="J110">
            <v>13.7</v>
          </cell>
          <cell r="K110"/>
          <cell r="L110">
            <v>3153</v>
          </cell>
          <cell r="M110">
            <v>103</v>
          </cell>
          <cell r="N110"/>
          <cell r="O110">
            <v>153</v>
          </cell>
          <cell r="P110">
            <v>1</v>
          </cell>
          <cell r="Q110">
            <v>0</v>
          </cell>
          <cell r="R110">
            <v>0</v>
          </cell>
          <cell r="S110">
            <v>0</v>
          </cell>
        </row>
        <row r="111">
          <cell r="D111" t="str">
            <v>Horizon Anker Kompas 1 gebouw A</v>
          </cell>
          <cell r="E111" t="str">
            <v>bgg</v>
          </cell>
          <cell r="F111" t="str">
            <v>A0.104</v>
          </cell>
          <cell r="G111" t="str">
            <v xml:space="preserve">Berging </v>
          </cell>
          <cell r="H111" t="str">
            <v>niet van toepassing</v>
          </cell>
          <cell r="I111"/>
          <cell r="J111"/>
          <cell r="K111"/>
          <cell r="L111" t="str">
            <v>nvt</v>
          </cell>
          <cell r="M111">
            <v>0</v>
          </cell>
          <cell r="N111"/>
          <cell r="O111">
            <v>0</v>
          </cell>
          <cell r="P111">
            <v>1</v>
          </cell>
          <cell r="Q111">
            <v>0</v>
          </cell>
          <cell r="R111">
            <v>0</v>
          </cell>
          <cell r="S111">
            <v>0</v>
          </cell>
        </row>
        <row r="112">
          <cell r="D112" t="str">
            <v>Horizon Anker Kompas 1 gebouw A</v>
          </cell>
          <cell r="E112" t="str">
            <v>bgg</v>
          </cell>
          <cell r="F112" t="str">
            <v>A0.105</v>
          </cell>
          <cell r="G112" t="str">
            <v>Time-out kamer</v>
          </cell>
          <cell r="H112" t="str">
            <v>niet van toepassing</v>
          </cell>
          <cell r="I112" t="str">
            <v>Linoleum</v>
          </cell>
          <cell r="J112"/>
          <cell r="K112"/>
          <cell r="L112" t="str">
            <v>nvt</v>
          </cell>
          <cell r="M112">
            <v>0</v>
          </cell>
          <cell r="N112"/>
          <cell r="O112">
            <v>0</v>
          </cell>
          <cell r="P112">
            <v>1</v>
          </cell>
          <cell r="Q112">
            <v>0</v>
          </cell>
          <cell r="R112">
            <v>0</v>
          </cell>
          <cell r="S112">
            <v>0</v>
          </cell>
        </row>
        <row r="113">
          <cell r="D113" t="str">
            <v>Horizon Anker Kompas 1 gebouw A</v>
          </cell>
          <cell r="E113" t="str">
            <v>bgg</v>
          </cell>
          <cell r="F113" t="str">
            <v>A0.106</v>
          </cell>
          <cell r="G113" t="str">
            <v>Zit-Slaapkamer</v>
          </cell>
          <cell r="H113" t="str">
            <v>niet van toepassing</v>
          </cell>
          <cell r="I113" t="str">
            <v>Linoleum</v>
          </cell>
          <cell r="J113"/>
          <cell r="K113"/>
          <cell r="L113" t="str">
            <v>nvt</v>
          </cell>
          <cell r="M113">
            <v>0</v>
          </cell>
          <cell r="N113"/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</row>
        <row r="114">
          <cell r="D114" t="str">
            <v>Horizon Anker Kompas 1 gebouw A</v>
          </cell>
          <cell r="E114" t="str">
            <v>bgg</v>
          </cell>
          <cell r="F114" t="str">
            <v>A0.107</v>
          </cell>
          <cell r="G114" t="str">
            <v>Zit-Slaapkamer</v>
          </cell>
          <cell r="H114" t="str">
            <v>niet van toepassing</v>
          </cell>
          <cell r="I114" t="str">
            <v>Linoleum</v>
          </cell>
          <cell r="J114"/>
          <cell r="K114"/>
          <cell r="L114" t="str">
            <v>nvt</v>
          </cell>
          <cell r="M114">
            <v>0</v>
          </cell>
          <cell r="N114"/>
          <cell r="O114">
            <v>0</v>
          </cell>
          <cell r="P114">
            <v>1</v>
          </cell>
          <cell r="Q114">
            <v>0</v>
          </cell>
          <cell r="R114">
            <v>0</v>
          </cell>
          <cell r="S114">
            <v>0</v>
          </cell>
        </row>
        <row r="115">
          <cell r="D115" t="str">
            <v>Horizon Anker Kompas 1 gebouw A</v>
          </cell>
          <cell r="E115" t="str">
            <v>bgg</v>
          </cell>
          <cell r="F115" t="str">
            <v>A0.108</v>
          </cell>
          <cell r="G115" t="str">
            <v>Zit-Slaapkamer</v>
          </cell>
          <cell r="H115" t="str">
            <v>niet van toepassing</v>
          </cell>
          <cell r="I115" t="str">
            <v>Linoleum</v>
          </cell>
          <cell r="J115"/>
          <cell r="K115"/>
          <cell r="L115" t="str">
            <v>nvt</v>
          </cell>
          <cell r="M115">
            <v>0</v>
          </cell>
          <cell r="N115"/>
          <cell r="O115">
            <v>0</v>
          </cell>
          <cell r="P115">
            <v>1</v>
          </cell>
          <cell r="Q115">
            <v>0</v>
          </cell>
          <cell r="R115">
            <v>0</v>
          </cell>
          <cell r="S115">
            <v>0</v>
          </cell>
        </row>
        <row r="116">
          <cell r="D116" t="str">
            <v>Horizon Anker Kompas 1 gebouw A</v>
          </cell>
          <cell r="E116" t="str">
            <v>bgg</v>
          </cell>
          <cell r="F116" t="str">
            <v>A0.109</v>
          </cell>
          <cell r="G116" t="str">
            <v>Zit-Slaapkamer</v>
          </cell>
          <cell r="H116" t="str">
            <v>niet van toepassing</v>
          </cell>
          <cell r="I116" t="str">
            <v>Linoleum</v>
          </cell>
          <cell r="J116"/>
          <cell r="K116"/>
          <cell r="L116" t="str">
            <v>nvt</v>
          </cell>
          <cell r="M116">
            <v>0</v>
          </cell>
          <cell r="N116"/>
          <cell r="O116">
            <v>0</v>
          </cell>
          <cell r="P116">
            <v>1</v>
          </cell>
          <cell r="Q116">
            <v>0</v>
          </cell>
          <cell r="R116">
            <v>0</v>
          </cell>
          <cell r="S116">
            <v>0</v>
          </cell>
        </row>
        <row r="117">
          <cell r="D117" t="str">
            <v>Horizon Anker Kompas 1 gebouw A</v>
          </cell>
          <cell r="E117" t="str">
            <v>bgg</v>
          </cell>
          <cell r="F117" t="str">
            <v>A0.110</v>
          </cell>
          <cell r="G117" t="str">
            <v>Zit-Slaapkamer</v>
          </cell>
          <cell r="H117" t="str">
            <v>niet van toepassing</v>
          </cell>
          <cell r="I117" t="str">
            <v>Linoleum</v>
          </cell>
          <cell r="J117"/>
          <cell r="K117"/>
          <cell r="L117" t="str">
            <v>nvt</v>
          </cell>
          <cell r="M117">
            <v>0</v>
          </cell>
          <cell r="N117"/>
          <cell r="O117">
            <v>0</v>
          </cell>
          <cell r="P117">
            <v>1</v>
          </cell>
          <cell r="Q117">
            <v>0</v>
          </cell>
          <cell r="R117">
            <v>0</v>
          </cell>
          <cell r="S117">
            <v>0</v>
          </cell>
        </row>
        <row r="118">
          <cell r="D118" t="str">
            <v>Horizon Anker Kompas 1 gebouw A</v>
          </cell>
          <cell r="E118" t="str">
            <v>bgg</v>
          </cell>
          <cell r="F118" t="str">
            <v>A0.111</v>
          </cell>
          <cell r="G118" t="str">
            <v>Zit-Slaapkamer</v>
          </cell>
          <cell r="H118" t="str">
            <v>niet van toepassing</v>
          </cell>
          <cell r="I118" t="str">
            <v>Linoleum</v>
          </cell>
          <cell r="J118"/>
          <cell r="K118"/>
          <cell r="L118" t="str">
            <v>nvt</v>
          </cell>
          <cell r="M118">
            <v>0</v>
          </cell>
          <cell r="N118"/>
          <cell r="O118">
            <v>0</v>
          </cell>
          <cell r="P118">
            <v>1</v>
          </cell>
          <cell r="Q118">
            <v>0</v>
          </cell>
          <cell r="R118">
            <v>0</v>
          </cell>
          <cell r="S118">
            <v>0</v>
          </cell>
        </row>
        <row r="119">
          <cell r="D119" t="str">
            <v>Horizon Anker Kompas 1 gebouw A</v>
          </cell>
          <cell r="E119" t="str">
            <v>bgg</v>
          </cell>
          <cell r="F119" t="str">
            <v>A0.112</v>
          </cell>
          <cell r="G119" t="str">
            <v>Zit-Slaapkamer</v>
          </cell>
          <cell r="H119" t="str">
            <v>niet van toepassing</v>
          </cell>
          <cell r="I119" t="str">
            <v>Linoleum</v>
          </cell>
          <cell r="J119"/>
          <cell r="K119"/>
          <cell r="L119" t="str">
            <v>nvt</v>
          </cell>
          <cell r="M119">
            <v>0</v>
          </cell>
          <cell r="N119"/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</row>
        <row r="120">
          <cell r="D120" t="str">
            <v>Horizon Anker Kompas 1 gebouw A</v>
          </cell>
          <cell r="E120" t="str">
            <v>bgg</v>
          </cell>
          <cell r="F120" t="str">
            <v>A0.113</v>
          </cell>
          <cell r="G120" t="str">
            <v>Zit-Slaapkamer</v>
          </cell>
          <cell r="H120" t="str">
            <v>niet van toepassing</v>
          </cell>
          <cell r="I120" t="str">
            <v>Linoleum</v>
          </cell>
          <cell r="J120"/>
          <cell r="K120"/>
          <cell r="L120" t="str">
            <v>nvt</v>
          </cell>
          <cell r="M120">
            <v>0</v>
          </cell>
          <cell r="N120"/>
          <cell r="O120">
            <v>0</v>
          </cell>
          <cell r="P120">
            <v>1</v>
          </cell>
          <cell r="Q120">
            <v>0</v>
          </cell>
          <cell r="R120">
            <v>0</v>
          </cell>
          <cell r="S120">
            <v>0</v>
          </cell>
        </row>
        <row r="121">
          <cell r="D121" t="str">
            <v>Horizon Anker Kompas 1 gebouw A</v>
          </cell>
          <cell r="E121" t="str">
            <v>bgg</v>
          </cell>
          <cell r="F121" t="str">
            <v>A0.114</v>
          </cell>
          <cell r="G121" t="str">
            <v>Zit-Slaapkamer</v>
          </cell>
          <cell r="H121" t="str">
            <v>niet van toepassing</v>
          </cell>
          <cell r="I121" t="str">
            <v>Linoleum</v>
          </cell>
          <cell r="J121"/>
          <cell r="K121"/>
          <cell r="L121" t="str">
            <v>nvt</v>
          </cell>
          <cell r="M121">
            <v>0</v>
          </cell>
          <cell r="N121"/>
          <cell r="O121">
            <v>0</v>
          </cell>
          <cell r="P121">
            <v>1</v>
          </cell>
          <cell r="Q121">
            <v>0</v>
          </cell>
          <cell r="R121">
            <v>0</v>
          </cell>
          <cell r="S121">
            <v>0</v>
          </cell>
        </row>
        <row r="122">
          <cell r="D122" t="str">
            <v>Horizon Anker Kompas 1 gebouw A</v>
          </cell>
          <cell r="E122" t="str">
            <v>bgg</v>
          </cell>
          <cell r="F122" t="str">
            <v>A0.115</v>
          </cell>
          <cell r="G122" t="str">
            <v>Douches</v>
          </cell>
          <cell r="H122" t="str">
            <v>sanitaire ruimte (toilet-/doucheruimte)</v>
          </cell>
          <cell r="I122" t="str">
            <v>Tegels</v>
          </cell>
          <cell r="J122">
            <v>10.3</v>
          </cell>
          <cell r="K122"/>
          <cell r="L122">
            <v>4255</v>
          </cell>
          <cell r="M122">
            <v>104</v>
          </cell>
          <cell r="N122"/>
          <cell r="O122">
            <v>255</v>
          </cell>
          <cell r="P122">
            <v>1</v>
          </cell>
          <cell r="Q122">
            <v>0</v>
          </cell>
          <cell r="R122">
            <v>0</v>
          </cell>
          <cell r="S122">
            <v>0</v>
          </cell>
        </row>
        <row r="123">
          <cell r="D123" t="str">
            <v>Horizon Anker Kompas 1 gebouw A</v>
          </cell>
          <cell r="E123" t="str">
            <v>bgg</v>
          </cell>
          <cell r="F123" t="str">
            <v>A0.116a</v>
          </cell>
          <cell r="G123" t="str">
            <v>Speelruimte</v>
          </cell>
          <cell r="H123" t="str">
            <v>speellokaal</v>
          </cell>
          <cell r="I123" t="str">
            <v>linoleum</v>
          </cell>
          <cell r="J123">
            <v>32.700000000000003</v>
          </cell>
          <cell r="K123"/>
          <cell r="L123">
            <v>8153</v>
          </cell>
          <cell r="M123">
            <v>107</v>
          </cell>
          <cell r="N123"/>
          <cell r="O123">
            <v>153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</row>
        <row r="124">
          <cell r="D124" t="str">
            <v>Horizon Anker Kompas 1 gebouw A</v>
          </cell>
          <cell r="E124" t="str">
            <v>bgg</v>
          </cell>
          <cell r="F124" t="str">
            <v>A0.116</v>
          </cell>
          <cell r="G124" t="str">
            <v>Groepsruimte</v>
          </cell>
          <cell r="H124" t="str">
            <v>leslokaal</v>
          </cell>
          <cell r="I124" t="str">
            <v>linoleum</v>
          </cell>
          <cell r="J124">
            <v>73.2</v>
          </cell>
          <cell r="K124"/>
          <cell r="L124">
            <v>7153</v>
          </cell>
          <cell r="M124">
            <v>107</v>
          </cell>
          <cell r="N124"/>
          <cell r="O124">
            <v>153</v>
          </cell>
          <cell r="P124">
            <v>1</v>
          </cell>
          <cell r="Q124">
            <v>0</v>
          </cell>
          <cell r="R124">
            <v>0</v>
          </cell>
          <cell r="S124">
            <v>0</v>
          </cell>
        </row>
        <row r="125">
          <cell r="D125" t="str">
            <v>Horizon Anker Kompas 1 gebouw A</v>
          </cell>
          <cell r="E125" t="str">
            <v>bgg</v>
          </cell>
          <cell r="F125" t="str">
            <v>A0.117a</v>
          </cell>
          <cell r="G125" t="str">
            <v>Teamkamer</v>
          </cell>
          <cell r="H125" t="str">
            <v>administratieve -, personeels- en vergaderruimte</v>
          </cell>
          <cell r="I125" t="str">
            <v>linoleum</v>
          </cell>
          <cell r="J125">
            <v>39.799999999999997</v>
          </cell>
          <cell r="K125"/>
          <cell r="L125">
            <v>1153</v>
          </cell>
          <cell r="M125">
            <v>101</v>
          </cell>
          <cell r="N125"/>
          <cell r="O125">
            <v>153</v>
          </cell>
          <cell r="P125">
            <v>1</v>
          </cell>
          <cell r="Q125">
            <v>0</v>
          </cell>
          <cell r="R125">
            <v>0</v>
          </cell>
          <cell r="S125">
            <v>0</v>
          </cell>
        </row>
        <row r="126">
          <cell r="D126" t="str">
            <v>Horizon Anker Kompas 1 gebouw A</v>
          </cell>
          <cell r="E126" t="str">
            <v>bgg</v>
          </cell>
          <cell r="F126" t="str">
            <v>A0.117b</v>
          </cell>
          <cell r="G126" t="str">
            <v>Spreekkamer</v>
          </cell>
          <cell r="H126" t="str">
            <v>administratieve -, personeels- en vergaderruimte</v>
          </cell>
          <cell r="I126" t="str">
            <v>linoleum</v>
          </cell>
          <cell r="J126">
            <v>15.6</v>
          </cell>
          <cell r="K126"/>
          <cell r="L126">
            <v>1153</v>
          </cell>
          <cell r="M126">
            <v>101</v>
          </cell>
          <cell r="N126"/>
          <cell r="O126">
            <v>153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</row>
        <row r="127">
          <cell r="D127" t="str">
            <v>Horizon Anker Kompas 1 gebouw A</v>
          </cell>
          <cell r="E127" t="str">
            <v>bgg</v>
          </cell>
          <cell r="F127" t="str">
            <v>A0.118</v>
          </cell>
          <cell r="G127" t="str">
            <v>gang</v>
          </cell>
          <cell r="H127" t="str">
            <v>entree, gang, hal, repro, kopieer, was/droogruimte</v>
          </cell>
          <cell r="I127" t="str">
            <v>linoleum</v>
          </cell>
          <cell r="J127">
            <v>5.6</v>
          </cell>
          <cell r="K127"/>
          <cell r="L127">
            <v>3153</v>
          </cell>
          <cell r="M127">
            <v>103</v>
          </cell>
          <cell r="N127"/>
          <cell r="O127">
            <v>153</v>
          </cell>
          <cell r="P127">
            <v>1</v>
          </cell>
          <cell r="Q127">
            <v>0</v>
          </cell>
          <cell r="R127">
            <v>0</v>
          </cell>
          <cell r="S127">
            <v>0</v>
          </cell>
        </row>
        <row r="128">
          <cell r="D128" t="str">
            <v>Horizon Anker Kompas 1 gebouw A</v>
          </cell>
          <cell r="E128" t="str">
            <v>bgg</v>
          </cell>
          <cell r="F128" t="str">
            <v>A0.119</v>
          </cell>
          <cell r="G128" t="str">
            <v>Bijkeuken</v>
          </cell>
          <cell r="H128" t="str">
            <v>Keuken</v>
          </cell>
          <cell r="I128" t="str">
            <v>Tegels</v>
          </cell>
          <cell r="J128">
            <v>9.4</v>
          </cell>
          <cell r="K128"/>
          <cell r="L128">
            <v>18153</v>
          </cell>
          <cell r="M128" t="str">
            <v>nvt</v>
          </cell>
          <cell r="N128"/>
          <cell r="O128">
            <v>153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</row>
        <row r="129">
          <cell r="D129" t="str">
            <v>Horizon Anker Kompas 1 gebouw A</v>
          </cell>
          <cell r="E129" t="str">
            <v>bgg</v>
          </cell>
          <cell r="F129" t="str">
            <v>A0.120</v>
          </cell>
          <cell r="G129" t="str">
            <v>toilet</v>
          </cell>
          <cell r="H129" t="str">
            <v>sanitaire ruimte (toilet-/doucheruimte)</v>
          </cell>
          <cell r="I129" t="str">
            <v>Tegels</v>
          </cell>
          <cell r="J129">
            <v>2.6</v>
          </cell>
          <cell r="K129"/>
          <cell r="L129">
            <v>4153</v>
          </cell>
          <cell r="M129">
            <v>104</v>
          </cell>
          <cell r="N129"/>
          <cell r="O129">
            <v>153</v>
          </cell>
          <cell r="P129">
            <v>1</v>
          </cell>
          <cell r="Q129">
            <v>0</v>
          </cell>
          <cell r="R129">
            <v>0</v>
          </cell>
          <cell r="S129">
            <v>0</v>
          </cell>
        </row>
        <row r="130">
          <cell r="D130" t="str">
            <v>Horizon Anker Kompas 1 gebouw A</v>
          </cell>
          <cell r="E130" t="str">
            <v>bgg</v>
          </cell>
          <cell r="F130" t="str">
            <v>A0.121</v>
          </cell>
          <cell r="G130" t="str">
            <v>Berging</v>
          </cell>
          <cell r="H130" t="str">
            <v>niet van toepassing</v>
          </cell>
          <cell r="I130"/>
          <cell r="J130"/>
          <cell r="K130"/>
          <cell r="L130" t="str">
            <v>nvt</v>
          </cell>
          <cell r="M130">
            <v>0</v>
          </cell>
          <cell r="N130"/>
          <cell r="O130">
            <v>0</v>
          </cell>
          <cell r="P130">
            <v>1</v>
          </cell>
          <cell r="Q130">
            <v>0</v>
          </cell>
          <cell r="R130">
            <v>0</v>
          </cell>
          <cell r="S130">
            <v>0</v>
          </cell>
        </row>
        <row r="131">
          <cell r="D131" t="str">
            <v>Horizon Anker Kompas 1 gebouw A</v>
          </cell>
          <cell r="E131" t="str">
            <v>bgg</v>
          </cell>
          <cell r="F131" t="str">
            <v>A0.122</v>
          </cell>
          <cell r="G131" t="str">
            <v>Sluis</v>
          </cell>
          <cell r="H131" t="str">
            <v>entree, gang, hal, repro, kopieer, was/droogruimte</v>
          </cell>
          <cell r="I131" t="str">
            <v>Steen</v>
          </cell>
          <cell r="J131">
            <v>7.9</v>
          </cell>
          <cell r="K131"/>
          <cell r="L131">
            <v>3153</v>
          </cell>
          <cell r="M131">
            <v>103</v>
          </cell>
          <cell r="N131"/>
          <cell r="O131">
            <v>153</v>
          </cell>
          <cell r="P131">
            <v>1</v>
          </cell>
          <cell r="Q131">
            <v>0</v>
          </cell>
          <cell r="R131">
            <v>0</v>
          </cell>
          <cell r="S131">
            <v>0</v>
          </cell>
        </row>
        <row r="132">
          <cell r="D132" t="str">
            <v>Horizon Anker Kompas 1 gebouw A</v>
          </cell>
          <cell r="E132" t="str">
            <v>bgg</v>
          </cell>
          <cell r="F132" t="str">
            <v>A0.123</v>
          </cell>
          <cell r="G132" t="str">
            <v xml:space="preserve">Badkamer </v>
          </cell>
          <cell r="H132" t="str">
            <v>sanitaire ruimte (toilet-/doucheruimte)</v>
          </cell>
          <cell r="I132" t="str">
            <v>Tegels</v>
          </cell>
          <cell r="J132">
            <v>6.1</v>
          </cell>
          <cell r="K132"/>
          <cell r="L132">
            <v>4255</v>
          </cell>
          <cell r="M132">
            <v>104</v>
          </cell>
          <cell r="N132"/>
          <cell r="O132">
            <v>255</v>
          </cell>
          <cell r="P132">
            <v>1</v>
          </cell>
          <cell r="Q132">
            <v>0</v>
          </cell>
          <cell r="R132">
            <v>0</v>
          </cell>
          <cell r="S132">
            <v>0</v>
          </cell>
        </row>
        <row r="133">
          <cell r="D133" t="str">
            <v>Horizon Anker Kompas 1 gebouw A</v>
          </cell>
          <cell r="E133" t="str">
            <v>bgg</v>
          </cell>
          <cell r="F133" t="str">
            <v>A0.124</v>
          </cell>
          <cell r="G133" t="str">
            <v>Loggia</v>
          </cell>
          <cell r="H133" t="str">
            <v>niet van toepassing</v>
          </cell>
          <cell r="I133"/>
          <cell r="J133"/>
          <cell r="K133"/>
          <cell r="L133" t="str">
            <v>nvt</v>
          </cell>
          <cell r="M133">
            <v>0</v>
          </cell>
          <cell r="N133"/>
          <cell r="O133">
            <v>0</v>
          </cell>
          <cell r="P133">
            <v>1</v>
          </cell>
          <cell r="Q133">
            <v>0</v>
          </cell>
          <cell r="R133">
            <v>0</v>
          </cell>
          <cell r="S133">
            <v>0</v>
          </cell>
        </row>
        <row r="134">
          <cell r="D134" t="str">
            <v>Horizon Anker Kompas 1 gebouw A</v>
          </cell>
          <cell r="E134" t="str">
            <v>bgg</v>
          </cell>
          <cell r="F134" t="str">
            <v>A0.125</v>
          </cell>
          <cell r="G134" t="str">
            <v>Afzondering</v>
          </cell>
          <cell r="H134" t="str">
            <v>aula, gemeenschappelijke ruimte, bibliotheek</v>
          </cell>
          <cell r="I134" t="str">
            <v>linoleum</v>
          </cell>
          <cell r="J134">
            <v>11.4</v>
          </cell>
          <cell r="K134"/>
          <cell r="L134">
            <v>2153</v>
          </cell>
          <cell r="M134">
            <v>102</v>
          </cell>
          <cell r="N134"/>
          <cell r="O134">
            <v>153</v>
          </cell>
          <cell r="P134">
            <v>1</v>
          </cell>
          <cell r="Q134">
            <v>0</v>
          </cell>
          <cell r="R134">
            <v>0</v>
          </cell>
          <cell r="S134">
            <v>0</v>
          </cell>
        </row>
        <row r="135">
          <cell r="D135" t="str">
            <v>Horizon Anker Kompas 1 gebouw A</v>
          </cell>
          <cell r="E135" t="str">
            <v>bgg</v>
          </cell>
          <cell r="F135" t="str">
            <v>A0.126</v>
          </cell>
          <cell r="G135" t="str">
            <v>toilet</v>
          </cell>
          <cell r="H135" t="str">
            <v>sanitaire ruimte (toilet-/doucheruimte)</v>
          </cell>
          <cell r="I135" t="str">
            <v>Tegels</v>
          </cell>
          <cell r="J135">
            <v>1.4</v>
          </cell>
          <cell r="K135"/>
          <cell r="L135">
            <v>4153</v>
          </cell>
          <cell r="M135">
            <v>104</v>
          </cell>
          <cell r="N135"/>
          <cell r="O135">
            <v>153</v>
          </cell>
          <cell r="P135">
            <v>1</v>
          </cell>
          <cell r="Q135">
            <v>0</v>
          </cell>
          <cell r="R135">
            <v>0</v>
          </cell>
          <cell r="S135">
            <v>0</v>
          </cell>
        </row>
        <row r="136">
          <cell r="D136" t="str">
            <v>Horizon Anker Kompas 1 gebouw A</v>
          </cell>
          <cell r="E136" t="str">
            <v>bgg</v>
          </cell>
          <cell r="F136" t="str">
            <v>A0.127</v>
          </cell>
          <cell r="G136" t="str">
            <v>voorruimte WC</v>
          </cell>
          <cell r="H136" t="str">
            <v>sanitaire ruimte (toilet-/doucheruimte)</v>
          </cell>
          <cell r="I136" t="str">
            <v>Tegels</v>
          </cell>
          <cell r="J136">
            <v>2</v>
          </cell>
          <cell r="K136"/>
          <cell r="L136">
            <v>4153</v>
          </cell>
          <cell r="M136">
            <v>104</v>
          </cell>
          <cell r="N136"/>
          <cell r="O136">
            <v>153</v>
          </cell>
          <cell r="P136">
            <v>1</v>
          </cell>
          <cell r="Q136">
            <v>0</v>
          </cell>
          <cell r="R136">
            <v>0</v>
          </cell>
          <cell r="S136">
            <v>0</v>
          </cell>
        </row>
        <row r="137">
          <cell r="D137" t="str">
            <v>Horizon Anker Kompas 1 gebouw A</v>
          </cell>
          <cell r="E137" t="str">
            <v>bgg</v>
          </cell>
          <cell r="F137" t="str">
            <v>A0.128</v>
          </cell>
          <cell r="G137" t="str">
            <v>Keuken</v>
          </cell>
          <cell r="H137" t="str">
            <v>Keuken</v>
          </cell>
          <cell r="I137" t="str">
            <v>Tegels</v>
          </cell>
          <cell r="J137">
            <v>14.4</v>
          </cell>
          <cell r="K137"/>
          <cell r="L137">
            <v>18255</v>
          </cell>
          <cell r="M137" t="str">
            <v>nvt</v>
          </cell>
          <cell r="N137"/>
          <cell r="O137">
            <v>255</v>
          </cell>
          <cell r="P137">
            <v>1</v>
          </cell>
          <cell r="Q137">
            <v>0</v>
          </cell>
          <cell r="R137">
            <v>0</v>
          </cell>
          <cell r="S137">
            <v>0</v>
          </cell>
        </row>
        <row r="138">
          <cell r="D138" t="str">
            <v>Horizon Anker Lagune 1 gebouw A</v>
          </cell>
          <cell r="E138" t="str">
            <v>bgg</v>
          </cell>
          <cell r="F138" t="str">
            <v>A0.201</v>
          </cell>
          <cell r="G138" t="str">
            <v>Trap</v>
          </cell>
          <cell r="H138" t="str">
            <v>trappenhuis</v>
          </cell>
          <cell r="I138" t="str">
            <v>Steen</v>
          </cell>
          <cell r="J138">
            <v>5.7</v>
          </cell>
          <cell r="K138"/>
          <cell r="L138">
            <v>9153</v>
          </cell>
          <cell r="M138">
            <v>109</v>
          </cell>
          <cell r="N138"/>
          <cell r="O138">
            <v>153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</row>
        <row r="139">
          <cell r="D139" t="str">
            <v>Horizon Anker Lagune 1 gebouw A</v>
          </cell>
          <cell r="E139" t="str">
            <v>bgg</v>
          </cell>
          <cell r="F139" t="str">
            <v>A0.202</v>
          </cell>
          <cell r="G139" t="str">
            <v>Sluis</v>
          </cell>
          <cell r="H139" t="str">
            <v>entree, gang, hal, repro, kopieer, was/droogruimte</v>
          </cell>
          <cell r="I139" t="str">
            <v>Steen</v>
          </cell>
          <cell r="J139">
            <v>9.5</v>
          </cell>
          <cell r="K139"/>
          <cell r="L139">
            <v>3153</v>
          </cell>
          <cell r="M139">
            <v>103</v>
          </cell>
          <cell r="N139"/>
          <cell r="O139">
            <v>153</v>
          </cell>
          <cell r="P139">
            <v>1</v>
          </cell>
          <cell r="Q139">
            <v>0</v>
          </cell>
          <cell r="R139">
            <v>0</v>
          </cell>
          <cell r="S139">
            <v>0</v>
          </cell>
        </row>
        <row r="140">
          <cell r="D140" t="str">
            <v>Horizon Anker Lagune 1 gebouw A</v>
          </cell>
          <cell r="E140" t="str">
            <v>bgg</v>
          </cell>
          <cell r="F140" t="str">
            <v>A0.203</v>
          </cell>
          <cell r="G140" t="str">
            <v>Gang</v>
          </cell>
          <cell r="H140" t="str">
            <v>entree, gang, hal, repro, kopieer, was/droogruimte</v>
          </cell>
          <cell r="I140" t="str">
            <v>Linoleum</v>
          </cell>
          <cell r="J140">
            <v>46.8</v>
          </cell>
          <cell r="K140"/>
          <cell r="L140">
            <v>3153</v>
          </cell>
          <cell r="M140">
            <v>103</v>
          </cell>
          <cell r="N140"/>
          <cell r="O140">
            <v>153</v>
          </cell>
          <cell r="P140">
            <v>1</v>
          </cell>
          <cell r="Q140">
            <v>0</v>
          </cell>
          <cell r="R140">
            <v>0</v>
          </cell>
          <cell r="S140">
            <v>0</v>
          </cell>
        </row>
        <row r="141">
          <cell r="D141" t="str">
            <v>Horizon Anker Lagune 1 gebouw A</v>
          </cell>
          <cell r="E141" t="str">
            <v>bgg</v>
          </cell>
          <cell r="F141" t="str">
            <v>A0.204</v>
          </cell>
          <cell r="G141" t="str">
            <v>Time-out kamer</v>
          </cell>
          <cell r="H141" t="str">
            <v>niet van toepassing</v>
          </cell>
          <cell r="I141"/>
          <cell r="J141"/>
          <cell r="K141"/>
          <cell r="L141" t="str">
            <v>nvt</v>
          </cell>
          <cell r="M141">
            <v>0</v>
          </cell>
          <cell r="N141"/>
          <cell r="O141">
            <v>0</v>
          </cell>
          <cell r="P141">
            <v>1</v>
          </cell>
          <cell r="Q141">
            <v>0</v>
          </cell>
          <cell r="R141">
            <v>0</v>
          </cell>
          <cell r="S141">
            <v>0</v>
          </cell>
        </row>
        <row r="142">
          <cell r="D142" t="str">
            <v>Horizon Anker Lagune 1 gebouw A</v>
          </cell>
          <cell r="E142" t="str">
            <v>bgg</v>
          </cell>
          <cell r="F142" t="str">
            <v>A0.205</v>
          </cell>
          <cell r="G142" t="str">
            <v>Berging</v>
          </cell>
          <cell r="H142" t="str">
            <v>niet van toepassing</v>
          </cell>
          <cell r="I142"/>
          <cell r="J142"/>
          <cell r="K142"/>
          <cell r="L142" t="str">
            <v>nvt</v>
          </cell>
          <cell r="M142">
            <v>0</v>
          </cell>
          <cell r="N142"/>
          <cell r="O142">
            <v>0</v>
          </cell>
          <cell r="P142">
            <v>1</v>
          </cell>
          <cell r="Q142">
            <v>0</v>
          </cell>
          <cell r="R142">
            <v>0</v>
          </cell>
          <cell r="S142">
            <v>0</v>
          </cell>
        </row>
        <row r="143">
          <cell r="D143" t="str">
            <v>Horizon Anker Lagune 1 gebouw A</v>
          </cell>
          <cell r="E143" t="str">
            <v>bgg</v>
          </cell>
          <cell r="F143" t="str">
            <v>A0.206</v>
          </cell>
          <cell r="G143" t="str">
            <v>Zit-Slaapkamer</v>
          </cell>
          <cell r="H143" t="str">
            <v>niet van toepassing</v>
          </cell>
          <cell r="I143"/>
          <cell r="J143"/>
          <cell r="K143"/>
          <cell r="L143" t="str">
            <v>nvt</v>
          </cell>
          <cell r="M143">
            <v>0</v>
          </cell>
          <cell r="N143"/>
          <cell r="O143">
            <v>0</v>
          </cell>
          <cell r="P143">
            <v>1</v>
          </cell>
          <cell r="Q143">
            <v>0</v>
          </cell>
          <cell r="R143">
            <v>0</v>
          </cell>
          <cell r="S143">
            <v>0</v>
          </cell>
        </row>
        <row r="144">
          <cell r="D144" t="str">
            <v>Horizon Anker Lagune 1 gebouw A</v>
          </cell>
          <cell r="E144" t="str">
            <v>bgg</v>
          </cell>
          <cell r="F144" t="str">
            <v>A0.207</v>
          </cell>
          <cell r="G144" t="str">
            <v>Zit-Slaapkamer</v>
          </cell>
          <cell r="H144" t="str">
            <v>niet van toepassing</v>
          </cell>
          <cell r="I144"/>
          <cell r="J144"/>
          <cell r="K144"/>
          <cell r="L144" t="str">
            <v>nvt</v>
          </cell>
          <cell r="M144">
            <v>0</v>
          </cell>
          <cell r="N144"/>
          <cell r="O144">
            <v>0</v>
          </cell>
          <cell r="P144">
            <v>1</v>
          </cell>
          <cell r="Q144">
            <v>0</v>
          </cell>
          <cell r="R144">
            <v>0</v>
          </cell>
          <cell r="S144">
            <v>0</v>
          </cell>
        </row>
        <row r="145">
          <cell r="D145" t="str">
            <v>Horizon Anker Lagune 1 gebouw A</v>
          </cell>
          <cell r="E145" t="str">
            <v>bgg</v>
          </cell>
          <cell r="F145" t="str">
            <v>A0.208</v>
          </cell>
          <cell r="G145" t="str">
            <v>Zit-Slaapkamer</v>
          </cell>
          <cell r="H145" t="str">
            <v>niet van toepassing</v>
          </cell>
          <cell r="I145"/>
          <cell r="J145"/>
          <cell r="K145"/>
          <cell r="L145" t="str">
            <v>nvt</v>
          </cell>
          <cell r="M145">
            <v>0</v>
          </cell>
          <cell r="N145"/>
          <cell r="O145">
            <v>0</v>
          </cell>
          <cell r="P145">
            <v>1</v>
          </cell>
          <cell r="Q145">
            <v>0</v>
          </cell>
          <cell r="R145">
            <v>0</v>
          </cell>
          <cell r="S145">
            <v>0</v>
          </cell>
        </row>
        <row r="146">
          <cell r="D146" t="str">
            <v>Horizon Anker Lagune 1 gebouw A</v>
          </cell>
          <cell r="E146" t="str">
            <v>bgg</v>
          </cell>
          <cell r="F146" t="str">
            <v>A0.209</v>
          </cell>
          <cell r="G146" t="str">
            <v>Zit-Slaapkamer</v>
          </cell>
          <cell r="H146" t="str">
            <v>niet van toepassing</v>
          </cell>
          <cell r="I146"/>
          <cell r="J146"/>
          <cell r="K146"/>
          <cell r="L146" t="str">
            <v>nvt</v>
          </cell>
          <cell r="M146">
            <v>0</v>
          </cell>
          <cell r="N146"/>
          <cell r="O146">
            <v>0</v>
          </cell>
          <cell r="P146">
            <v>1</v>
          </cell>
          <cell r="Q146">
            <v>0</v>
          </cell>
          <cell r="R146">
            <v>0</v>
          </cell>
          <cell r="S146">
            <v>0</v>
          </cell>
        </row>
        <row r="147">
          <cell r="D147" t="str">
            <v>Horizon Anker Lagune 1 gebouw A</v>
          </cell>
          <cell r="E147" t="str">
            <v>bgg</v>
          </cell>
          <cell r="F147" t="str">
            <v>A0.210</v>
          </cell>
          <cell r="G147" t="str">
            <v>Zit-Slaapkamer</v>
          </cell>
          <cell r="H147" t="str">
            <v>niet van toepassing</v>
          </cell>
          <cell r="I147"/>
          <cell r="J147"/>
          <cell r="K147"/>
          <cell r="L147" t="str">
            <v>nvt</v>
          </cell>
          <cell r="M147">
            <v>0</v>
          </cell>
          <cell r="N147"/>
          <cell r="O147">
            <v>0</v>
          </cell>
          <cell r="P147">
            <v>1</v>
          </cell>
          <cell r="Q147">
            <v>0</v>
          </cell>
          <cell r="R147">
            <v>0</v>
          </cell>
          <cell r="S147">
            <v>0</v>
          </cell>
        </row>
        <row r="148">
          <cell r="D148" t="str">
            <v>Horizon Anker Lagune 1 gebouw A</v>
          </cell>
          <cell r="E148" t="str">
            <v>bgg</v>
          </cell>
          <cell r="F148" t="str">
            <v>A0.211</v>
          </cell>
          <cell r="G148" t="str">
            <v>Zit-Slaapkamer</v>
          </cell>
          <cell r="H148" t="str">
            <v>niet van toepassing</v>
          </cell>
          <cell r="I148"/>
          <cell r="J148"/>
          <cell r="K148"/>
          <cell r="L148" t="str">
            <v>nvt</v>
          </cell>
          <cell r="M148">
            <v>0</v>
          </cell>
          <cell r="N148"/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0</v>
          </cell>
        </row>
        <row r="149">
          <cell r="D149" t="str">
            <v>Horizon Anker Lagune 1 gebouw A</v>
          </cell>
          <cell r="E149" t="str">
            <v>bgg</v>
          </cell>
          <cell r="F149" t="str">
            <v>A0.212</v>
          </cell>
          <cell r="G149" t="str">
            <v>Zit-Slaapkamer</v>
          </cell>
          <cell r="H149" t="str">
            <v>niet van toepassing</v>
          </cell>
          <cell r="I149"/>
          <cell r="J149"/>
          <cell r="K149"/>
          <cell r="L149" t="str">
            <v>nvt</v>
          </cell>
          <cell r="M149">
            <v>0</v>
          </cell>
          <cell r="N149"/>
          <cell r="O149">
            <v>0</v>
          </cell>
          <cell r="P149">
            <v>1</v>
          </cell>
          <cell r="Q149">
            <v>0</v>
          </cell>
          <cell r="R149">
            <v>0</v>
          </cell>
          <cell r="S149">
            <v>0</v>
          </cell>
        </row>
        <row r="150">
          <cell r="D150" t="str">
            <v>Horizon Anker Lagune 1 gebouw A</v>
          </cell>
          <cell r="E150" t="str">
            <v>bgg</v>
          </cell>
          <cell r="F150" t="str">
            <v>A0.213</v>
          </cell>
          <cell r="G150" t="str">
            <v>Zit-Slaapkamer</v>
          </cell>
          <cell r="H150" t="str">
            <v>niet van toepassing</v>
          </cell>
          <cell r="I150"/>
          <cell r="J150"/>
          <cell r="K150"/>
          <cell r="L150" t="str">
            <v>nvt</v>
          </cell>
          <cell r="M150">
            <v>0</v>
          </cell>
          <cell r="N150"/>
          <cell r="O150">
            <v>0</v>
          </cell>
          <cell r="P150">
            <v>1</v>
          </cell>
          <cell r="Q150">
            <v>0</v>
          </cell>
          <cell r="R150">
            <v>0</v>
          </cell>
          <cell r="S150">
            <v>0</v>
          </cell>
        </row>
        <row r="151">
          <cell r="D151" t="str">
            <v>Horizon Anker Lagune 1 gebouw A</v>
          </cell>
          <cell r="E151" t="str">
            <v>bgg</v>
          </cell>
          <cell r="F151" t="str">
            <v>A0.214</v>
          </cell>
          <cell r="G151" t="str">
            <v>Kast</v>
          </cell>
          <cell r="H151" t="str">
            <v>niet van toepassing</v>
          </cell>
          <cell r="I151"/>
          <cell r="J151"/>
          <cell r="K151"/>
          <cell r="L151" t="str">
            <v>nvt</v>
          </cell>
          <cell r="M151">
            <v>0</v>
          </cell>
          <cell r="N151"/>
          <cell r="O151">
            <v>0</v>
          </cell>
          <cell r="P151">
            <v>1</v>
          </cell>
          <cell r="Q151">
            <v>0</v>
          </cell>
          <cell r="R151">
            <v>0</v>
          </cell>
          <cell r="S151">
            <v>0</v>
          </cell>
        </row>
        <row r="152">
          <cell r="D152" t="str">
            <v>Horizon Anker Lagune 1 gebouw A</v>
          </cell>
          <cell r="E152" t="str">
            <v>bgg</v>
          </cell>
          <cell r="F152" t="str">
            <v>A0.215a</v>
          </cell>
          <cell r="G152" t="str">
            <v>douche</v>
          </cell>
          <cell r="H152" t="str">
            <v>sanitaire ruimte (toilet-/doucheruimte)</v>
          </cell>
          <cell r="I152" t="str">
            <v>Tegels</v>
          </cell>
          <cell r="J152">
            <v>1.8</v>
          </cell>
          <cell r="K152"/>
          <cell r="L152">
            <v>4255</v>
          </cell>
          <cell r="M152">
            <v>104</v>
          </cell>
          <cell r="N152"/>
          <cell r="O152">
            <v>255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</row>
        <row r="153">
          <cell r="D153" t="str">
            <v>Horizon Anker Lagune 1 gebouw A</v>
          </cell>
          <cell r="E153" t="str">
            <v>bgg</v>
          </cell>
          <cell r="F153" t="str">
            <v>A0.215b</v>
          </cell>
          <cell r="G153" t="str">
            <v>douche</v>
          </cell>
          <cell r="H153" t="str">
            <v>sanitaire ruimte (toilet-/doucheruimte)</v>
          </cell>
          <cell r="I153" t="str">
            <v>Tegels</v>
          </cell>
          <cell r="J153">
            <v>2</v>
          </cell>
          <cell r="K153"/>
          <cell r="L153">
            <v>4255</v>
          </cell>
          <cell r="M153">
            <v>104</v>
          </cell>
          <cell r="N153"/>
          <cell r="O153">
            <v>255</v>
          </cell>
          <cell r="P153">
            <v>1</v>
          </cell>
          <cell r="Q153">
            <v>0</v>
          </cell>
          <cell r="R153">
            <v>0</v>
          </cell>
          <cell r="S153">
            <v>0</v>
          </cell>
        </row>
        <row r="154">
          <cell r="D154" t="str">
            <v>Horizon Anker Lagune 1 gebouw A</v>
          </cell>
          <cell r="E154" t="str">
            <v>bgg</v>
          </cell>
          <cell r="F154" t="str">
            <v>A0.215c</v>
          </cell>
          <cell r="G154" t="str">
            <v>douche</v>
          </cell>
          <cell r="H154" t="str">
            <v>sanitaire ruimte (toilet-/doucheruimte)</v>
          </cell>
          <cell r="I154" t="str">
            <v>Tegels</v>
          </cell>
          <cell r="J154">
            <v>2.2999999999999998</v>
          </cell>
          <cell r="K154"/>
          <cell r="L154">
            <v>4255</v>
          </cell>
          <cell r="M154">
            <v>104</v>
          </cell>
          <cell r="N154"/>
          <cell r="O154">
            <v>255</v>
          </cell>
          <cell r="P154">
            <v>1</v>
          </cell>
          <cell r="Q154">
            <v>0</v>
          </cell>
          <cell r="R154">
            <v>0</v>
          </cell>
          <cell r="S154">
            <v>0</v>
          </cell>
        </row>
        <row r="155">
          <cell r="D155" t="str">
            <v>Horizon Anker Lagune 1 gebouw A</v>
          </cell>
          <cell r="E155" t="str">
            <v>bgg</v>
          </cell>
          <cell r="F155" t="str">
            <v>A0.216</v>
          </cell>
          <cell r="G155" t="str">
            <v>toilet</v>
          </cell>
          <cell r="H155" t="str">
            <v>sanitaire ruimte (toilet-/doucheruimte)</v>
          </cell>
          <cell r="I155" t="str">
            <v>Tegels</v>
          </cell>
          <cell r="J155">
            <v>3.4</v>
          </cell>
          <cell r="K155"/>
          <cell r="L155">
            <v>4153</v>
          </cell>
          <cell r="M155">
            <v>104</v>
          </cell>
          <cell r="N155"/>
          <cell r="O155">
            <v>153</v>
          </cell>
          <cell r="P155">
            <v>1</v>
          </cell>
          <cell r="Q155">
            <v>0</v>
          </cell>
          <cell r="R155">
            <v>0</v>
          </cell>
          <cell r="S155">
            <v>0</v>
          </cell>
        </row>
        <row r="156">
          <cell r="D156" t="str">
            <v>Horizon Anker Lagune 1 gebouw A</v>
          </cell>
          <cell r="E156" t="str">
            <v>bgg</v>
          </cell>
          <cell r="F156" t="str">
            <v>A0.217</v>
          </cell>
          <cell r="G156" t="str">
            <v>toilet</v>
          </cell>
          <cell r="H156" t="str">
            <v>sanitaire ruimte (toilet-/doucheruimte)</v>
          </cell>
          <cell r="I156" t="str">
            <v>Tegels</v>
          </cell>
          <cell r="J156">
            <v>3.8</v>
          </cell>
          <cell r="K156"/>
          <cell r="L156">
            <v>4153</v>
          </cell>
          <cell r="M156">
            <v>104</v>
          </cell>
          <cell r="N156"/>
          <cell r="O156">
            <v>153</v>
          </cell>
          <cell r="P156">
            <v>1</v>
          </cell>
          <cell r="Q156">
            <v>0</v>
          </cell>
          <cell r="R156">
            <v>0</v>
          </cell>
          <cell r="S156">
            <v>0</v>
          </cell>
        </row>
        <row r="157">
          <cell r="D157" t="str">
            <v>Horizon Anker Lagune 1 gebouw A</v>
          </cell>
          <cell r="E157" t="str">
            <v>bgg</v>
          </cell>
          <cell r="F157" t="str">
            <v>A0.218</v>
          </cell>
          <cell r="G157" t="str">
            <v>Teamkamer</v>
          </cell>
          <cell r="H157" t="str">
            <v>administratieve -, personeels- en vergaderruimte</v>
          </cell>
          <cell r="I157" t="str">
            <v>Linoleum</v>
          </cell>
          <cell r="J157">
            <v>17.7</v>
          </cell>
          <cell r="K157"/>
          <cell r="L157">
            <v>1153</v>
          </cell>
          <cell r="M157">
            <v>101</v>
          </cell>
          <cell r="N157"/>
          <cell r="O157">
            <v>153</v>
          </cell>
          <cell r="P157">
            <v>1</v>
          </cell>
          <cell r="Q157">
            <v>0</v>
          </cell>
          <cell r="R157">
            <v>0</v>
          </cell>
          <cell r="S157">
            <v>0</v>
          </cell>
        </row>
        <row r="158">
          <cell r="D158" t="str">
            <v>Horizon Anker Lagune 2 gebouw A</v>
          </cell>
          <cell r="E158" t="str">
            <v>1e</v>
          </cell>
          <cell r="F158" t="str">
            <v>A0.219</v>
          </cell>
          <cell r="G158" t="str">
            <v>MK</v>
          </cell>
          <cell r="H158" t="str">
            <v>niet van toepassing</v>
          </cell>
          <cell r="I158"/>
          <cell r="J158"/>
          <cell r="K158"/>
          <cell r="L158" t="str">
            <v>nvt</v>
          </cell>
          <cell r="M158">
            <v>0</v>
          </cell>
          <cell r="N158"/>
          <cell r="O158">
            <v>0</v>
          </cell>
          <cell r="P158">
            <v>1</v>
          </cell>
          <cell r="Q158">
            <v>0</v>
          </cell>
          <cell r="R158">
            <v>0</v>
          </cell>
          <cell r="S158">
            <v>0</v>
          </cell>
        </row>
        <row r="159">
          <cell r="D159" t="str">
            <v>Horizon Anker Lagune 1 gebouw A</v>
          </cell>
          <cell r="E159" t="str">
            <v>bgg</v>
          </cell>
          <cell r="F159" t="str">
            <v>A0.220</v>
          </cell>
          <cell r="G159" t="str">
            <v>WDR/Linnen+WK</v>
          </cell>
          <cell r="H159" t="str">
            <v>entree, gang, hal, repro, kopieer, was/droogruimte</v>
          </cell>
          <cell r="I159" t="str">
            <v>Tegels</v>
          </cell>
          <cell r="J159">
            <v>7.9</v>
          </cell>
          <cell r="K159"/>
          <cell r="L159">
            <v>3153</v>
          </cell>
          <cell r="M159">
            <v>103</v>
          </cell>
          <cell r="N159"/>
          <cell r="O159">
            <v>153</v>
          </cell>
          <cell r="P159">
            <v>1</v>
          </cell>
          <cell r="Q159">
            <v>0</v>
          </cell>
          <cell r="R159">
            <v>0</v>
          </cell>
          <cell r="S159">
            <v>0</v>
          </cell>
        </row>
        <row r="160">
          <cell r="D160" t="str">
            <v>Horizon Anker Lagune 1 gebouw A</v>
          </cell>
          <cell r="E160" t="str">
            <v>bgg</v>
          </cell>
          <cell r="F160" t="str">
            <v>A0.221a</v>
          </cell>
          <cell r="G160" t="str">
            <v>Speelruimte</v>
          </cell>
          <cell r="H160" t="str">
            <v>speellokaal</v>
          </cell>
          <cell r="I160" t="str">
            <v>Linoleum</v>
          </cell>
          <cell r="J160">
            <v>40.6</v>
          </cell>
          <cell r="K160"/>
          <cell r="L160">
            <v>8153</v>
          </cell>
          <cell r="M160">
            <v>107</v>
          </cell>
          <cell r="N160"/>
          <cell r="O160">
            <v>153</v>
          </cell>
          <cell r="P160">
            <v>1</v>
          </cell>
          <cell r="Q160">
            <v>0</v>
          </cell>
          <cell r="R160">
            <v>0</v>
          </cell>
          <cell r="S160">
            <v>0</v>
          </cell>
        </row>
        <row r="161">
          <cell r="D161" t="str">
            <v>Horizon Anker Lagune 1 gebouw A</v>
          </cell>
          <cell r="E161" t="str">
            <v>bgg</v>
          </cell>
          <cell r="F161" t="str">
            <v>A0.221b</v>
          </cell>
          <cell r="G161" t="str">
            <v>Groepsruimte</v>
          </cell>
          <cell r="H161" t="str">
            <v>leslokaal</v>
          </cell>
          <cell r="I161" t="str">
            <v>Linoleum</v>
          </cell>
          <cell r="J161">
            <v>70.8</v>
          </cell>
          <cell r="K161"/>
          <cell r="L161">
            <v>7153</v>
          </cell>
          <cell r="M161">
            <v>107</v>
          </cell>
          <cell r="N161"/>
          <cell r="O161">
            <v>153</v>
          </cell>
          <cell r="P161">
            <v>1</v>
          </cell>
          <cell r="Q161">
            <v>0</v>
          </cell>
          <cell r="R161">
            <v>0</v>
          </cell>
          <cell r="S161">
            <v>0</v>
          </cell>
        </row>
        <row r="162">
          <cell r="D162" t="str">
            <v>Horizon Anker Lagune 1 gebouw A</v>
          </cell>
          <cell r="E162" t="str">
            <v>bgg</v>
          </cell>
          <cell r="F162" t="str">
            <v>A0.222</v>
          </cell>
          <cell r="G162" t="str">
            <v>Keuken (keuken)</v>
          </cell>
          <cell r="H162" t="str">
            <v>Keuken</v>
          </cell>
          <cell r="I162" t="str">
            <v>Tegels</v>
          </cell>
          <cell r="J162">
            <v>13.2</v>
          </cell>
          <cell r="K162"/>
          <cell r="L162">
            <v>18255</v>
          </cell>
          <cell r="M162" t="str">
            <v>nvt</v>
          </cell>
          <cell r="N162"/>
          <cell r="O162">
            <v>255</v>
          </cell>
          <cell r="P162">
            <v>1</v>
          </cell>
          <cell r="Q162">
            <v>0</v>
          </cell>
          <cell r="R162">
            <v>0</v>
          </cell>
          <cell r="S162">
            <v>0</v>
          </cell>
        </row>
        <row r="163">
          <cell r="D163" t="str">
            <v>Horizon Anker Lagune 1 gebouw A</v>
          </cell>
          <cell r="E163" t="str">
            <v>bgg</v>
          </cell>
          <cell r="F163" t="str">
            <v>A0.223</v>
          </cell>
          <cell r="G163" t="str">
            <v>Bijkeuken</v>
          </cell>
          <cell r="H163" t="str">
            <v>Keuken</v>
          </cell>
          <cell r="I163" t="str">
            <v>Tegels</v>
          </cell>
          <cell r="J163">
            <v>6.7</v>
          </cell>
          <cell r="K163"/>
          <cell r="L163">
            <v>18153</v>
          </cell>
          <cell r="M163" t="str">
            <v>nvt</v>
          </cell>
          <cell r="N163"/>
          <cell r="O163">
            <v>153</v>
          </cell>
          <cell r="P163">
            <v>1</v>
          </cell>
          <cell r="Q163">
            <v>0</v>
          </cell>
          <cell r="R163">
            <v>0</v>
          </cell>
          <cell r="S163">
            <v>0</v>
          </cell>
        </row>
        <row r="164">
          <cell r="D164" t="str">
            <v>Horizon Anker Lagune 1 gebouw A</v>
          </cell>
          <cell r="E164" t="str">
            <v>bgg</v>
          </cell>
          <cell r="F164" t="str">
            <v>A0.224</v>
          </cell>
          <cell r="G164" t="str">
            <v>Entree</v>
          </cell>
          <cell r="H164" t="str">
            <v>entree, gang, hal, repro, kopieer, was/droogruimte</v>
          </cell>
          <cell r="I164" t="str">
            <v>Linoleum</v>
          </cell>
          <cell r="J164">
            <v>12.7</v>
          </cell>
          <cell r="K164"/>
          <cell r="L164">
            <v>3153</v>
          </cell>
          <cell r="M164">
            <v>103</v>
          </cell>
          <cell r="N164"/>
          <cell r="O164">
            <v>153</v>
          </cell>
          <cell r="P164">
            <v>1</v>
          </cell>
          <cell r="Q164">
            <v>0</v>
          </cell>
          <cell r="R164">
            <v>0</v>
          </cell>
          <cell r="S164">
            <v>0</v>
          </cell>
        </row>
        <row r="165">
          <cell r="D165" t="str">
            <v>Horizon Anker Lagune 1 gebouw A</v>
          </cell>
          <cell r="E165" t="str">
            <v>bgg</v>
          </cell>
          <cell r="F165" t="str">
            <v>A0.225</v>
          </cell>
          <cell r="G165" t="str">
            <v>Spreekkamer</v>
          </cell>
          <cell r="H165" t="str">
            <v>administratieve -, personeels- en vergaderruimte</v>
          </cell>
          <cell r="I165" t="str">
            <v>Linoleum</v>
          </cell>
          <cell r="J165">
            <v>11.6</v>
          </cell>
          <cell r="K165"/>
          <cell r="L165">
            <v>1153</v>
          </cell>
          <cell r="M165">
            <v>101</v>
          </cell>
          <cell r="N165"/>
          <cell r="O165">
            <v>153</v>
          </cell>
          <cell r="P165">
            <v>1</v>
          </cell>
          <cell r="Q165">
            <v>0</v>
          </cell>
          <cell r="R165">
            <v>0</v>
          </cell>
          <cell r="S165">
            <v>0</v>
          </cell>
        </row>
        <row r="166">
          <cell r="D166" t="str">
            <v>Horizon Anker Lagune 1 gebouw A</v>
          </cell>
          <cell r="E166" t="str">
            <v>bgg</v>
          </cell>
          <cell r="F166" t="str">
            <v>A0.226</v>
          </cell>
          <cell r="G166" t="str">
            <v>Gang</v>
          </cell>
          <cell r="H166" t="str">
            <v>entree, gang, hal, repro, kopieer, was/droogruimte</v>
          </cell>
          <cell r="I166" t="str">
            <v>Linoleum</v>
          </cell>
          <cell r="J166">
            <v>17.899999999999999</v>
          </cell>
          <cell r="K166"/>
          <cell r="L166">
            <v>3153</v>
          </cell>
          <cell r="M166">
            <v>103</v>
          </cell>
          <cell r="N166"/>
          <cell r="O166">
            <v>153</v>
          </cell>
          <cell r="P166">
            <v>1</v>
          </cell>
          <cell r="Q166">
            <v>0</v>
          </cell>
          <cell r="R166">
            <v>0</v>
          </cell>
          <cell r="S166">
            <v>0</v>
          </cell>
        </row>
        <row r="167">
          <cell r="D167" t="str">
            <v>Horizon Anker Lagune 1 gebouw A</v>
          </cell>
          <cell r="E167" t="str">
            <v>bgg</v>
          </cell>
          <cell r="F167" t="str">
            <v>A0.227</v>
          </cell>
          <cell r="G167" t="str">
            <v>Trap</v>
          </cell>
          <cell r="H167" t="str">
            <v>trappenhuis</v>
          </cell>
          <cell r="I167" t="str">
            <v>Steen</v>
          </cell>
          <cell r="J167">
            <v>3.1</v>
          </cell>
          <cell r="K167"/>
          <cell r="L167">
            <v>9153</v>
          </cell>
          <cell r="M167">
            <v>109</v>
          </cell>
          <cell r="N167"/>
          <cell r="O167">
            <v>153</v>
          </cell>
          <cell r="P167">
            <v>1</v>
          </cell>
          <cell r="Q167">
            <v>0</v>
          </cell>
          <cell r="R167">
            <v>0</v>
          </cell>
          <cell r="S167">
            <v>0</v>
          </cell>
        </row>
        <row r="168">
          <cell r="D168" t="str">
            <v>Horizon Anker Lagune 1 gebouw A</v>
          </cell>
          <cell r="E168" t="str">
            <v>bgg</v>
          </cell>
          <cell r="F168" t="str">
            <v>A0.228</v>
          </cell>
          <cell r="G168" t="str">
            <v>Sluis</v>
          </cell>
          <cell r="H168" t="str">
            <v>entree, gang, hal, repro, kopieer, was/droogruimte</v>
          </cell>
          <cell r="I168" t="str">
            <v>Steen</v>
          </cell>
          <cell r="J168">
            <v>8.6999999999999993</v>
          </cell>
          <cell r="K168"/>
          <cell r="L168">
            <v>3153</v>
          </cell>
          <cell r="M168">
            <v>103</v>
          </cell>
          <cell r="N168"/>
          <cell r="O168">
            <v>153</v>
          </cell>
          <cell r="P168">
            <v>1</v>
          </cell>
          <cell r="Q168">
            <v>0</v>
          </cell>
          <cell r="R168">
            <v>0</v>
          </cell>
          <cell r="S168">
            <v>0</v>
          </cell>
        </row>
        <row r="169">
          <cell r="D169" t="str">
            <v>Horizon Anker Lagune 1 gebouw A</v>
          </cell>
          <cell r="E169" t="str">
            <v>bgg</v>
          </cell>
          <cell r="F169" t="str">
            <v>A0.229</v>
          </cell>
          <cell r="G169" t="str">
            <v>Loggia</v>
          </cell>
          <cell r="H169" t="str">
            <v>niet van toepassing</v>
          </cell>
          <cell r="I169"/>
          <cell r="J169"/>
          <cell r="K169"/>
          <cell r="L169" t="str">
            <v>nvt</v>
          </cell>
          <cell r="M169">
            <v>0</v>
          </cell>
          <cell r="N169"/>
          <cell r="O169">
            <v>0</v>
          </cell>
          <cell r="P169">
            <v>1</v>
          </cell>
          <cell r="Q169">
            <v>0</v>
          </cell>
          <cell r="R169">
            <v>0</v>
          </cell>
          <cell r="S169">
            <v>0</v>
          </cell>
        </row>
        <row r="170">
          <cell r="D170" t="str">
            <v>Horizon Anker Lagune 1 gebouw A</v>
          </cell>
          <cell r="E170" t="str">
            <v>bgg</v>
          </cell>
          <cell r="F170" t="str">
            <v>A0.230</v>
          </cell>
          <cell r="G170" t="str">
            <v>Afzondering</v>
          </cell>
          <cell r="H170" t="str">
            <v>aula, gemeenschappelijke ruimte, bibliotheek</v>
          </cell>
          <cell r="I170" t="str">
            <v>Linoleum</v>
          </cell>
          <cell r="J170">
            <v>9.6999999999999993</v>
          </cell>
          <cell r="K170"/>
          <cell r="L170">
            <v>2153</v>
          </cell>
          <cell r="M170">
            <v>102</v>
          </cell>
          <cell r="N170"/>
          <cell r="O170">
            <v>153</v>
          </cell>
          <cell r="P170">
            <v>1</v>
          </cell>
          <cell r="Q170">
            <v>0</v>
          </cell>
          <cell r="R170">
            <v>0</v>
          </cell>
          <cell r="S170">
            <v>0</v>
          </cell>
        </row>
        <row r="171">
          <cell r="D171" t="str">
            <v>Horizon Anker Lagune 1 gebouw A</v>
          </cell>
          <cell r="E171" t="str">
            <v>bgg</v>
          </cell>
          <cell r="F171" t="str">
            <v>A0.231</v>
          </cell>
          <cell r="G171" t="str">
            <v xml:space="preserve">Badkamer </v>
          </cell>
          <cell r="H171" t="str">
            <v>sanitaire ruimte (toilet-/doucheruimte)</v>
          </cell>
          <cell r="I171" t="str">
            <v>Tegels</v>
          </cell>
          <cell r="J171">
            <v>5.0999999999999996</v>
          </cell>
          <cell r="K171"/>
          <cell r="L171">
            <v>4255</v>
          </cell>
          <cell r="M171">
            <v>104</v>
          </cell>
          <cell r="N171"/>
          <cell r="O171">
            <v>255</v>
          </cell>
          <cell r="P171">
            <v>1</v>
          </cell>
          <cell r="Q171">
            <v>0</v>
          </cell>
          <cell r="R171">
            <v>0</v>
          </cell>
          <cell r="S171">
            <v>0</v>
          </cell>
        </row>
        <row r="172">
          <cell r="D172" t="str">
            <v>Horizon Anker Lagune 1 gebouw A</v>
          </cell>
          <cell r="E172" t="str">
            <v>bgg</v>
          </cell>
          <cell r="F172" t="str">
            <v>A0.232</v>
          </cell>
          <cell r="G172" t="str">
            <v>kast</v>
          </cell>
          <cell r="H172" t="str">
            <v>niet van toepassing</v>
          </cell>
          <cell r="I172"/>
          <cell r="J172"/>
          <cell r="K172"/>
          <cell r="L172" t="str">
            <v>nvt</v>
          </cell>
          <cell r="M172">
            <v>0</v>
          </cell>
          <cell r="N172"/>
          <cell r="O172">
            <v>0</v>
          </cell>
          <cell r="P172">
            <v>1</v>
          </cell>
          <cell r="Q172">
            <v>0</v>
          </cell>
          <cell r="R172">
            <v>0</v>
          </cell>
          <cell r="S172">
            <v>0</v>
          </cell>
        </row>
        <row r="173">
          <cell r="D173" t="str">
            <v>Horizon Anker Lagune 1 gebouw A</v>
          </cell>
          <cell r="E173" t="str">
            <v>bgg</v>
          </cell>
          <cell r="F173" t="str">
            <v>A0.233</v>
          </cell>
          <cell r="G173" t="str">
            <v>Afdelingshoofd</v>
          </cell>
          <cell r="H173" t="str">
            <v>administratieve -, personeels- en vergaderruimte</v>
          </cell>
          <cell r="I173" t="str">
            <v>Linoleum</v>
          </cell>
          <cell r="J173">
            <v>17.5</v>
          </cell>
          <cell r="K173"/>
          <cell r="L173">
            <v>1102</v>
          </cell>
          <cell r="M173">
            <v>101</v>
          </cell>
          <cell r="N173"/>
          <cell r="O173">
            <v>102</v>
          </cell>
          <cell r="P173">
            <v>1</v>
          </cell>
          <cell r="Q173">
            <v>0</v>
          </cell>
          <cell r="R173">
            <v>0</v>
          </cell>
          <cell r="S173">
            <v>0</v>
          </cell>
        </row>
        <row r="174">
          <cell r="D174" t="str">
            <v>Horizon Anker Openbare ruimte gebouw A</v>
          </cell>
          <cell r="E174" t="str">
            <v>1e</v>
          </cell>
          <cell r="F174" t="str">
            <v>A0.234</v>
          </cell>
          <cell r="G174" t="str">
            <v>BHV kast</v>
          </cell>
          <cell r="H174" t="str">
            <v>niet van toepassing</v>
          </cell>
          <cell r="I174"/>
          <cell r="J174"/>
          <cell r="K174"/>
          <cell r="L174" t="str">
            <v>nvt</v>
          </cell>
          <cell r="M174">
            <v>0</v>
          </cell>
          <cell r="N174"/>
          <cell r="O174">
            <v>0</v>
          </cell>
          <cell r="P174">
            <v>1</v>
          </cell>
          <cell r="Q174">
            <v>0</v>
          </cell>
          <cell r="R174">
            <v>0</v>
          </cell>
          <cell r="S174">
            <v>0</v>
          </cell>
        </row>
        <row r="175">
          <cell r="D175" t="str">
            <v>Horizon Anker Einder 1 gebouw A</v>
          </cell>
          <cell r="E175" t="str">
            <v>bgg</v>
          </cell>
          <cell r="F175" t="str">
            <v>A0.301</v>
          </cell>
          <cell r="G175" t="str">
            <v>Trap</v>
          </cell>
          <cell r="H175" t="str">
            <v>trappenhuis</v>
          </cell>
          <cell r="I175" t="str">
            <v>steen</v>
          </cell>
          <cell r="J175">
            <v>5.7</v>
          </cell>
          <cell r="K175"/>
          <cell r="L175">
            <v>9153</v>
          </cell>
          <cell r="M175">
            <v>109</v>
          </cell>
          <cell r="N175"/>
          <cell r="O175">
            <v>153</v>
          </cell>
          <cell r="P175">
            <v>1</v>
          </cell>
          <cell r="Q175">
            <v>0</v>
          </cell>
          <cell r="R175">
            <v>0</v>
          </cell>
          <cell r="S175">
            <v>0</v>
          </cell>
        </row>
        <row r="176">
          <cell r="D176" t="str">
            <v>Horizon Anker Einder 1 gebouw A</v>
          </cell>
          <cell r="E176" t="str">
            <v>bgg</v>
          </cell>
          <cell r="F176" t="str">
            <v>A0.302</v>
          </cell>
          <cell r="G176" t="str">
            <v>Sluis</v>
          </cell>
          <cell r="H176" t="str">
            <v>entree, gang, hal, repro, kopieer, was/droogruimte</v>
          </cell>
          <cell r="I176" t="str">
            <v>Linoleum</v>
          </cell>
          <cell r="J176">
            <v>9.8000000000000007</v>
          </cell>
          <cell r="K176"/>
          <cell r="L176">
            <v>3153</v>
          </cell>
          <cell r="M176">
            <v>103</v>
          </cell>
          <cell r="N176"/>
          <cell r="O176">
            <v>153</v>
          </cell>
          <cell r="P176">
            <v>1</v>
          </cell>
          <cell r="Q176">
            <v>0</v>
          </cell>
          <cell r="R176">
            <v>0</v>
          </cell>
          <cell r="S176">
            <v>0</v>
          </cell>
        </row>
        <row r="177">
          <cell r="D177" t="str">
            <v>Horizon Anker Einder 1 gebouw A</v>
          </cell>
          <cell r="E177" t="str">
            <v>bgg</v>
          </cell>
          <cell r="F177" t="str">
            <v>A0.303</v>
          </cell>
          <cell r="G177" t="str">
            <v>Gang</v>
          </cell>
          <cell r="H177" t="str">
            <v>entree, gang, hal, repro, kopieer, was/droogruimte</v>
          </cell>
          <cell r="I177" t="str">
            <v>Linoleum</v>
          </cell>
          <cell r="J177">
            <v>46.8</v>
          </cell>
          <cell r="K177"/>
          <cell r="L177">
            <v>3153</v>
          </cell>
          <cell r="M177">
            <v>103</v>
          </cell>
          <cell r="N177"/>
          <cell r="O177">
            <v>153</v>
          </cell>
          <cell r="P177">
            <v>1</v>
          </cell>
          <cell r="Q177">
            <v>0</v>
          </cell>
          <cell r="R177">
            <v>0</v>
          </cell>
          <cell r="S177">
            <v>0</v>
          </cell>
        </row>
        <row r="178">
          <cell r="D178" t="str">
            <v>Horizon Anker Einder 1 gebouw A</v>
          </cell>
          <cell r="E178" t="str">
            <v>bgg</v>
          </cell>
          <cell r="F178" t="str">
            <v>A0.304</v>
          </cell>
          <cell r="G178" t="str">
            <v>Time-out kamer</v>
          </cell>
          <cell r="H178" t="str">
            <v>niet van toepassing</v>
          </cell>
          <cell r="I178" t="str">
            <v>Linoleum</v>
          </cell>
          <cell r="J178"/>
          <cell r="K178"/>
          <cell r="L178" t="str">
            <v>nvt</v>
          </cell>
          <cell r="M178">
            <v>0</v>
          </cell>
          <cell r="N178"/>
          <cell r="O178">
            <v>0</v>
          </cell>
          <cell r="P178">
            <v>1</v>
          </cell>
          <cell r="Q178">
            <v>0</v>
          </cell>
          <cell r="R178">
            <v>0</v>
          </cell>
          <cell r="S178">
            <v>0</v>
          </cell>
        </row>
        <row r="179">
          <cell r="D179" t="str">
            <v>Horizon Anker Einder 1 gebouw A</v>
          </cell>
          <cell r="E179" t="str">
            <v>bgg</v>
          </cell>
          <cell r="F179" t="str">
            <v>A0.305</v>
          </cell>
          <cell r="G179" t="str">
            <v>Berging</v>
          </cell>
          <cell r="H179" t="str">
            <v>niet van toepassing</v>
          </cell>
          <cell r="I179" t="str">
            <v>Linoleum</v>
          </cell>
          <cell r="J179"/>
          <cell r="K179"/>
          <cell r="L179" t="str">
            <v>nvt</v>
          </cell>
          <cell r="M179">
            <v>0</v>
          </cell>
          <cell r="N179"/>
          <cell r="O179">
            <v>0</v>
          </cell>
          <cell r="P179">
            <v>1</v>
          </cell>
          <cell r="Q179">
            <v>0</v>
          </cell>
          <cell r="R179">
            <v>0</v>
          </cell>
          <cell r="S179">
            <v>0</v>
          </cell>
        </row>
        <row r="180">
          <cell r="D180" t="str">
            <v>Horizon Anker Einder 1 gebouw A</v>
          </cell>
          <cell r="E180" t="str">
            <v>bgg</v>
          </cell>
          <cell r="F180" t="str">
            <v>A0.306</v>
          </cell>
          <cell r="G180" t="str">
            <v>Zit-Slaapkamer</v>
          </cell>
          <cell r="H180" t="str">
            <v>niet van toepassing</v>
          </cell>
          <cell r="I180" t="str">
            <v>Linoleum</v>
          </cell>
          <cell r="J180"/>
          <cell r="K180"/>
          <cell r="L180" t="str">
            <v>nvt</v>
          </cell>
          <cell r="M180">
            <v>0</v>
          </cell>
          <cell r="N180"/>
          <cell r="O180">
            <v>0</v>
          </cell>
          <cell r="P180">
            <v>1</v>
          </cell>
          <cell r="Q180">
            <v>0</v>
          </cell>
          <cell r="R180">
            <v>0</v>
          </cell>
          <cell r="S180">
            <v>0</v>
          </cell>
        </row>
        <row r="181">
          <cell r="D181" t="str">
            <v>Horizon Anker Einder 1 gebouw A</v>
          </cell>
          <cell r="E181" t="str">
            <v>bgg</v>
          </cell>
          <cell r="F181" t="str">
            <v>A0.307</v>
          </cell>
          <cell r="G181" t="str">
            <v>Zit-Slaapkamer</v>
          </cell>
          <cell r="H181" t="str">
            <v>niet van toepassing</v>
          </cell>
          <cell r="I181" t="str">
            <v>Linoleum</v>
          </cell>
          <cell r="J181"/>
          <cell r="K181"/>
          <cell r="L181" t="str">
            <v>nvt</v>
          </cell>
          <cell r="M181">
            <v>0</v>
          </cell>
          <cell r="N181"/>
          <cell r="O181">
            <v>0</v>
          </cell>
          <cell r="P181">
            <v>1</v>
          </cell>
          <cell r="Q181">
            <v>0</v>
          </cell>
          <cell r="R181">
            <v>0</v>
          </cell>
          <cell r="S181">
            <v>0</v>
          </cell>
        </row>
        <row r="182">
          <cell r="D182" t="str">
            <v>Horizon Anker Einder 1 gebouw A</v>
          </cell>
          <cell r="E182" t="str">
            <v>bgg</v>
          </cell>
          <cell r="F182" t="str">
            <v>A0.308</v>
          </cell>
          <cell r="G182" t="str">
            <v>Zit-Slaapkamer</v>
          </cell>
          <cell r="H182" t="str">
            <v>niet van toepassing</v>
          </cell>
          <cell r="I182" t="str">
            <v>Linoleum</v>
          </cell>
          <cell r="J182"/>
          <cell r="K182"/>
          <cell r="L182" t="str">
            <v>nvt</v>
          </cell>
          <cell r="M182">
            <v>0</v>
          </cell>
          <cell r="N182"/>
          <cell r="O182">
            <v>0</v>
          </cell>
          <cell r="P182">
            <v>1</v>
          </cell>
          <cell r="Q182">
            <v>0</v>
          </cell>
          <cell r="R182">
            <v>0</v>
          </cell>
          <cell r="S182">
            <v>0</v>
          </cell>
        </row>
        <row r="183">
          <cell r="D183" t="str">
            <v>Horizon Anker Einder 1 gebouw A</v>
          </cell>
          <cell r="E183" t="str">
            <v>bgg</v>
          </cell>
          <cell r="F183" t="str">
            <v>A0.309</v>
          </cell>
          <cell r="G183" t="str">
            <v>Zit-Slaapkamer</v>
          </cell>
          <cell r="H183" t="str">
            <v>niet van toepassing</v>
          </cell>
          <cell r="I183" t="str">
            <v>Linoleum</v>
          </cell>
          <cell r="J183"/>
          <cell r="K183"/>
          <cell r="L183" t="str">
            <v>nvt</v>
          </cell>
          <cell r="M183">
            <v>0</v>
          </cell>
          <cell r="N183"/>
          <cell r="O183">
            <v>0</v>
          </cell>
          <cell r="P183">
            <v>1</v>
          </cell>
          <cell r="Q183">
            <v>0</v>
          </cell>
          <cell r="R183">
            <v>0</v>
          </cell>
          <cell r="S183">
            <v>0</v>
          </cell>
        </row>
        <row r="184">
          <cell r="D184" t="str">
            <v>Horizon Anker Einder 1 gebouw A</v>
          </cell>
          <cell r="E184" t="str">
            <v>bgg</v>
          </cell>
          <cell r="F184" t="str">
            <v>A0.310</v>
          </cell>
          <cell r="G184" t="str">
            <v>Zit-Slaapkamer</v>
          </cell>
          <cell r="H184" t="str">
            <v>niet van toepassing</v>
          </cell>
          <cell r="I184" t="str">
            <v>Linoleum</v>
          </cell>
          <cell r="J184"/>
          <cell r="K184"/>
          <cell r="L184" t="str">
            <v>nvt</v>
          </cell>
          <cell r="M184">
            <v>0</v>
          </cell>
          <cell r="N184"/>
          <cell r="O184">
            <v>0</v>
          </cell>
          <cell r="P184">
            <v>1</v>
          </cell>
          <cell r="Q184">
            <v>0</v>
          </cell>
          <cell r="R184">
            <v>0</v>
          </cell>
          <cell r="S184">
            <v>0</v>
          </cell>
        </row>
        <row r="185">
          <cell r="D185" t="str">
            <v>Horizon Anker Einder 1 gebouw A</v>
          </cell>
          <cell r="E185" t="str">
            <v>bgg</v>
          </cell>
          <cell r="F185" t="str">
            <v>A0.311</v>
          </cell>
          <cell r="G185" t="str">
            <v>Zit-Slaapkamer</v>
          </cell>
          <cell r="H185" t="str">
            <v>niet van toepassing</v>
          </cell>
          <cell r="I185" t="str">
            <v>Linoleum</v>
          </cell>
          <cell r="J185"/>
          <cell r="K185"/>
          <cell r="L185" t="str">
            <v>nvt</v>
          </cell>
          <cell r="M185">
            <v>0</v>
          </cell>
          <cell r="N185"/>
          <cell r="O185">
            <v>0</v>
          </cell>
          <cell r="P185">
            <v>1</v>
          </cell>
          <cell r="Q185">
            <v>0</v>
          </cell>
          <cell r="R185">
            <v>0</v>
          </cell>
          <cell r="S185">
            <v>0</v>
          </cell>
        </row>
        <row r="186">
          <cell r="D186" t="str">
            <v>Horizon Anker Einder 1 gebouw A</v>
          </cell>
          <cell r="E186" t="str">
            <v>bgg</v>
          </cell>
          <cell r="F186" t="str">
            <v>A0.312</v>
          </cell>
          <cell r="G186" t="str">
            <v>Zit-Slaapkamer</v>
          </cell>
          <cell r="H186" t="str">
            <v>niet van toepassing</v>
          </cell>
          <cell r="I186" t="str">
            <v>Linoleum</v>
          </cell>
          <cell r="J186"/>
          <cell r="K186"/>
          <cell r="L186" t="str">
            <v>nvt</v>
          </cell>
          <cell r="M186">
            <v>0</v>
          </cell>
          <cell r="N186"/>
          <cell r="O186">
            <v>0</v>
          </cell>
          <cell r="P186">
            <v>1</v>
          </cell>
          <cell r="Q186">
            <v>0</v>
          </cell>
          <cell r="R186">
            <v>0</v>
          </cell>
          <cell r="S186">
            <v>0</v>
          </cell>
        </row>
        <row r="187">
          <cell r="D187" t="str">
            <v>Horizon Anker Einder 1 gebouw A</v>
          </cell>
          <cell r="E187" t="str">
            <v>bgg</v>
          </cell>
          <cell r="F187" t="str">
            <v>A0.313</v>
          </cell>
          <cell r="G187" t="str">
            <v>Zit-Slaapkamer</v>
          </cell>
          <cell r="H187" t="str">
            <v>niet van toepassing</v>
          </cell>
          <cell r="I187" t="str">
            <v>Linoleum</v>
          </cell>
          <cell r="J187"/>
          <cell r="K187"/>
          <cell r="L187" t="str">
            <v>nvt</v>
          </cell>
          <cell r="M187">
            <v>0</v>
          </cell>
          <cell r="N187"/>
          <cell r="O187">
            <v>0</v>
          </cell>
          <cell r="P187">
            <v>1</v>
          </cell>
          <cell r="Q187">
            <v>0</v>
          </cell>
          <cell r="R187">
            <v>0</v>
          </cell>
          <cell r="S187">
            <v>0</v>
          </cell>
        </row>
        <row r="188">
          <cell r="D188" t="str">
            <v>Horizon Anker Einder 1 gebouw A</v>
          </cell>
          <cell r="E188" t="str">
            <v>bgg</v>
          </cell>
          <cell r="F188" t="str">
            <v>A0.314</v>
          </cell>
          <cell r="G188" t="str">
            <v>kast</v>
          </cell>
          <cell r="H188" t="str">
            <v>niet van toepassing</v>
          </cell>
          <cell r="I188"/>
          <cell r="J188"/>
          <cell r="K188"/>
          <cell r="L188" t="str">
            <v>nvt</v>
          </cell>
          <cell r="M188">
            <v>0</v>
          </cell>
          <cell r="N188"/>
          <cell r="O188">
            <v>0</v>
          </cell>
          <cell r="P188">
            <v>1</v>
          </cell>
          <cell r="Q188">
            <v>0</v>
          </cell>
          <cell r="R188">
            <v>0</v>
          </cell>
          <cell r="S188">
            <v>0</v>
          </cell>
        </row>
        <row r="189">
          <cell r="D189" t="str">
            <v>Horizon Anker Einder 1 gebouw A</v>
          </cell>
          <cell r="E189" t="str">
            <v>bgg</v>
          </cell>
          <cell r="F189" t="str">
            <v>A0.315a</v>
          </cell>
          <cell r="G189" t="str">
            <v>douche</v>
          </cell>
          <cell r="H189" t="str">
            <v>sanitaire ruimte (toilet-/doucheruimte)</v>
          </cell>
          <cell r="I189" t="str">
            <v>Tegels</v>
          </cell>
          <cell r="J189">
            <v>1.9</v>
          </cell>
          <cell r="K189"/>
          <cell r="L189">
            <v>4255</v>
          </cell>
          <cell r="M189">
            <v>104</v>
          </cell>
          <cell r="N189"/>
          <cell r="O189">
            <v>255</v>
          </cell>
          <cell r="P189">
            <v>1</v>
          </cell>
          <cell r="Q189">
            <v>0</v>
          </cell>
          <cell r="R189">
            <v>0</v>
          </cell>
          <cell r="S189">
            <v>0</v>
          </cell>
        </row>
        <row r="190">
          <cell r="D190" t="str">
            <v>Horizon Anker Einder 1 gebouw A</v>
          </cell>
          <cell r="E190" t="str">
            <v>bgg</v>
          </cell>
          <cell r="F190" t="str">
            <v>A0.315b</v>
          </cell>
          <cell r="G190" t="str">
            <v>douche</v>
          </cell>
          <cell r="H190" t="str">
            <v>sanitaire ruimte (toilet-/doucheruimte)</v>
          </cell>
          <cell r="I190" t="str">
            <v>Tegels</v>
          </cell>
          <cell r="J190">
            <v>2.1</v>
          </cell>
          <cell r="K190"/>
          <cell r="L190">
            <v>4255</v>
          </cell>
          <cell r="M190">
            <v>104</v>
          </cell>
          <cell r="N190"/>
          <cell r="O190">
            <v>255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</row>
        <row r="191">
          <cell r="D191" t="str">
            <v>Horizon Anker Einder 1 gebouw A</v>
          </cell>
          <cell r="E191" t="str">
            <v>bgg</v>
          </cell>
          <cell r="F191" t="str">
            <v>A0.315c</v>
          </cell>
          <cell r="G191" t="str">
            <v>douche</v>
          </cell>
          <cell r="H191" t="str">
            <v>sanitaire ruimte (toilet-/doucheruimte)</v>
          </cell>
          <cell r="I191" t="str">
            <v>Tegels</v>
          </cell>
          <cell r="J191">
            <v>2.2999999999999998</v>
          </cell>
          <cell r="K191"/>
          <cell r="L191">
            <v>4255</v>
          </cell>
          <cell r="M191">
            <v>104</v>
          </cell>
          <cell r="N191"/>
          <cell r="O191">
            <v>255</v>
          </cell>
          <cell r="P191">
            <v>1</v>
          </cell>
          <cell r="Q191">
            <v>0</v>
          </cell>
          <cell r="R191">
            <v>0</v>
          </cell>
          <cell r="S191">
            <v>0</v>
          </cell>
        </row>
        <row r="192">
          <cell r="D192" t="str">
            <v>Horizon Anker Einder 1 gebouw A</v>
          </cell>
          <cell r="E192" t="str">
            <v>bgg</v>
          </cell>
          <cell r="F192" t="str">
            <v>A0.316</v>
          </cell>
          <cell r="G192" t="str">
            <v>Toilet</v>
          </cell>
          <cell r="H192" t="str">
            <v>sanitaire ruimte (toilet-/doucheruimte)</v>
          </cell>
          <cell r="I192" t="str">
            <v>Tegels</v>
          </cell>
          <cell r="J192">
            <v>3.4</v>
          </cell>
          <cell r="K192"/>
          <cell r="L192">
            <v>4153</v>
          </cell>
          <cell r="M192">
            <v>104</v>
          </cell>
          <cell r="N192"/>
          <cell r="O192">
            <v>153</v>
          </cell>
          <cell r="P192">
            <v>1</v>
          </cell>
          <cell r="Q192">
            <v>0</v>
          </cell>
          <cell r="R192">
            <v>0</v>
          </cell>
          <cell r="S192">
            <v>0</v>
          </cell>
        </row>
        <row r="193">
          <cell r="D193" t="str">
            <v>Horizon Anker Einder 1 gebouw A</v>
          </cell>
          <cell r="E193" t="str">
            <v>bgg</v>
          </cell>
          <cell r="F193" t="str">
            <v>A0.317</v>
          </cell>
          <cell r="G193" t="str">
            <v>Toilet</v>
          </cell>
          <cell r="H193" t="str">
            <v>sanitaire ruimte (toilet-/doucheruimte)</v>
          </cell>
          <cell r="I193" t="str">
            <v>Tegels</v>
          </cell>
          <cell r="J193">
            <v>3.9</v>
          </cell>
          <cell r="K193"/>
          <cell r="L193">
            <v>4153</v>
          </cell>
          <cell r="M193">
            <v>104</v>
          </cell>
          <cell r="N193"/>
          <cell r="O193">
            <v>153</v>
          </cell>
          <cell r="P193">
            <v>1</v>
          </cell>
          <cell r="Q193">
            <v>0</v>
          </cell>
          <cell r="R193">
            <v>0</v>
          </cell>
          <cell r="S193">
            <v>0</v>
          </cell>
        </row>
        <row r="194">
          <cell r="D194" t="str">
            <v>Horizon Anker Einder 1 gebouw A</v>
          </cell>
          <cell r="E194" t="str">
            <v>bgg</v>
          </cell>
          <cell r="F194" t="str">
            <v>A0.318</v>
          </cell>
          <cell r="G194" t="str">
            <v>Teamkamer</v>
          </cell>
          <cell r="H194" t="str">
            <v>administratieve -, personeels- en vergaderruimte</v>
          </cell>
          <cell r="I194" t="str">
            <v>Linoleum</v>
          </cell>
          <cell r="J194">
            <v>18.399999999999999</v>
          </cell>
          <cell r="K194"/>
          <cell r="L194">
            <v>1153</v>
          </cell>
          <cell r="M194">
            <v>101</v>
          </cell>
          <cell r="N194"/>
          <cell r="O194">
            <v>153</v>
          </cell>
          <cell r="P194">
            <v>1</v>
          </cell>
          <cell r="Q194">
            <v>0</v>
          </cell>
          <cell r="R194">
            <v>0</v>
          </cell>
          <cell r="S194">
            <v>0</v>
          </cell>
        </row>
        <row r="195">
          <cell r="D195" t="str">
            <v>Horizon Anker Einder 1 gebouw A</v>
          </cell>
          <cell r="E195" t="str">
            <v>bgg</v>
          </cell>
          <cell r="F195" t="str">
            <v>A0.320</v>
          </cell>
          <cell r="G195" t="str">
            <v>WDR/Linnen+WK</v>
          </cell>
          <cell r="H195" t="str">
            <v>entree, gang, hal, repro, kopieer, was/droogruimte</v>
          </cell>
          <cell r="I195" t="str">
            <v>Tegels</v>
          </cell>
          <cell r="J195">
            <v>7.9</v>
          </cell>
          <cell r="K195"/>
          <cell r="L195">
            <v>3153</v>
          </cell>
          <cell r="M195">
            <v>103</v>
          </cell>
          <cell r="N195"/>
          <cell r="O195">
            <v>153</v>
          </cell>
          <cell r="P195">
            <v>1</v>
          </cell>
          <cell r="Q195">
            <v>0</v>
          </cell>
          <cell r="R195">
            <v>0</v>
          </cell>
          <cell r="S195">
            <v>0</v>
          </cell>
        </row>
        <row r="196">
          <cell r="D196" t="str">
            <v>Horizon Anker Einder 1 gebouw A</v>
          </cell>
          <cell r="E196" t="str">
            <v>bgg</v>
          </cell>
          <cell r="F196" t="str">
            <v>A0.321a</v>
          </cell>
          <cell r="G196" t="str">
            <v>Speelruimte</v>
          </cell>
          <cell r="H196" t="str">
            <v>speellokaal</v>
          </cell>
          <cell r="I196" t="str">
            <v>Linoleum</v>
          </cell>
          <cell r="J196">
            <v>40.6</v>
          </cell>
          <cell r="K196"/>
          <cell r="L196">
            <v>8153</v>
          </cell>
          <cell r="M196">
            <v>107</v>
          </cell>
          <cell r="N196"/>
          <cell r="O196">
            <v>153</v>
          </cell>
          <cell r="P196">
            <v>1</v>
          </cell>
          <cell r="Q196">
            <v>0</v>
          </cell>
          <cell r="R196">
            <v>0</v>
          </cell>
          <cell r="S196">
            <v>0</v>
          </cell>
        </row>
        <row r="197">
          <cell r="D197" t="str">
            <v>Horizon Anker Einder 1 gebouw A</v>
          </cell>
          <cell r="E197" t="str">
            <v>bgg</v>
          </cell>
          <cell r="F197" t="str">
            <v>A0.321b</v>
          </cell>
          <cell r="G197" t="str">
            <v>Groepsruimte</v>
          </cell>
          <cell r="H197" t="str">
            <v>leslokaal</v>
          </cell>
          <cell r="I197" t="str">
            <v>Linoleum</v>
          </cell>
          <cell r="J197">
            <v>70.8</v>
          </cell>
          <cell r="K197"/>
          <cell r="L197">
            <v>7153</v>
          </cell>
          <cell r="M197">
            <v>107</v>
          </cell>
          <cell r="N197"/>
          <cell r="O197">
            <v>153</v>
          </cell>
          <cell r="P197">
            <v>1</v>
          </cell>
          <cell r="Q197">
            <v>0</v>
          </cell>
          <cell r="R197">
            <v>0</v>
          </cell>
          <cell r="S197">
            <v>0</v>
          </cell>
        </row>
        <row r="198">
          <cell r="D198" t="str">
            <v>Horizon Anker Einder 1 gebouw A</v>
          </cell>
          <cell r="E198" t="str">
            <v>bgg</v>
          </cell>
          <cell r="F198" t="str">
            <v>A0.322</v>
          </cell>
          <cell r="G198" t="str">
            <v>Keuken (keuken)</v>
          </cell>
          <cell r="H198" t="str">
            <v>Keuken</v>
          </cell>
          <cell r="I198" t="str">
            <v>Tegels</v>
          </cell>
          <cell r="J198">
            <v>13.2</v>
          </cell>
          <cell r="K198"/>
          <cell r="L198">
            <v>18255</v>
          </cell>
          <cell r="M198" t="str">
            <v>nvt</v>
          </cell>
          <cell r="N198"/>
          <cell r="O198">
            <v>255</v>
          </cell>
          <cell r="P198">
            <v>1</v>
          </cell>
          <cell r="Q198">
            <v>0</v>
          </cell>
          <cell r="R198">
            <v>0</v>
          </cell>
          <cell r="S198">
            <v>0</v>
          </cell>
        </row>
        <row r="199">
          <cell r="D199" t="str">
            <v>Horizon Anker Einder 1 gebouw A</v>
          </cell>
          <cell r="E199" t="str">
            <v>bgg</v>
          </cell>
          <cell r="F199" t="str">
            <v>A0.323</v>
          </cell>
          <cell r="G199" t="str">
            <v>Bijkeuken</v>
          </cell>
          <cell r="H199" t="str">
            <v>Keuken</v>
          </cell>
          <cell r="I199" t="str">
            <v>Tegels</v>
          </cell>
          <cell r="J199">
            <v>6.7</v>
          </cell>
          <cell r="K199"/>
          <cell r="L199">
            <v>18153</v>
          </cell>
          <cell r="M199" t="str">
            <v>nvt</v>
          </cell>
          <cell r="N199"/>
          <cell r="O199">
            <v>153</v>
          </cell>
          <cell r="P199">
            <v>1</v>
          </cell>
          <cell r="Q199">
            <v>0</v>
          </cell>
          <cell r="R199">
            <v>0</v>
          </cell>
          <cell r="S199">
            <v>0</v>
          </cell>
        </row>
        <row r="200">
          <cell r="D200" t="str">
            <v>Horizon Anker Einder 1 gebouw A</v>
          </cell>
          <cell r="E200" t="str">
            <v>bgg</v>
          </cell>
          <cell r="F200" t="str">
            <v>A0.324</v>
          </cell>
          <cell r="G200" t="str">
            <v>Entree</v>
          </cell>
          <cell r="H200" t="str">
            <v>entree, gang, hal, repro, kopieer, was/droogruimte</v>
          </cell>
          <cell r="I200" t="str">
            <v>Linoleum</v>
          </cell>
          <cell r="J200">
            <v>12.7</v>
          </cell>
          <cell r="K200"/>
          <cell r="L200">
            <v>3153</v>
          </cell>
          <cell r="M200">
            <v>103</v>
          </cell>
          <cell r="N200"/>
          <cell r="O200">
            <v>153</v>
          </cell>
          <cell r="P200">
            <v>1</v>
          </cell>
          <cell r="Q200">
            <v>0</v>
          </cell>
          <cell r="R200">
            <v>0</v>
          </cell>
          <cell r="S200">
            <v>0</v>
          </cell>
        </row>
        <row r="201">
          <cell r="D201" t="str">
            <v>Horizon Anker Einder 1 gebouw A</v>
          </cell>
          <cell r="E201" t="str">
            <v>bgg</v>
          </cell>
          <cell r="F201" t="str">
            <v>A0.325</v>
          </cell>
          <cell r="G201" t="str">
            <v>Spreekkamer</v>
          </cell>
          <cell r="H201" t="str">
            <v>administratieve -, personeels- en vergaderruimte</v>
          </cell>
          <cell r="I201" t="str">
            <v>Linoleum</v>
          </cell>
          <cell r="J201">
            <v>12.5</v>
          </cell>
          <cell r="K201"/>
          <cell r="L201">
            <v>1153</v>
          </cell>
          <cell r="M201">
            <v>101</v>
          </cell>
          <cell r="N201"/>
          <cell r="O201">
            <v>153</v>
          </cell>
          <cell r="P201">
            <v>1</v>
          </cell>
          <cell r="Q201">
            <v>0</v>
          </cell>
          <cell r="R201">
            <v>0</v>
          </cell>
          <cell r="S201">
            <v>0</v>
          </cell>
        </row>
        <row r="202">
          <cell r="D202" t="str">
            <v>Horizon Anker Einder 1 gebouw A</v>
          </cell>
          <cell r="E202" t="str">
            <v>bgg</v>
          </cell>
          <cell r="F202" t="str">
            <v>A0.326</v>
          </cell>
          <cell r="G202" t="str">
            <v>Gang</v>
          </cell>
          <cell r="H202" t="str">
            <v>entree, gang, hal, repro, kopieer, was/droogruimte</v>
          </cell>
          <cell r="I202" t="str">
            <v>Linoleum</v>
          </cell>
          <cell r="J202">
            <v>17.899999999999999</v>
          </cell>
          <cell r="K202"/>
          <cell r="L202">
            <v>3153</v>
          </cell>
          <cell r="M202">
            <v>103</v>
          </cell>
          <cell r="N202"/>
          <cell r="O202">
            <v>153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D203" t="str">
            <v>Horizon Anker Einder 1 gebouw A</v>
          </cell>
          <cell r="E203" t="str">
            <v>bgg</v>
          </cell>
          <cell r="F203" t="str">
            <v>A0.327</v>
          </cell>
          <cell r="G203" t="str">
            <v>Trap</v>
          </cell>
          <cell r="H203" t="str">
            <v>trappenhuis</v>
          </cell>
          <cell r="I203" t="str">
            <v>steen</v>
          </cell>
          <cell r="J203">
            <v>3.1</v>
          </cell>
          <cell r="K203"/>
          <cell r="L203">
            <v>9153</v>
          </cell>
          <cell r="M203">
            <v>109</v>
          </cell>
          <cell r="N203"/>
          <cell r="O203">
            <v>153</v>
          </cell>
          <cell r="P203">
            <v>1</v>
          </cell>
          <cell r="Q203">
            <v>0</v>
          </cell>
          <cell r="R203">
            <v>0</v>
          </cell>
          <cell r="S203">
            <v>0</v>
          </cell>
        </row>
        <row r="204">
          <cell r="D204" t="str">
            <v>Horizon Anker Einder 1 gebouw A</v>
          </cell>
          <cell r="E204" t="str">
            <v>bgg</v>
          </cell>
          <cell r="F204" t="str">
            <v>A0.328</v>
          </cell>
          <cell r="G204" t="str">
            <v>Sluis</v>
          </cell>
          <cell r="H204" t="str">
            <v>entree, gang, hal, repro, kopieer, was/droogruimte</v>
          </cell>
          <cell r="I204" t="str">
            <v>steen</v>
          </cell>
          <cell r="J204">
            <v>8.6999999999999993</v>
          </cell>
          <cell r="K204"/>
          <cell r="L204">
            <v>3153</v>
          </cell>
          <cell r="M204">
            <v>103</v>
          </cell>
          <cell r="N204"/>
          <cell r="O204">
            <v>153</v>
          </cell>
          <cell r="P204">
            <v>1</v>
          </cell>
          <cell r="Q204">
            <v>0</v>
          </cell>
          <cell r="R204">
            <v>0</v>
          </cell>
          <cell r="S204">
            <v>0</v>
          </cell>
        </row>
        <row r="205">
          <cell r="D205" t="str">
            <v>Horizon Anker Einder 1 gebouw A</v>
          </cell>
          <cell r="E205" t="str">
            <v>bgg</v>
          </cell>
          <cell r="F205" t="str">
            <v>A0.329</v>
          </cell>
          <cell r="G205" t="str">
            <v>Loggia</v>
          </cell>
          <cell r="H205" t="str">
            <v>niet van toepassing</v>
          </cell>
          <cell r="I205" t="str">
            <v>steen</v>
          </cell>
          <cell r="J205"/>
          <cell r="K205"/>
          <cell r="L205" t="str">
            <v>nvt</v>
          </cell>
          <cell r="M205">
            <v>0</v>
          </cell>
          <cell r="N205"/>
          <cell r="O205">
            <v>0</v>
          </cell>
          <cell r="P205">
            <v>1</v>
          </cell>
          <cell r="Q205">
            <v>0</v>
          </cell>
          <cell r="R205">
            <v>0</v>
          </cell>
          <cell r="S205">
            <v>0</v>
          </cell>
        </row>
        <row r="206">
          <cell r="D206" t="str">
            <v>Horizon Anker Einder 1 gebouw A</v>
          </cell>
          <cell r="E206" t="str">
            <v>bgg</v>
          </cell>
          <cell r="F206" t="str">
            <v>A0.330</v>
          </cell>
          <cell r="G206" t="str">
            <v>Afzondering</v>
          </cell>
          <cell r="H206" t="str">
            <v>aula, gemeenschappelijke ruimte, bibliotheek</v>
          </cell>
          <cell r="I206" t="str">
            <v>Linoleum</v>
          </cell>
          <cell r="J206">
            <v>9.6999999999999993</v>
          </cell>
          <cell r="K206"/>
          <cell r="L206">
            <v>2153</v>
          </cell>
          <cell r="M206">
            <v>102</v>
          </cell>
          <cell r="N206"/>
          <cell r="O206">
            <v>153</v>
          </cell>
          <cell r="P206">
            <v>1</v>
          </cell>
          <cell r="Q206">
            <v>0</v>
          </cell>
          <cell r="R206">
            <v>0</v>
          </cell>
          <cell r="S206">
            <v>0</v>
          </cell>
        </row>
        <row r="207">
          <cell r="D207" t="str">
            <v>Horizon Anker Einder 1 gebouw A</v>
          </cell>
          <cell r="E207" t="str">
            <v>bgg</v>
          </cell>
          <cell r="F207" t="str">
            <v>A0.331</v>
          </cell>
          <cell r="G207" t="str">
            <v xml:space="preserve">Badkamer </v>
          </cell>
          <cell r="H207" t="str">
            <v>sanitaire ruimte (toilet-/doucheruimte)</v>
          </cell>
          <cell r="I207" t="str">
            <v>Tegels</v>
          </cell>
          <cell r="J207">
            <v>5.0999999999999996</v>
          </cell>
          <cell r="K207"/>
          <cell r="L207">
            <v>4255</v>
          </cell>
          <cell r="M207">
            <v>104</v>
          </cell>
          <cell r="N207"/>
          <cell r="O207">
            <v>255</v>
          </cell>
          <cell r="P207">
            <v>1</v>
          </cell>
          <cell r="Q207">
            <v>0</v>
          </cell>
          <cell r="R207">
            <v>0</v>
          </cell>
          <cell r="S207">
            <v>0</v>
          </cell>
        </row>
        <row r="208">
          <cell r="D208" t="str">
            <v>Horizon Anker Einder 1 gebouw A</v>
          </cell>
          <cell r="E208" t="str">
            <v>bgg</v>
          </cell>
          <cell r="F208" t="str">
            <v>A0.332</v>
          </cell>
          <cell r="G208" t="str">
            <v xml:space="preserve">kast </v>
          </cell>
          <cell r="H208" t="str">
            <v>niet van toepassing</v>
          </cell>
          <cell r="I208"/>
          <cell r="J208"/>
          <cell r="K208"/>
          <cell r="L208" t="str">
            <v>nvt</v>
          </cell>
          <cell r="M208">
            <v>0</v>
          </cell>
          <cell r="N208"/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</row>
        <row r="209">
          <cell r="D209" t="str">
            <v>Horizon Anker Einder 1 gebouw A</v>
          </cell>
          <cell r="E209" t="str">
            <v>bgg</v>
          </cell>
          <cell r="F209" t="str">
            <v>A0.333</v>
          </cell>
          <cell r="G209" t="str">
            <v>Afdelingshoofd</v>
          </cell>
          <cell r="H209" t="str">
            <v>administratieve -, personeels- en vergaderruimte</v>
          </cell>
          <cell r="I209" t="str">
            <v>Linoleum</v>
          </cell>
          <cell r="J209">
            <v>17.5</v>
          </cell>
          <cell r="K209"/>
          <cell r="L209">
            <v>1102</v>
          </cell>
          <cell r="M209">
            <v>101</v>
          </cell>
          <cell r="N209"/>
          <cell r="O209">
            <v>102</v>
          </cell>
          <cell r="P209">
            <v>1</v>
          </cell>
          <cell r="Q209">
            <v>0</v>
          </cell>
          <cell r="R209">
            <v>0</v>
          </cell>
          <cell r="S209">
            <v>0</v>
          </cell>
        </row>
        <row r="210">
          <cell r="D210" t="str">
            <v>Horizon Anker Openbare ruimte gebouw A</v>
          </cell>
          <cell r="E210" t="str">
            <v>bgg</v>
          </cell>
          <cell r="F210" t="str">
            <v>A0.334</v>
          </cell>
          <cell r="G210" t="str">
            <v>Toilet medewerkers</v>
          </cell>
          <cell r="H210" t="str">
            <v>sanitaire ruimte (toilet-/doucheruimte)</v>
          </cell>
          <cell r="I210" t="str">
            <v>Tegels</v>
          </cell>
          <cell r="J210">
            <v>8.5</v>
          </cell>
          <cell r="K210"/>
          <cell r="L210">
            <v>4153</v>
          </cell>
          <cell r="M210">
            <v>104</v>
          </cell>
          <cell r="N210"/>
          <cell r="O210">
            <v>153</v>
          </cell>
          <cell r="P210">
            <v>1</v>
          </cell>
          <cell r="Q210">
            <v>0</v>
          </cell>
          <cell r="R210">
            <v>0</v>
          </cell>
          <cell r="S210">
            <v>0</v>
          </cell>
        </row>
        <row r="211">
          <cell r="D211" t="str">
            <v>Horizon Anker Openbare ruimte gebouw A</v>
          </cell>
          <cell r="E211" t="str">
            <v>bgg</v>
          </cell>
          <cell r="F211" t="str">
            <v>A0.335</v>
          </cell>
          <cell r="G211" t="str">
            <v>Toilet medewerkers</v>
          </cell>
          <cell r="H211" t="str">
            <v>sanitaire ruimte (toilet-/doucheruimte)</v>
          </cell>
          <cell r="I211" t="str">
            <v>Tegels</v>
          </cell>
          <cell r="J211">
            <v>8.6999999999999993</v>
          </cell>
          <cell r="K211"/>
          <cell r="L211">
            <v>4153</v>
          </cell>
          <cell r="M211">
            <v>104</v>
          </cell>
          <cell r="N211"/>
          <cell r="O211">
            <v>153</v>
          </cell>
          <cell r="P211">
            <v>1</v>
          </cell>
          <cell r="Q211">
            <v>0</v>
          </cell>
          <cell r="R211">
            <v>0</v>
          </cell>
          <cell r="S211">
            <v>0</v>
          </cell>
        </row>
        <row r="212">
          <cell r="D212" t="str">
            <v>Horizon Anker Openbare ruimte gebouw A</v>
          </cell>
          <cell r="E212" t="str">
            <v>bgg</v>
          </cell>
          <cell r="F212" t="str">
            <v>A0.336</v>
          </cell>
          <cell r="G212" t="str">
            <v>MK</v>
          </cell>
          <cell r="H212" t="str">
            <v>niet van toepassing</v>
          </cell>
          <cell r="I212"/>
          <cell r="J212"/>
          <cell r="K212"/>
          <cell r="L212" t="str">
            <v>nvt</v>
          </cell>
          <cell r="M212">
            <v>0</v>
          </cell>
          <cell r="N212"/>
          <cell r="O212">
            <v>0</v>
          </cell>
          <cell r="P212">
            <v>1</v>
          </cell>
          <cell r="Q212">
            <v>0</v>
          </cell>
          <cell r="R212">
            <v>0</v>
          </cell>
          <cell r="S212">
            <v>0</v>
          </cell>
        </row>
        <row r="213">
          <cell r="D213" t="str">
            <v>Horizon Anker Meander 1 gebouw A</v>
          </cell>
          <cell r="E213" t="str">
            <v>bgg</v>
          </cell>
          <cell r="F213" t="str">
            <v>A0.401</v>
          </cell>
          <cell r="G213" t="str">
            <v>Trap</v>
          </cell>
          <cell r="H213" t="str">
            <v>trappenhuis</v>
          </cell>
          <cell r="I213" t="str">
            <v>Steen</v>
          </cell>
          <cell r="J213">
            <v>5.7</v>
          </cell>
          <cell r="K213"/>
          <cell r="L213">
            <v>9153</v>
          </cell>
          <cell r="M213">
            <v>109</v>
          </cell>
          <cell r="N213"/>
          <cell r="O213">
            <v>153</v>
          </cell>
          <cell r="P213">
            <v>1</v>
          </cell>
          <cell r="Q213">
            <v>0</v>
          </cell>
          <cell r="R213">
            <v>0</v>
          </cell>
          <cell r="S213">
            <v>0</v>
          </cell>
        </row>
        <row r="214">
          <cell r="D214" t="str">
            <v>Horizon Anker Meander 1 gebouw A</v>
          </cell>
          <cell r="E214" t="str">
            <v>bgg</v>
          </cell>
          <cell r="F214" t="str">
            <v>A0.402</v>
          </cell>
          <cell r="G214" t="str">
            <v>Sluis</v>
          </cell>
          <cell r="H214" t="str">
            <v>entree, gang, hal, repro, kopieer, was/droogruimte</v>
          </cell>
          <cell r="I214" t="str">
            <v>Steen</v>
          </cell>
          <cell r="J214">
            <v>9.5</v>
          </cell>
          <cell r="K214"/>
          <cell r="L214">
            <v>3153</v>
          </cell>
          <cell r="M214">
            <v>103</v>
          </cell>
          <cell r="N214"/>
          <cell r="O214">
            <v>153</v>
          </cell>
          <cell r="P214">
            <v>1</v>
          </cell>
          <cell r="Q214">
            <v>0</v>
          </cell>
          <cell r="R214">
            <v>0</v>
          </cell>
          <cell r="S214">
            <v>0</v>
          </cell>
        </row>
        <row r="215">
          <cell r="D215" t="str">
            <v>Horizon Anker Meander 1 gebouw A</v>
          </cell>
          <cell r="E215" t="str">
            <v>bgg</v>
          </cell>
          <cell r="F215" t="str">
            <v>A0.403</v>
          </cell>
          <cell r="G215" t="str">
            <v>Gang</v>
          </cell>
          <cell r="H215" t="str">
            <v>entree, gang, hal, repro, kopieer, was/droogruimte</v>
          </cell>
          <cell r="I215" t="str">
            <v>linoleum</v>
          </cell>
          <cell r="J215">
            <v>46.8</v>
          </cell>
          <cell r="K215"/>
          <cell r="L215">
            <v>3153</v>
          </cell>
          <cell r="M215">
            <v>103</v>
          </cell>
          <cell r="N215"/>
          <cell r="O215">
            <v>153</v>
          </cell>
          <cell r="P215">
            <v>1</v>
          </cell>
          <cell r="Q215">
            <v>0</v>
          </cell>
          <cell r="R215">
            <v>0</v>
          </cell>
          <cell r="S215">
            <v>0</v>
          </cell>
        </row>
        <row r="216">
          <cell r="D216" t="str">
            <v>Horizon Anker Meander 1 gebouw A</v>
          </cell>
          <cell r="E216" t="str">
            <v>bgg</v>
          </cell>
          <cell r="F216" t="str">
            <v>A0.404</v>
          </cell>
          <cell r="G216" t="str">
            <v>Zit-slaapkamer</v>
          </cell>
          <cell r="H216" t="str">
            <v>niet van toepassing</v>
          </cell>
          <cell r="I216" t="str">
            <v>Linoleum</v>
          </cell>
          <cell r="J216"/>
          <cell r="K216"/>
          <cell r="L216" t="str">
            <v>nvt</v>
          </cell>
          <cell r="M216">
            <v>0</v>
          </cell>
          <cell r="N216"/>
          <cell r="O216">
            <v>0</v>
          </cell>
          <cell r="P216">
            <v>1</v>
          </cell>
          <cell r="Q216">
            <v>0</v>
          </cell>
          <cell r="R216">
            <v>0</v>
          </cell>
          <cell r="S216">
            <v>0</v>
          </cell>
        </row>
        <row r="217">
          <cell r="D217" t="str">
            <v>Horizon Anker Meander 1 gebouw A</v>
          </cell>
          <cell r="E217" t="str">
            <v>bgg</v>
          </cell>
          <cell r="F217" t="str">
            <v>A0.405</v>
          </cell>
          <cell r="G217" t="str">
            <v>Zit-slaapkamer</v>
          </cell>
          <cell r="H217" t="str">
            <v>niet van toepassing</v>
          </cell>
          <cell r="I217" t="str">
            <v>Linoleum</v>
          </cell>
          <cell r="J217"/>
          <cell r="K217"/>
          <cell r="L217" t="str">
            <v>nvt</v>
          </cell>
          <cell r="M217">
            <v>0</v>
          </cell>
          <cell r="N217"/>
          <cell r="O217">
            <v>0</v>
          </cell>
          <cell r="P217">
            <v>1</v>
          </cell>
          <cell r="Q217">
            <v>0</v>
          </cell>
          <cell r="R217">
            <v>0</v>
          </cell>
          <cell r="S217">
            <v>0</v>
          </cell>
        </row>
        <row r="218">
          <cell r="D218" t="str">
            <v>Horizon Anker Meander 1 gebouw A</v>
          </cell>
          <cell r="E218" t="str">
            <v>bgg</v>
          </cell>
          <cell r="F218" t="str">
            <v>A0.406</v>
          </cell>
          <cell r="G218" t="str">
            <v>Zit-slaapkamer</v>
          </cell>
          <cell r="H218" t="str">
            <v>niet van toepassing</v>
          </cell>
          <cell r="I218" t="str">
            <v>Linoleum</v>
          </cell>
          <cell r="J218"/>
          <cell r="K218"/>
          <cell r="L218" t="str">
            <v>nvt</v>
          </cell>
          <cell r="M218">
            <v>0</v>
          </cell>
          <cell r="N218"/>
          <cell r="O218">
            <v>0</v>
          </cell>
          <cell r="P218">
            <v>1</v>
          </cell>
          <cell r="Q218">
            <v>0</v>
          </cell>
          <cell r="R218">
            <v>0</v>
          </cell>
          <cell r="S218">
            <v>0</v>
          </cell>
        </row>
        <row r="219">
          <cell r="D219" t="str">
            <v>Horizon Anker Meander 1 gebouw A</v>
          </cell>
          <cell r="E219" t="str">
            <v>bgg</v>
          </cell>
          <cell r="F219" t="str">
            <v>A0.407</v>
          </cell>
          <cell r="G219" t="str">
            <v>Zit-slaapkamer</v>
          </cell>
          <cell r="H219" t="str">
            <v>niet van toepassing</v>
          </cell>
          <cell r="I219" t="str">
            <v>Linoleum</v>
          </cell>
          <cell r="J219"/>
          <cell r="K219"/>
          <cell r="L219" t="str">
            <v>nvt</v>
          </cell>
          <cell r="M219">
            <v>0</v>
          </cell>
          <cell r="N219"/>
          <cell r="O219">
            <v>0</v>
          </cell>
          <cell r="P219">
            <v>1</v>
          </cell>
          <cell r="Q219">
            <v>0</v>
          </cell>
          <cell r="R219">
            <v>0</v>
          </cell>
          <cell r="S219">
            <v>0</v>
          </cell>
        </row>
        <row r="220">
          <cell r="D220" t="str">
            <v>Horizon Anker Meander 1 gebouw A</v>
          </cell>
          <cell r="E220" t="str">
            <v>bgg</v>
          </cell>
          <cell r="F220" t="str">
            <v>A0.408</v>
          </cell>
          <cell r="G220" t="str">
            <v>Zit-slaapkamer</v>
          </cell>
          <cell r="H220" t="str">
            <v>niet van toepassing</v>
          </cell>
          <cell r="I220" t="str">
            <v>Linoleum</v>
          </cell>
          <cell r="J220"/>
          <cell r="K220"/>
          <cell r="L220" t="str">
            <v>nvt</v>
          </cell>
          <cell r="M220">
            <v>0</v>
          </cell>
          <cell r="N220"/>
          <cell r="O220">
            <v>0</v>
          </cell>
          <cell r="P220">
            <v>1</v>
          </cell>
          <cell r="Q220">
            <v>0</v>
          </cell>
          <cell r="R220">
            <v>0</v>
          </cell>
          <cell r="S220">
            <v>0</v>
          </cell>
        </row>
        <row r="221">
          <cell r="D221" t="str">
            <v>Horizon Anker Meander 1 gebouw A</v>
          </cell>
          <cell r="E221" t="str">
            <v>bgg</v>
          </cell>
          <cell r="F221" t="str">
            <v>A0.409</v>
          </cell>
          <cell r="G221" t="str">
            <v>Zit-slaapkamer</v>
          </cell>
          <cell r="H221" t="str">
            <v>niet van toepassing</v>
          </cell>
          <cell r="I221" t="str">
            <v>Linoleum</v>
          </cell>
          <cell r="J221"/>
          <cell r="K221"/>
          <cell r="L221" t="str">
            <v>nvt</v>
          </cell>
          <cell r="M221">
            <v>0</v>
          </cell>
          <cell r="N221"/>
          <cell r="O221">
            <v>0</v>
          </cell>
          <cell r="P221">
            <v>1</v>
          </cell>
          <cell r="Q221">
            <v>0</v>
          </cell>
          <cell r="R221">
            <v>0</v>
          </cell>
          <cell r="S221">
            <v>0</v>
          </cell>
        </row>
        <row r="222">
          <cell r="D222" t="str">
            <v>Horizon Anker Meander 1 gebouw A</v>
          </cell>
          <cell r="E222" t="str">
            <v>bgg</v>
          </cell>
          <cell r="F222" t="str">
            <v>A0.410</v>
          </cell>
          <cell r="G222" t="str">
            <v>Zit-slaapkamer</v>
          </cell>
          <cell r="H222" t="str">
            <v>niet van toepassing</v>
          </cell>
          <cell r="I222" t="str">
            <v>Linoleum</v>
          </cell>
          <cell r="J222"/>
          <cell r="K222"/>
          <cell r="L222" t="str">
            <v>nvt</v>
          </cell>
          <cell r="M222">
            <v>0</v>
          </cell>
          <cell r="N222"/>
          <cell r="O222">
            <v>0</v>
          </cell>
          <cell r="P222">
            <v>1</v>
          </cell>
          <cell r="Q222">
            <v>0</v>
          </cell>
          <cell r="R222">
            <v>0</v>
          </cell>
          <cell r="S222">
            <v>0</v>
          </cell>
        </row>
        <row r="223">
          <cell r="D223" t="str">
            <v>Horizon Anker Meander 1 gebouw A</v>
          </cell>
          <cell r="E223" t="str">
            <v>bgg</v>
          </cell>
          <cell r="F223" t="str">
            <v>A0.411</v>
          </cell>
          <cell r="G223" t="str">
            <v>Zit-slaapkamer</v>
          </cell>
          <cell r="H223" t="str">
            <v>niet van toepassing</v>
          </cell>
          <cell r="I223" t="str">
            <v>Linoleum</v>
          </cell>
          <cell r="J223"/>
          <cell r="K223"/>
          <cell r="L223" t="str">
            <v>nvt</v>
          </cell>
          <cell r="M223">
            <v>0</v>
          </cell>
          <cell r="N223"/>
          <cell r="O223">
            <v>0</v>
          </cell>
          <cell r="P223">
            <v>1</v>
          </cell>
          <cell r="Q223">
            <v>0</v>
          </cell>
          <cell r="R223">
            <v>0</v>
          </cell>
          <cell r="S223">
            <v>0</v>
          </cell>
        </row>
        <row r="224">
          <cell r="D224" t="str">
            <v>Horizon Anker Meander 1 gebouw A</v>
          </cell>
          <cell r="E224" t="str">
            <v>bgg</v>
          </cell>
          <cell r="F224" t="str">
            <v>A0.412</v>
          </cell>
          <cell r="G224" t="str">
            <v>Zit-slaapkamer</v>
          </cell>
          <cell r="H224" t="str">
            <v>niet van toepassing</v>
          </cell>
          <cell r="I224" t="str">
            <v>Linoleum</v>
          </cell>
          <cell r="J224"/>
          <cell r="K224"/>
          <cell r="L224" t="str">
            <v>nvt</v>
          </cell>
          <cell r="M224">
            <v>0</v>
          </cell>
          <cell r="N224"/>
          <cell r="O224">
            <v>0</v>
          </cell>
          <cell r="P224">
            <v>1</v>
          </cell>
          <cell r="Q224">
            <v>0</v>
          </cell>
          <cell r="R224">
            <v>0</v>
          </cell>
          <cell r="S224">
            <v>0</v>
          </cell>
        </row>
        <row r="225">
          <cell r="D225" t="str">
            <v>Horizon Anker Meander 1 gebouw A</v>
          </cell>
          <cell r="E225" t="str">
            <v>bgg</v>
          </cell>
          <cell r="F225" t="str">
            <v>A0.413</v>
          </cell>
          <cell r="G225" t="str">
            <v>Zit-slaapkamer</v>
          </cell>
          <cell r="H225" t="str">
            <v>niet van toepassing</v>
          </cell>
          <cell r="I225" t="str">
            <v>Linoleum</v>
          </cell>
          <cell r="J225"/>
          <cell r="K225"/>
          <cell r="L225" t="str">
            <v>nvt</v>
          </cell>
          <cell r="M225">
            <v>0</v>
          </cell>
          <cell r="N225"/>
          <cell r="O225">
            <v>0</v>
          </cell>
          <cell r="P225">
            <v>1</v>
          </cell>
          <cell r="Q225">
            <v>0</v>
          </cell>
          <cell r="R225">
            <v>0</v>
          </cell>
          <cell r="S225">
            <v>0</v>
          </cell>
        </row>
        <row r="226">
          <cell r="D226" t="str">
            <v>Horizon Anker Meander 1 gebouw A</v>
          </cell>
          <cell r="E226" t="str">
            <v>bgg</v>
          </cell>
          <cell r="F226" t="str">
            <v>A0.414</v>
          </cell>
          <cell r="G226" t="str">
            <v>Zit-slaapkamer</v>
          </cell>
          <cell r="H226" t="str">
            <v>niet van toepassing</v>
          </cell>
          <cell r="I226" t="str">
            <v>Linoleum</v>
          </cell>
          <cell r="J226"/>
          <cell r="K226"/>
          <cell r="L226" t="str">
            <v>nvt</v>
          </cell>
          <cell r="M226">
            <v>0</v>
          </cell>
          <cell r="N226"/>
          <cell r="O226">
            <v>0</v>
          </cell>
          <cell r="P226">
            <v>1</v>
          </cell>
          <cell r="Q226">
            <v>0</v>
          </cell>
          <cell r="R226">
            <v>0</v>
          </cell>
          <cell r="S226">
            <v>0</v>
          </cell>
        </row>
        <row r="227">
          <cell r="D227" t="str">
            <v>Horizon Anker Meander 1 gebouw A</v>
          </cell>
          <cell r="E227" t="str">
            <v>bgg</v>
          </cell>
          <cell r="F227" t="str">
            <v>A0.415a</v>
          </cell>
          <cell r="G227" t="str">
            <v>douche</v>
          </cell>
          <cell r="H227" t="str">
            <v>sanitaire ruimte (toilet-/doucheruimte)</v>
          </cell>
          <cell r="I227" t="str">
            <v>Tegels</v>
          </cell>
          <cell r="J227">
            <v>1.8</v>
          </cell>
          <cell r="K227"/>
          <cell r="L227">
            <v>4255</v>
          </cell>
          <cell r="M227">
            <v>104</v>
          </cell>
          <cell r="N227"/>
          <cell r="O227">
            <v>255</v>
          </cell>
          <cell r="P227">
            <v>1</v>
          </cell>
          <cell r="Q227">
            <v>0</v>
          </cell>
          <cell r="R227">
            <v>0</v>
          </cell>
          <cell r="S227">
            <v>0</v>
          </cell>
        </row>
        <row r="228">
          <cell r="D228" t="str">
            <v>Horizon Anker Meander 1 gebouw A</v>
          </cell>
          <cell r="E228" t="str">
            <v>bgg</v>
          </cell>
          <cell r="F228" t="str">
            <v>A0.415b</v>
          </cell>
          <cell r="G228" t="str">
            <v>douche</v>
          </cell>
          <cell r="H228" t="str">
            <v>sanitaire ruimte (toilet-/doucheruimte)</v>
          </cell>
          <cell r="I228" t="str">
            <v>Tegels</v>
          </cell>
          <cell r="J228">
            <v>2</v>
          </cell>
          <cell r="K228"/>
          <cell r="L228">
            <v>4255</v>
          </cell>
          <cell r="M228">
            <v>104</v>
          </cell>
          <cell r="N228"/>
          <cell r="O228">
            <v>255</v>
          </cell>
          <cell r="P228">
            <v>1</v>
          </cell>
          <cell r="Q228">
            <v>0</v>
          </cell>
          <cell r="R228">
            <v>0</v>
          </cell>
          <cell r="S228">
            <v>0</v>
          </cell>
        </row>
        <row r="229">
          <cell r="D229" t="str">
            <v>Horizon Anker Meander 1 gebouw A</v>
          </cell>
          <cell r="E229" t="str">
            <v>bgg</v>
          </cell>
          <cell r="F229" t="str">
            <v>A0.415c</v>
          </cell>
          <cell r="G229" t="str">
            <v>douche</v>
          </cell>
          <cell r="H229" t="str">
            <v>sanitaire ruimte (toilet-/doucheruimte)</v>
          </cell>
          <cell r="I229" t="str">
            <v>Tegels</v>
          </cell>
          <cell r="J229">
            <v>2.2999999999999998</v>
          </cell>
          <cell r="K229"/>
          <cell r="L229">
            <v>4255</v>
          </cell>
          <cell r="M229">
            <v>104</v>
          </cell>
          <cell r="N229"/>
          <cell r="O229">
            <v>255</v>
          </cell>
          <cell r="P229">
            <v>1</v>
          </cell>
          <cell r="Q229">
            <v>0</v>
          </cell>
          <cell r="R229">
            <v>0</v>
          </cell>
          <cell r="S229">
            <v>0</v>
          </cell>
        </row>
        <row r="230">
          <cell r="D230" t="str">
            <v>Horizon Anker Meander 1 gebouw A</v>
          </cell>
          <cell r="E230" t="str">
            <v>bgg</v>
          </cell>
          <cell r="F230" t="str">
            <v>A0.416</v>
          </cell>
          <cell r="G230" t="str">
            <v>Toilet</v>
          </cell>
          <cell r="H230" t="str">
            <v>sanitaire ruimte (toilet-/doucheruimte)</v>
          </cell>
          <cell r="I230" t="str">
            <v>Tegels</v>
          </cell>
          <cell r="J230">
            <v>3.4</v>
          </cell>
          <cell r="K230"/>
          <cell r="L230">
            <v>4153</v>
          </cell>
          <cell r="M230">
            <v>104</v>
          </cell>
          <cell r="N230"/>
          <cell r="O230">
            <v>153</v>
          </cell>
          <cell r="P230">
            <v>1</v>
          </cell>
          <cell r="Q230">
            <v>0</v>
          </cell>
          <cell r="R230">
            <v>0</v>
          </cell>
          <cell r="S230">
            <v>0</v>
          </cell>
        </row>
        <row r="231">
          <cell r="D231" t="str">
            <v>Horizon Anker Meander 1 gebouw A</v>
          </cell>
          <cell r="E231" t="str">
            <v>bgg</v>
          </cell>
          <cell r="F231" t="str">
            <v>A0.417</v>
          </cell>
          <cell r="G231" t="str">
            <v>Toilet</v>
          </cell>
          <cell r="H231" t="str">
            <v>sanitaire ruimte (toilet-/doucheruimte)</v>
          </cell>
          <cell r="I231" t="str">
            <v>Tegels</v>
          </cell>
          <cell r="J231">
            <v>3.8</v>
          </cell>
          <cell r="K231"/>
          <cell r="L231">
            <v>4153</v>
          </cell>
          <cell r="M231">
            <v>104</v>
          </cell>
          <cell r="N231"/>
          <cell r="O231">
            <v>153</v>
          </cell>
          <cell r="P231">
            <v>1</v>
          </cell>
          <cell r="Q231">
            <v>0</v>
          </cell>
          <cell r="R231">
            <v>0</v>
          </cell>
          <cell r="S231">
            <v>0</v>
          </cell>
        </row>
        <row r="232">
          <cell r="D232" t="str">
            <v>Horizon Anker Meander 1 gebouw A</v>
          </cell>
          <cell r="E232" t="str">
            <v>bgg</v>
          </cell>
          <cell r="F232" t="str">
            <v>A0.418</v>
          </cell>
          <cell r="G232" t="str">
            <v>Teamkamer</v>
          </cell>
          <cell r="H232" t="str">
            <v>administratieve -, personeels- en vergaderruimte</v>
          </cell>
          <cell r="I232" t="str">
            <v>linoleum</v>
          </cell>
          <cell r="J232">
            <v>17.7</v>
          </cell>
          <cell r="K232"/>
          <cell r="L232">
            <v>1153</v>
          </cell>
          <cell r="M232">
            <v>101</v>
          </cell>
          <cell r="N232"/>
          <cell r="O232">
            <v>153</v>
          </cell>
          <cell r="P232">
            <v>1</v>
          </cell>
          <cell r="Q232">
            <v>0</v>
          </cell>
          <cell r="R232">
            <v>0</v>
          </cell>
          <cell r="S232">
            <v>0</v>
          </cell>
        </row>
        <row r="233">
          <cell r="D233" t="str">
            <v>Horizon Anker Meander 1 gebouw A</v>
          </cell>
          <cell r="E233" t="str">
            <v>bgg</v>
          </cell>
          <cell r="F233" t="str">
            <v>A0.419</v>
          </cell>
          <cell r="G233" t="str">
            <v>Mk</v>
          </cell>
          <cell r="H233" t="str">
            <v>niet van toepassing</v>
          </cell>
          <cell r="I233"/>
          <cell r="J233"/>
          <cell r="K233"/>
          <cell r="L233" t="str">
            <v>nvt</v>
          </cell>
          <cell r="M233">
            <v>0</v>
          </cell>
          <cell r="N233"/>
          <cell r="O233">
            <v>0</v>
          </cell>
          <cell r="P233">
            <v>1</v>
          </cell>
          <cell r="Q233">
            <v>0</v>
          </cell>
          <cell r="R233">
            <v>0</v>
          </cell>
          <cell r="S233">
            <v>0</v>
          </cell>
        </row>
        <row r="234">
          <cell r="D234" t="str">
            <v>Horizon Anker Meander 1 gebouw A</v>
          </cell>
          <cell r="E234" t="str">
            <v>bgg</v>
          </cell>
          <cell r="F234" t="str">
            <v>A0.420</v>
          </cell>
          <cell r="G234" t="str">
            <v>WDR/Linnen+WK</v>
          </cell>
          <cell r="H234" t="str">
            <v>entree, gang, hal, repro, kopieer, was/droogruimte</v>
          </cell>
          <cell r="I234" t="str">
            <v>Tegels</v>
          </cell>
          <cell r="J234">
            <v>7.9</v>
          </cell>
          <cell r="K234"/>
          <cell r="L234">
            <v>3153</v>
          </cell>
          <cell r="M234">
            <v>103</v>
          </cell>
          <cell r="N234"/>
          <cell r="O234">
            <v>153</v>
          </cell>
          <cell r="P234">
            <v>1</v>
          </cell>
          <cell r="Q234">
            <v>0</v>
          </cell>
          <cell r="R234">
            <v>0</v>
          </cell>
          <cell r="S234">
            <v>0</v>
          </cell>
        </row>
        <row r="235">
          <cell r="D235" t="str">
            <v>Horizon Anker Meander 1 gebouw A</v>
          </cell>
          <cell r="E235" t="str">
            <v>bgg</v>
          </cell>
          <cell r="F235" t="str">
            <v>A0.421a</v>
          </cell>
          <cell r="G235" t="str">
            <v>Speelruimte</v>
          </cell>
          <cell r="H235" t="str">
            <v>speellokaal</v>
          </cell>
          <cell r="I235" t="str">
            <v>linoleum</v>
          </cell>
          <cell r="J235">
            <v>40.6</v>
          </cell>
          <cell r="K235"/>
          <cell r="L235">
            <v>8153</v>
          </cell>
          <cell r="M235">
            <v>107</v>
          </cell>
          <cell r="N235"/>
          <cell r="O235">
            <v>153</v>
          </cell>
          <cell r="P235">
            <v>1</v>
          </cell>
          <cell r="Q235">
            <v>0</v>
          </cell>
          <cell r="R235">
            <v>0</v>
          </cell>
          <cell r="S235">
            <v>0</v>
          </cell>
        </row>
        <row r="236">
          <cell r="D236" t="str">
            <v>Horizon Anker Meander 1 gebouw A</v>
          </cell>
          <cell r="E236" t="str">
            <v>bgg</v>
          </cell>
          <cell r="F236" t="str">
            <v>A0.421b</v>
          </cell>
          <cell r="G236" t="str">
            <v>Groepsruimte</v>
          </cell>
          <cell r="H236" t="str">
            <v>leslokaal</v>
          </cell>
          <cell r="I236" t="str">
            <v>linoleum</v>
          </cell>
          <cell r="J236">
            <v>70.8</v>
          </cell>
          <cell r="K236"/>
          <cell r="L236">
            <v>7153</v>
          </cell>
          <cell r="M236">
            <v>107</v>
          </cell>
          <cell r="N236"/>
          <cell r="O236">
            <v>153</v>
          </cell>
          <cell r="P236">
            <v>1</v>
          </cell>
          <cell r="Q236">
            <v>0</v>
          </cell>
          <cell r="R236">
            <v>0</v>
          </cell>
          <cell r="S236">
            <v>0</v>
          </cell>
        </row>
        <row r="237">
          <cell r="D237" t="str">
            <v>Horizon Anker Meander 1 gebouw A</v>
          </cell>
          <cell r="E237" t="str">
            <v>bgg</v>
          </cell>
          <cell r="F237" t="str">
            <v>A0.422</v>
          </cell>
          <cell r="G237" t="str">
            <v>Keuken (keuken)</v>
          </cell>
          <cell r="H237" t="str">
            <v>Keuken</v>
          </cell>
          <cell r="I237" t="str">
            <v>Tegels</v>
          </cell>
          <cell r="J237">
            <v>13.2</v>
          </cell>
          <cell r="K237"/>
          <cell r="L237">
            <v>18255</v>
          </cell>
          <cell r="M237" t="str">
            <v>nvt</v>
          </cell>
          <cell r="N237"/>
          <cell r="O237">
            <v>255</v>
          </cell>
          <cell r="P237">
            <v>1</v>
          </cell>
          <cell r="Q237">
            <v>0</v>
          </cell>
          <cell r="R237">
            <v>0</v>
          </cell>
          <cell r="S237">
            <v>0</v>
          </cell>
        </row>
        <row r="238">
          <cell r="D238" t="str">
            <v>Horizon Anker Meander 1 gebouw A</v>
          </cell>
          <cell r="E238" t="str">
            <v>bgg</v>
          </cell>
          <cell r="F238" t="str">
            <v>A0.423</v>
          </cell>
          <cell r="G238" t="str">
            <v>Bijkeuken</v>
          </cell>
          <cell r="H238" t="str">
            <v>Keuken</v>
          </cell>
          <cell r="I238" t="str">
            <v>Tegels</v>
          </cell>
          <cell r="J238">
            <v>6.7</v>
          </cell>
          <cell r="K238"/>
          <cell r="L238">
            <v>18153</v>
          </cell>
          <cell r="M238" t="str">
            <v>nvt</v>
          </cell>
          <cell r="N238"/>
          <cell r="O238">
            <v>153</v>
          </cell>
          <cell r="P238">
            <v>1</v>
          </cell>
          <cell r="Q238">
            <v>0</v>
          </cell>
          <cell r="R238">
            <v>0</v>
          </cell>
          <cell r="S238">
            <v>0</v>
          </cell>
        </row>
        <row r="239">
          <cell r="D239" t="str">
            <v>Horizon Anker Meander 1 gebouw A</v>
          </cell>
          <cell r="E239" t="str">
            <v>bgg</v>
          </cell>
          <cell r="F239" t="str">
            <v>A0.424</v>
          </cell>
          <cell r="G239" t="str">
            <v>Entree</v>
          </cell>
          <cell r="H239" t="str">
            <v>entree, gang, hal, repro, kopieer, was/droogruimte</v>
          </cell>
          <cell r="I239" t="str">
            <v>linoleum</v>
          </cell>
          <cell r="J239">
            <v>12.7</v>
          </cell>
          <cell r="K239"/>
          <cell r="L239">
            <v>3153</v>
          </cell>
          <cell r="M239">
            <v>103</v>
          </cell>
          <cell r="N239"/>
          <cell r="O239">
            <v>153</v>
          </cell>
          <cell r="P239">
            <v>1</v>
          </cell>
          <cell r="Q239">
            <v>0</v>
          </cell>
          <cell r="R239">
            <v>0</v>
          </cell>
          <cell r="S239">
            <v>0</v>
          </cell>
        </row>
        <row r="240">
          <cell r="D240" t="str">
            <v>Horizon Anker Meander 1 gebouw A</v>
          </cell>
          <cell r="E240" t="str">
            <v>bgg</v>
          </cell>
          <cell r="F240" t="str">
            <v>A0.425</v>
          </cell>
          <cell r="G240" t="str">
            <v>Spreekkamer</v>
          </cell>
          <cell r="H240" t="str">
            <v>administratieve -, personeels- en vergaderruimte</v>
          </cell>
          <cell r="I240" t="str">
            <v>linoleum</v>
          </cell>
          <cell r="J240">
            <v>11.6</v>
          </cell>
          <cell r="K240"/>
          <cell r="L240">
            <v>1153</v>
          </cell>
          <cell r="M240">
            <v>101</v>
          </cell>
          <cell r="N240"/>
          <cell r="O240">
            <v>153</v>
          </cell>
          <cell r="P240">
            <v>1</v>
          </cell>
          <cell r="Q240">
            <v>0</v>
          </cell>
          <cell r="R240">
            <v>0</v>
          </cell>
          <cell r="S240">
            <v>0</v>
          </cell>
        </row>
        <row r="241">
          <cell r="D241" t="str">
            <v>Horizon Anker Meander 1 gebouw A</v>
          </cell>
          <cell r="E241" t="str">
            <v>bgg</v>
          </cell>
          <cell r="F241" t="str">
            <v>A0.426</v>
          </cell>
          <cell r="G241" t="str">
            <v>Gang</v>
          </cell>
          <cell r="H241" t="str">
            <v>entree, gang, hal, repro, kopieer, was/droogruimte</v>
          </cell>
          <cell r="I241" t="str">
            <v>linoleum</v>
          </cell>
          <cell r="J241">
            <v>17.899999999999999</v>
          </cell>
          <cell r="K241"/>
          <cell r="L241">
            <v>3153</v>
          </cell>
          <cell r="M241">
            <v>103</v>
          </cell>
          <cell r="N241"/>
          <cell r="O241">
            <v>153</v>
          </cell>
          <cell r="P241">
            <v>1</v>
          </cell>
          <cell r="Q241">
            <v>0</v>
          </cell>
          <cell r="R241">
            <v>0</v>
          </cell>
          <cell r="S241">
            <v>0</v>
          </cell>
        </row>
        <row r="242">
          <cell r="D242" t="str">
            <v>Horizon Anker Meander 1 gebouw A</v>
          </cell>
          <cell r="E242" t="str">
            <v>bgg</v>
          </cell>
          <cell r="F242" t="str">
            <v>A0.427</v>
          </cell>
          <cell r="G242" t="str">
            <v>Trap</v>
          </cell>
          <cell r="H242" t="str">
            <v>trappenhuis</v>
          </cell>
          <cell r="I242" t="str">
            <v>Steen</v>
          </cell>
          <cell r="J242">
            <v>3.1</v>
          </cell>
          <cell r="K242"/>
          <cell r="L242">
            <v>9153</v>
          </cell>
          <cell r="M242">
            <v>109</v>
          </cell>
          <cell r="N242"/>
          <cell r="O242">
            <v>153</v>
          </cell>
          <cell r="P242">
            <v>1</v>
          </cell>
          <cell r="Q242">
            <v>0</v>
          </cell>
          <cell r="R242">
            <v>0</v>
          </cell>
          <cell r="S242">
            <v>0</v>
          </cell>
        </row>
        <row r="243">
          <cell r="D243" t="str">
            <v>Horizon Anker Meander 1 gebouw A</v>
          </cell>
          <cell r="E243" t="str">
            <v>bgg</v>
          </cell>
          <cell r="F243" t="str">
            <v>A0.428</v>
          </cell>
          <cell r="G243" t="str">
            <v>Sluis</v>
          </cell>
          <cell r="H243" t="str">
            <v>entree, gang, hal, repro, kopieer, was/droogruimte</v>
          </cell>
          <cell r="I243" t="str">
            <v>Steen</v>
          </cell>
          <cell r="J243">
            <v>8.6999999999999993</v>
          </cell>
          <cell r="K243"/>
          <cell r="L243">
            <v>3153</v>
          </cell>
          <cell r="M243">
            <v>103</v>
          </cell>
          <cell r="N243"/>
          <cell r="O243">
            <v>153</v>
          </cell>
          <cell r="P243">
            <v>1</v>
          </cell>
          <cell r="Q243">
            <v>0</v>
          </cell>
          <cell r="R243">
            <v>0</v>
          </cell>
          <cell r="S243">
            <v>0</v>
          </cell>
        </row>
        <row r="244">
          <cell r="D244" t="str">
            <v>Horizon Anker Meander 1 gebouw A</v>
          </cell>
          <cell r="E244" t="str">
            <v>bgg</v>
          </cell>
          <cell r="F244" t="str">
            <v>A0.429</v>
          </cell>
          <cell r="G244" t="str">
            <v>Loggia</v>
          </cell>
          <cell r="H244" t="str">
            <v>niet van toepassing</v>
          </cell>
          <cell r="I244"/>
          <cell r="J244"/>
          <cell r="K244"/>
          <cell r="L244" t="str">
            <v>nvt</v>
          </cell>
          <cell r="M244">
            <v>0</v>
          </cell>
          <cell r="N244"/>
          <cell r="O244">
            <v>0</v>
          </cell>
          <cell r="P244">
            <v>1</v>
          </cell>
          <cell r="Q244">
            <v>0</v>
          </cell>
          <cell r="R244">
            <v>0</v>
          </cell>
          <cell r="S244">
            <v>0</v>
          </cell>
        </row>
        <row r="245">
          <cell r="D245" t="str">
            <v>Horizon Anker Meander 1 gebouw A</v>
          </cell>
          <cell r="E245" t="str">
            <v>bgg</v>
          </cell>
          <cell r="F245" t="str">
            <v>A0.430</v>
          </cell>
          <cell r="G245" t="str">
            <v>Afzondering</v>
          </cell>
          <cell r="H245" t="str">
            <v>aula, gemeenschappelijke ruimte, bibliotheek</v>
          </cell>
          <cell r="I245" t="str">
            <v>linoleum</v>
          </cell>
          <cell r="J245">
            <v>9.6999999999999993</v>
          </cell>
          <cell r="K245"/>
          <cell r="L245">
            <v>2153</v>
          </cell>
          <cell r="M245">
            <v>102</v>
          </cell>
          <cell r="N245"/>
          <cell r="O245">
            <v>153</v>
          </cell>
          <cell r="P245">
            <v>1</v>
          </cell>
          <cell r="Q245">
            <v>0</v>
          </cell>
          <cell r="R245">
            <v>0</v>
          </cell>
          <cell r="S245">
            <v>0</v>
          </cell>
        </row>
        <row r="246">
          <cell r="D246" t="str">
            <v>Horizon Anker Meander 1 gebouw A</v>
          </cell>
          <cell r="E246" t="str">
            <v>bgg</v>
          </cell>
          <cell r="F246" t="str">
            <v>A0.431</v>
          </cell>
          <cell r="G246" t="str">
            <v xml:space="preserve">Badkamer </v>
          </cell>
          <cell r="H246" t="str">
            <v>sanitaire ruimte (toilet-/doucheruimte)</v>
          </cell>
          <cell r="I246" t="str">
            <v>Tegels</v>
          </cell>
          <cell r="J246">
            <v>5.0999999999999996</v>
          </cell>
          <cell r="K246"/>
          <cell r="L246">
            <v>4255</v>
          </cell>
          <cell r="M246">
            <v>104</v>
          </cell>
          <cell r="N246"/>
          <cell r="O246">
            <v>255</v>
          </cell>
          <cell r="P246">
            <v>1</v>
          </cell>
          <cell r="Q246">
            <v>0</v>
          </cell>
          <cell r="R246">
            <v>0</v>
          </cell>
          <cell r="S246">
            <v>0</v>
          </cell>
        </row>
        <row r="247">
          <cell r="D247" t="str">
            <v>Horizon Anker Meander 1 gebouw A</v>
          </cell>
          <cell r="E247" t="str">
            <v>bgg</v>
          </cell>
          <cell r="F247" t="str">
            <v>A0.433</v>
          </cell>
          <cell r="G247" t="str">
            <v>Afdelingshoofd</v>
          </cell>
          <cell r="H247" t="str">
            <v>administratieve -, personeels- en vergaderruimte</v>
          </cell>
          <cell r="I247" t="str">
            <v>linoleum</v>
          </cell>
          <cell r="J247">
            <v>17.5</v>
          </cell>
          <cell r="K247"/>
          <cell r="L247">
            <v>1102</v>
          </cell>
          <cell r="M247">
            <v>101</v>
          </cell>
          <cell r="N247"/>
          <cell r="O247">
            <v>102</v>
          </cell>
          <cell r="P247">
            <v>1</v>
          </cell>
          <cell r="Q247">
            <v>0</v>
          </cell>
          <cell r="R247">
            <v>0</v>
          </cell>
          <cell r="S247">
            <v>0</v>
          </cell>
        </row>
        <row r="248">
          <cell r="D248" t="str">
            <v>Horizon Anker Openbare ruimte gebouw A</v>
          </cell>
          <cell r="E248" t="str">
            <v>1e</v>
          </cell>
          <cell r="F248" t="str">
            <v>A1.001</v>
          </cell>
          <cell r="G248" t="str">
            <v>Binnenstraat Gang</v>
          </cell>
          <cell r="H248" t="str">
            <v>entree, gang, hal, repro, kopieer, was/droogruimte</v>
          </cell>
          <cell r="I248" t="str">
            <v>Linoleum</v>
          </cell>
          <cell r="J248">
            <v>330</v>
          </cell>
          <cell r="K248"/>
          <cell r="L248">
            <v>3153</v>
          </cell>
          <cell r="M248">
            <v>103</v>
          </cell>
          <cell r="N248"/>
          <cell r="O248">
            <v>153</v>
          </cell>
          <cell r="P248">
            <v>1</v>
          </cell>
          <cell r="Q248">
            <v>0</v>
          </cell>
          <cell r="R248">
            <v>0</v>
          </cell>
          <cell r="S248">
            <v>0</v>
          </cell>
        </row>
        <row r="249">
          <cell r="D249" t="str">
            <v>Horizon Anker School gebouw A</v>
          </cell>
          <cell r="E249" t="str">
            <v>1e</v>
          </cell>
          <cell r="F249" t="str">
            <v>A1.002</v>
          </cell>
          <cell r="G249" t="str">
            <v>hal</v>
          </cell>
          <cell r="H249" t="str">
            <v>niet van toepassing</v>
          </cell>
          <cell r="I249"/>
          <cell r="J249"/>
          <cell r="K249"/>
          <cell r="L249" t="str">
            <v>nvt</v>
          </cell>
          <cell r="M249">
            <v>0</v>
          </cell>
          <cell r="N249"/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</row>
        <row r="250">
          <cell r="D250" t="str">
            <v>Horizon Anker School gebouw A</v>
          </cell>
          <cell r="E250" t="str">
            <v>1e</v>
          </cell>
          <cell r="F250" t="str">
            <v>A1.003</v>
          </cell>
          <cell r="G250" t="str">
            <v>Werkkast</v>
          </cell>
          <cell r="H250" t="str">
            <v>niet van toepassing</v>
          </cell>
          <cell r="I250"/>
          <cell r="J250"/>
          <cell r="K250"/>
          <cell r="L250" t="str">
            <v>nvt</v>
          </cell>
          <cell r="M250">
            <v>0</v>
          </cell>
          <cell r="N250"/>
          <cell r="O250">
            <v>0</v>
          </cell>
          <cell r="P250">
            <v>1</v>
          </cell>
          <cell r="Q250">
            <v>0</v>
          </cell>
          <cell r="R250">
            <v>0</v>
          </cell>
          <cell r="S250">
            <v>0</v>
          </cell>
        </row>
        <row r="251">
          <cell r="D251" t="str">
            <v>Horizon Anker School gebouw A</v>
          </cell>
          <cell r="E251" t="str">
            <v>1e</v>
          </cell>
          <cell r="F251" t="str">
            <v>A1.004</v>
          </cell>
          <cell r="G251" t="str">
            <v>Werkkast</v>
          </cell>
          <cell r="H251" t="str">
            <v>niet van toepassing</v>
          </cell>
          <cell r="I251"/>
          <cell r="J251"/>
          <cell r="K251"/>
          <cell r="L251" t="str">
            <v>nvt</v>
          </cell>
          <cell r="M251">
            <v>0</v>
          </cell>
          <cell r="N251"/>
          <cell r="O251">
            <v>0</v>
          </cell>
          <cell r="P251">
            <v>1</v>
          </cell>
          <cell r="Q251">
            <v>0</v>
          </cell>
          <cell r="R251">
            <v>0</v>
          </cell>
          <cell r="S251">
            <v>0</v>
          </cell>
        </row>
        <row r="252">
          <cell r="D252" t="str">
            <v>Horizon Anker School gebouw A</v>
          </cell>
          <cell r="E252" t="str">
            <v>1e</v>
          </cell>
          <cell r="F252" t="str">
            <v>A1.005</v>
          </cell>
          <cell r="G252" t="str">
            <v>Kantoor onderwijs schoolhoofd</v>
          </cell>
          <cell r="H252" t="str">
            <v>niet van toepassing</v>
          </cell>
          <cell r="I252"/>
          <cell r="J252"/>
          <cell r="K252"/>
          <cell r="L252" t="str">
            <v>nvt</v>
          </cell>
          <cell r="M252">
            <v>0</v>
          </cell>
          <cell r="N252"/>
          <cell r="O252">
            <v>0</v>
          </cell>
          <cell r="P252">
            <v>1</v>
          </cell>
          <cell r="Q252">
            <v>0</v>
          </cell>
          <cell r="R252">
            <v>0</v>
          </cell>
          <cell r="S252">
            <v>0</v>
          </cell>
        </row>
        <row r="253">
          <cell r="D253" t="str">
            <v>Horizon Anker School gebouw A</v>
          </cell>
          <cell r="E253" t="str">
            <v>1e</v>
          </cell>
          <cell r="F253" t="str">
            <v>A1.006</v>
          </cell>
          <cell r="G253" t="str">
            <v>Vaklokaal metaal</v>
          </cell>
          <cell r="H253" t="str">
            <v>niet van toepassing</v>
          </cell>
          <cell r="I253"/>
          <cell r="J253"/>
          <cell r="K253"/>
          <cell r="L253" t="str">
            <v>nvt</v>
          </cell>
          <cell r="M253">
            <v>0</v>
          </cell>
          <cell r="N253"/>
          <cell r="O253">
            <v>0</v>
          </cell>
          <cell r="P253">
            <v>1</v>
          </cell>
          <cell r="Q253">
            <v>0</v>
          </cell>
          <cell r="R253">
            <v>0</v>
          </cell>
          <cell r="S253">
            <v>0</v>
          </cell>
        </row>
        <row r="254">
          <cell r="D254" t="str">
            <v>Horizon Anker School gebouw A</v>
          </cell>
          <cell r="E254" t="str">
            <v>1e</v>
          </cell>
          <cell r="F254" t="str">
            <v>A1.007</v>
          </cell>
          <cell r="G254" t="str">
            <v>Toilet</v>
          </cell>
          <cell r="H254" t="str">
            <v>niet van toepassing</v>
          </cell>
          <cell r="I254"/>
          <cell r="J254"/>
          <cell r="K254"/>
          <cell r="L254" t="str">
            <v>nvt</v>
          </cell>
          <cell r="M254">
            <v>0</v>
          </cell>
          <cell r="N254"/>
          <cell r="O254">
            <v>0</v>
          </cell>
          <cell r="P254">
            <v>1</v>
          </cell>
          <cell r="Q254">
            <v>0</v>
          </cell>
          <cell r="R254">
            <v>0</v>
          </cell>
          <cell r="S254">
            <v>0</v>
          </cell>
        </row>
        <row r="255">
          <cell r="D255" t="str">
            <v>Horizon Anker School gebouw A</v>
          </cell>
          <cell r="E255" t="str">
            <v>1e</v>
          </cell>
          <cell r="F255" t="str">
            <v>A1.008</v>
          </cell>
          <cell r="G255" t="str">
            <v xml:space="preserve">Berging </v>
          </cell>
          <cell r="H255" t="str">
            <v>niet van toepassing</v>
          </cell>
          <cell r="I255"/>
          <cell r="J255"/>
          <cell r="K255"/>
          <cell r="L255" t="str">
            <v>nvt</v>
          </cell>
          <cell r="M255">
            <v>0</v>
          </cell>
          <cell r="N255"/>
          <cell r="O255">
            <v>0</v>
          </cell>
          <cell r="P255">
            <v>1</v>
          </cell>
          <cell r="Q255">
            <v>0</v>
          </cell>
          <cell r="R255">
            <v>0</v>
          </cell>
          <cell r="S255">
            <v>0</v>
          </cell>
        </row>
        <row r="256">
          <cell r="D256" t="str">
            <v>Horizon Anker School gebouw A</v>
          </cell>
          <cell r="E256" t="str">
            <v>1e</v>
          </cell>
          <cell r="F256" t="str">
            <v>A1.009</v>
          </cell>
          <cell r="G256" t="str">
            <v>Portaal metaal</v>
          </cell>
          <cell r="H256" t="str">
            <v>niet van toepassing</v>
          </cell>
          <cell r="I256"/>
          <cell r="J256"/>
          <cell r="K256"/>
          <cell r="L256" t="str">
            <v>nvt</v>
          </cell>
          <cell r="M256">
            <v>0</v>
          </cell>
          <cell r="N256"/>
          <cell r="O256">
            <v>0</v>
          </cell>
          <cell r="P256">
            <v>1</v>
          </cell>
          <cell r="Q256">
            <v>0</v>
          </cell>
          <cell r="R256">
            <v>0</v>
          </cell>
          <cell r="S256">
            <v>0</v>
          </cell>
        </row>
        <row r="257">
          <cell r="D257" t="str">
            <v>Horizon Anker School gebouw A</v>
          </cell>
          <cell r="E257" t="str">
            <v>1e</v>
          </cell>
          <cell r="F257" t="str">
            <v>A1.010</v>
          </cell>
          <cell r="G257" t="str">
            <v xml:space="preserve">Theorie Lokaal </v>
          </cell>
          <cell r="H257" t="str">
            <v>niet van toepassing</v>
          </cell>
          <cell r="I257"/>
          <cell r="J257"/>
          <cell r="K257"/>
          <cell r="L257" t="str">
            <v>nvt</v>
          </cell>
          <cell r="M257">
            <v>0</v>
          </cell>
          <cell r="N257"/>
          <cell r="O257">
            <v>0</v>
          </cell>
          <cell r="P257">
            <v>1</v>
          </cell>
          <cell r="Q257">
            <v>0</v>
          </cell>
          <cell r="R257">
            <v>0</v>
          </cell>
          <cell r="S257">
            <v>0</v>
          </cell>
        </row>
        <row r="258">
          <cell r="D258" t="str">
            <v>Horizon Anker School gebouw A</v>
          </cell>
          <cell r="E258" t="str">
            <v>1e</v>
          </cell>
          <cell r="F258" t="str">
            <v>A1.011</v>
          </cell>
          <cell r="G258" t="str">
            <v>Werkkast</v>
          </cell>
          <cell r="H258" t="str">
            <v>niet van toepassing</v>
          </cell>
          <cell r="I258"/>
          <cell r="J258"/>
          <cell r="K258"/>
          <cell r="L258" t="str">
            <v>nvt</v>
          </cell>
          <cell r="M258">
            <v>0</v>
          </cell>
          <cell r="N258"/>
          <cell r="O258">
            <v>0</v>
          </cell>
          <cell r="P258">
            <v>1</v>
          </cell>
          <cell r="Q258">
            <v>0</v>
          </cell>
          <cell r="R258">
            <v>0</v>
          </cell>
          <cell r="S258">
            <v>0</v>
          </cell>
        </row>
        <row r="259">
          <cell r="D259" t="str">
            <v>Horizon Anker School gebouw A</v>
          </cell>
          <cell r="E259" t="str">
            <v>1e</v>
          </cell>
          <cell r="F259" t="str">
            <v>A1.012</v>
          </cell>
          <cell r="G259" t="str">
            <v xml:space="preserve">Berging </v>
          </cell>
          <cell r="H259" t="str">
            <v>niet van toepassing</v>
          </cell>
          <cell r="I259"/>
          <cell r="J259"/>
          <cell r="K259"/>
          <cell r="L259" t="str">
            <v>nvt</v>
          </cell>
          <cell r="M259">
            <v>0</v>
          </cell>
          <cell r="N259"/>
          <cell r="O259">
            <v>0</v>
          </cell>
          <cell r="P259">
            <v>1</v>
          </cell>
          <cell r="Q259">
            <v>0</v>
          </cell>
          <cell r="R259">
            <v>0</v>
          </cell>
          <cell r="S259">
            <v>0</v>
          </cell>
        </row>
        <row r="260">
          <cell r="D260" t="str">
            <v>Horizon Anker School gebouw A</v>
          </cell>
          <cell r="E260" t="str">
            <v>1e</v>
          </cell>
          <cell r="F260" t="str">
            <v>A1.013</v>
          </cell>
          <cell r="G260" t="str">
            <v>Vaklokaal metaal</v>
          </cell>
          <cell r="H260" t="str">
            <v>niet van toepassing</v>
          </cell>
          <cell r="I260"/>
          <cell r="J260"/>
          <cell r="K260"/>
          <cell r="L260" t="str">
            <v>nvt</v>
          </cell>
          <cell r="M260">
            <v>0</v>
          </cell>
          <cell r="N260"/>
          <cell r="O260">
            <v>0</v>
          </cell>
          <cell r="P260">
            <v>1</v>
          </cell>
          <cell r="Q260">
            <v>0</v>
          </cell>
          <cell r="R260">
            <v>0</v>
          </cell>
          <cell r="S260">
            <v>0</v>
          </cell>
        </row>
        <row r="261">
          <cell r="D261" t="str">
            <v>Horizon Anker School gebouw A</v>
          </cell>
          <cell r="E261" t="str">
            <v>1e</v>
          </cell>
          <cell r="F261" t="str">
            <v>A1.014</v>
          </cell>
          <cell r="G261" t="str">
            <v>Portaal</v>
          </cell>
          <cell r="H261" t="str">
            <v>niet van toepassing</v>
          </cell>
          <cell r="I261"/>
          <cell r="J261"/>
          <cell r="K261"/>
          <cell r="L261" t="str">
            <v>nvt</v>
          </cell>
          <cell r="M261">
            <v>0</v>
          </cell>
          <cell r="N261"/>
          <cell r="O261">
            <v>0</v>
          </cell>
          <cell r="P261">
            <v>1</v>
          </cell>
          <cell r="Q261">
            <v>0</v>
          </cell>
          <cell r="R261">
            <v>0</v>
          </cell>
          <cell r="S261">
            <v>0</v>
          </cell>
        </row>
        <row r="262">
          <cell r="D262" t="str">
            <v>Horizon Anker School gebouw A</v>
          </cell>
          <cell r="E262" t="str">
            <v>1e</v>
          </cell>
          <cell r="F262" t="str">
            <v>A1.015</v>
          </cell>
          <cell r="G262" t="str">
            <v>kast?</v>
          </cell>
          <cell r="H262" t="str">
            <v>niet van toepassing</v>
          </cell>
          <cell r="I262"/>
          <cell r="J262"/>
          <cell r="K262"/>
          <cell r="L262" t="str">
            <v>nvt</v>
          </cell>
          <cell r="M262">
            <v>0</v>
          </cell>
          <cell r="N262"/>
          <cell r="O262">
            <v>0</v>
          </cell>
          <cell r="P262">
            <v>1</v>
          </cell>
          <cell r="Q262">
            <v>0</v>
          </cell>
          <cell r="R262">
            <v>0</v>
          </cell>
          <cell r="S262">
            <v>0</v>
          </cell>
        </row>
        <row r="263">
          <cell r="D263" t="str">
            <v>Horizon Anker School gebouw A</v>
          </cell>
          <cell r="E263" t="str">
            <v>1e</v>
          </cell>
          <cell r="F263" t="str">
            <v>A1.016</v>
          </cell>
          <cell r="G263" t="str">
            <v>Leslokaal</v>
          </cell>
          <cell r="H263" t="str">
            <v>niet van toepassing</v>
          </cell>
          <cell r="I263"/>
          <cell r="J263"/>
          <cell r="K263"/>
          <cell r="L263" t="str">
            <v>nvt</v>
          </cell>
          <cell r="M263">
            <v>0</v>
          </cell>
          <cell r="N263"/>
          <cell r="O263">
            <v>0</v>
          </cell>
          <cell r="P263">
            <v>1</v>
          </cell>
          <cell r="Q263">
            <v>0</v>
          </cell>
          <cell r="R263">
            <v>0</v>
          </cell>
          <cell r="S263">
            <v>0</v>
          </cell>
        </row>
        <row r="264">
          <cell r="D264" t="str">
            <v>Horizon Anker School gebouw A</v>
          </cell>
          <cell r="E264" t="str">
            <v>1e</v>
          </cell>
          <cell r="F264" t="str">
            <v>A1.017</v>
          </cell>
          <cell r="G264" t="str">
            <v>Toilet</v>
          </cell>
          <cell r="H264" t="str">
            <v>niet van toepassing</v>
          </cell>
          <cell r="I264"/>
          <cell r="J264"/>
          <cell r="K264"/>
          <cell r="L264" t="str">
            <v>nvt</v>
          </cell>
          <cell r="M264">
            <v>0</v>
          </cell>
          <cell r="N264"/>
          <cell r="O264">
            <v>0</v>
          </cell>
          <cell r="P264">
            <v>1</v>
          </cell>
          <cell r="Q264">
            <v>0</v>
          </cell>
          <cell r="R264">
            <v>0</v>
          </cell>
          <cell r="S264">
            <v>0</v>
          </cell>
        </row>
        <row r="265">
          <cell r="D265" t="str">
            <v>Horizon Anker School gebouw A</v>
          </cell>
          <cell r="E265" t="str">
            <v>1e</v>
          </cell>
          <cell r="F265" t="str">
            <v>A1.018</v>
          </cell>
          <cell r="G265" t="str">
            <v>Portaal</v>
          </cell>
          <cell r="H265" t="str">
            <v>niet van toepassing</v>
          </cell>
          <cell r="I265"/>
          <cell r="J265"/>
          <cell r="K265"/>
          <cell r="L265" t="str">
            <v>nvt</v>
          </cell>
          <cell r="M265">
            <v>0</v>
          </cell>
          <cell r="N265"/>
          <cell r="O265">
            <v>0</v>
          </cell>
          <cell r="P265">
            <v>1</v>
          </cell>
          <cell r="Q265">
            <v>0</v>
          </cell>
          <cell r="R265">
            <v>0</v>
          </cell>
          <cell r="S265">
            <v>0</v>
          </cell>
        </row>
        <row r="266">
          <cell r="D266" t="str">
            <v>Horizon Anker School gebouw A</v>
          </cell>
          <cell r="E266" t="str">
            <v>1e</v>
          </cell>
          <cell r="F266" t="str">
            <v>A1.019</v>
          </cell>
          <cell r="G266" t="str">
            <v>Toilet</v>
          </cell>
          <cell r="H266" t="str">
            <v>niet van toepassing</v>
          </cell>
          <cell r="I266"/>
          <cell r="J266"/>
          <cell r="K266"/>
          <cell r="L266" t="str">
            <v>nvt</v>
          </cell>
          <cell r="M266">
            <v>0</v>
          </cell>
          <cell r="N266"/>
          <cell r="O266">
            <v>0</v>
          </cell>
          <cell r="P266">
            <v>1</v>
          </cell>
          <cell r="Q266">
            <v>0</v>
          </cell>
          <cell r="R266">
            <v>0</v>
          </cell>
          <cell r="S266">
            <v>0</v>
          </cell>
        </row>
        <row r="267">
          <cell r="D267" t="str">
            <v>Horizon Anker School gebouw A</v>
          </cell>
          <cell r="E267" t="str">
            <v>1e</v>
          </cell>
          <cell r="F267" t="str">
            <v>A1.020</v>
          </cell>
          <cell r="G267" t="str">
            <v>Leslokaal</v>
          </cell>
          <cell r="H267" t="str">
            <v>niet van toepassing</v>
          </cell>
          <cell r="I267"/>
          <cell r="J267"/>
          <cell r="K267"/>
          <cell r="L267" t="str">
            <v>nvt</v>
          </cell>
          <cell r="M267">
            <v>0</v>
          </cell>
          <cell r="N267"/>
          <cell r="O267">
            <v>0</v>
          </cell>
          <cell r="P267">
            <v>1</v>
          </cell>
          <cell r="Q267">
            <v>0</v>
          </cell>
          <cell r="R267">
            <v>0</v>
          </cell>
          <cell r="S267">
            <v>0</v>
          </cell>
        </row>
        <row r="268">
          <cell r="D268" t="str">
            <v>Horizon Anker School gebouw A</v>
          </cell>
          <cell r="E268" t="str">
            <v>1e</v>
          </cell>
          <cell r="F268" t="str">
            <v>A1.021</v>
          </cell>
          <cell r="G268" t="str">
            <v>Toilet</v>
          </cell>
          <cell r="H268" t="str">
            <v>niet van toepassing</v>
          </cell>
          <cell r="I268"/>
          <cell r="J268"/>
          <cell r="K268"/>
          <cell r="L268" t="str">
            <v>nvt</v>
          </cell>
          <cell r="M268">
            <v>0</v>
          </cell>
          <cell r="N268"/>
          <cell r="O268">
            <v>0</v>
          </cell>
          <cell r="P268">
            <v>1</v>
          </cell>
          <cell r="Q268">
            <v>0</v>
          </cell>
          <cell r="R268">
            <v>0</v>
          </cell>
          <cell r="S268">
            <v>0</v>
          </cell>
        </row>
        <row r="269">
          <cell r="D269" t="str">
            <v>Horizon Anker Openbare ruimte gebouw A</v>
          </cell>
          <cell r="E269" t="str">
            <v>1e</v>
          </cell>
          <cell r="F269" t="str">
            <v>A1.022</v>
          </cell>
          <cell r="G269" t="str">
            <v>Trappenhuis</v>
          </cell>
          <cell r="H269" t="str">
            <v>trappenhuis</v>
          </cell>
          <cell r="I269" t="str">
            <v>Linoleum</v>
          </cell>
          <cell r="J269">
            <v>17.399999999999999</v>
          </cell>
          <cell r="K269"/>
          <cell r="L269">
            <v>9153</v>
          </cell>
          <cell r="M269">
            <v>109</v>
          </cell>
          <cell r="N269"/>
          <cell r="O269">
            <v>153</v>
          </cell>
          <cell r="P269">
            <v>1</v>
          </cell>
          <cell r="Q269">
            <v>0</v>
          </cell>
          <cell r="R269">
            <v>0</v>
          </cell>
          <cell r="S269">
            <v>0</v>
          </cell>
        </row>
        <row r="270">
          <cell r="D270" t="str">
            <v>Horizon Anker School gebouw A</v>
          </cell>
          <cell r="E270" t="str">
            <v>1e</v>
          </cell>
          <cell r="F270" t="str">
            <v>A1.023</v>
          </cell>
          <cell r="G270" t="str">
            <v>Portaal/gang</v>
          </cell>
          <cell r="H270" t="str">
            <v>niet van toepassing</v>
          </cell>
          <cell r="I270"/>
          <cell r="J270"/>
          <cell r="K270"/>
          <cell r="L270" t="str">
            <v>nvt</v>
          </cell>
          <cell r="M270">
            <v>0</v>
          </cell>
          <cell r="N270"/>
          <cell r="O270">
            <v>0</v>
          </cell>
          <cell r="P270">
            <v>1</v>
          </cell>
          <cell r="Q270">
            <v>0</v>
          </cell>
          <cell r="R270">
            <v>0</v>
          </cell>
          <cell r="S270">
            <v>0</v>
          </cell>
        </row>
        <row r="271">
          <cell r="D271" t="str">
            <v>Horizon Anker School gebouw A</v>
          </cell>
          <cell r="E271" t="str">
            <v>1e</v>
          </cell>
          <cell r="F271" t="str">
            <v>A1.024</v>
          </cell>
          <cell r="G271" t="str">
            <v>Leslokaal</v>
          </cell>
          <cell r="H271" t="str">
            <v>niet van toepassing</v>
          </cell>
          <cell r="I271"/>
          <cell r="J271"/>
          <cell r="K271"/>
          <cell r="L271" t="str">
            <v>nvt</v>
          </cell>
          <cell r="M271">
            <v>0</v>
          </cell>
          <cell r="N271"/>
          <cell r="O271">
            <v>0</v>
          </cell>
          <cell r="P271">
            <v>1</v>
          </cell>
          <cell r="Q271">
            <v>0</v>
          </cell>
          <cell r="R271">
            <v>0</v>
          </cell>
          <cell r="S271">
            <v>0</v>
          </cell>
        </row>
        <row r="272">
          <cell r="D272" t="str">
            <v>Horizon Anker School gebouw A</v>
          </cell>
          <cell r="E272" t="str">
            <v>1e</v>
          </cell>
          <cell r="F272" t="str">
            <v>A1.025</v>
          </cell>
          <cell r="G272" t="str">
            <v>Leslokaal</v>
          </cell>
          <cell r="H272" t="str">
            <v>niet van toepassing</v>
          </cell>
          <cell r="I272"/>
          <cell r="J272"/>
          <cell r="K272"/>
          <cell r="L272" t="str">
            <v>nvt</v>
          </cell>
          <cell r="M272">
            <v>0</v>
          </cell>
          <cell r="N272"/>
          <cell r="O272">
            <v>0</v>
          </cell>
          <cell r="P272">
            <v>1</v>
          </cell>
          <cell r="Q272">
            <v>0</v>
          </cell>
          <cell r="R272">
            <v>0</v>
          </cell>
          <cell r="S272">
            <v>0</v>
          </cell>
        </row>
        <row r="273">
          <cell r="D273" t="str">
            <v>Horizon Anker Openbare ruimte gebouw A</v>
          </cell>
          <cell r="E273" t="str">
            <v>1e</v>
          </cell>
          <cell r="F273" t="str">
            <v>A1.026</v>
          </cell>
          <cell r="G273" t="str">
            <v>Stiltecentrum</v>
          </cell>
          <cell r="H273" t="str">
            <v>entree, gang, hal, repro, kopieer, was/droogruimte</v>
          </cell>
          <cell r="I273" t="str">
            <v>Tapijt</v>
          </cell>
          <cell r="J273">
            <v>67.7</v>
          </cell>
          <cell r="K273"/>
          <cell r="L273">
            <v>3153</v>
          </cell>
          <cell r="M273">
            <v>103</v>
          </cell>
          <cell r="N273"/>
          <cell r="O273">
            <v>153</v>
          </cell>
          <cell r="P273">
            <v>1</v>
          </cell>
          <cell r="Q273">
            <v>0</v>
          </cell>
          <cell r="R273">
            <v>0</v>
          </cell>
          <cell r="S273">
            <v>0</v>
          </cell>
        </row>
        <row r="274">
          <cell r="D274" t="str">
            <v>Horizon Anker Openbare ruimte gebouw A</v>
          </cell>
          <cell r="E274" t="str">
            <v>1e</v>
          </cell>
          <cell r="F274" t="str">
            <v>A1.027</v>
          </cell>
          <cell r="G274" t="str">
            <v>Toilet en voorruimte</v>
          </cell>
          <cell r="H274" t="str">
            <v>sanitaire ruimte (toilet-/doucheruimte)</v>
          </cell>
          <cell r="I274" t="str">
            <v>Tegels</v>
          </cell>
          <cell r="J274">
            <v>2.6</v>
          </cell>
          <cell r="K274"/>
          <cell r="L274">
            <v>4153</v>
          </cell>
          <cell r="M274">
            <v>104</v>
          </cell>
          <cell r="N274"/>
          <cell r="O274">
            <v>153</v>
          </cell>
          <cell r="P274">
            <v>1</v>
          </cell>
          <cell r="Q274">
            <v>0</v>
          </cell>
          <cell r="R274">
            <v>0</v>
          </cell>
          <cell r="S274">
            <v>0</v>
          </cell>
        </row>
        <row r="275">
          <cell r="D275" t="str">
            <v>Horizon Anker Openbare ruimte gebouw A</v>
          </cell>
          <cell r="E275" t="str">
            <v>1e</v>
          </cell>
          <cell r="F275" t="str">
            <v>A1.028</v>
          </cell>
          <cell r="G275" t="str">
            <v>Toilet en voorruimte</v>
          </cell>
          <cell r="H275" t="str">
            <v>sanitaire ruimte (toilet-/doucheruimte)</v>
          </cell>
          <cell r="I275" t="str">
            <v>Tegels</v>
          </cell>
          <cell r="J275">
            <v>2.6</v>
          </cell>
          <cell r="K275"/>
          <cell r="L275">
            <v>4153</v>
          </cell>
          <cell r="M275">
            <v>104</v>
          </cell>
          <cell r="N275"/>
          <cell r="O275">
            <v>153</v>
          </cell>
          <cell r="P275">
            <v>1</v>
          </cell>
          <cell r="Q275">
            <v>0</v>
          </cell>
          <cell r="R275">
            <v>0</v>
          </cell>
          <cell r="S275">
            <v>0</v>
          </cell>
        </row>
        <row r="276">
          <cell r="D276" t="str">
            <v>Horizon Anker Openbare ruimte gebouw A</v>
          </cell>
          <cell r="E276" t="str">
            <v>1e</v>
          </cell>
          <cell r="F276" t="str">
            <v>A1.029</v>
          </cell>
          <cell r="G276" t="str">
            <v>Techniek ruimte</v>
          </cell>
          <cell r="H276" t="str">
            <v>niet van toepassing</v>
          </cell>
          <cell r="I276"/>
          <cell r="J276"/>
          <cell r="K276"/>
          <cell r="L276" t="str">
            <v>nvt</v>
          </cell>
          <cell r="M276">
            <v>0</v>
          </cell>
          <cell r="N276"/>
          <cell r="O276">
            <v>0</v>
          </cell>
          <cell r="P276">
            <v>1</v>
          </cell>
          <cell r="Q276">
            <v>0</v>
          </cell>
          <cell r="R276">
            <v>0</v>
          </cell>
          <cell r="S276">
            <v>0</v>
          </cell>
        </row>
        <row r="277">
          <cell r="D277" t="str">
            <v>Horizon Anker Openbare ruimte gebouw A</v>
          </cell>
          <cell r="E277" t="str">
            <v>1e</v>
          </cell>
          <cell r="F277" t="str">
            <v>A1.030</v>
          </cell>
          <cell r="G277" t="str">
            <v>CV ruimte</v>
          </cell>
          <cell r="H277" t="str">
            <v>niet van toepassing</v>
          </cell>
          <cell r="I277"/>
          <cell r="J277"/>
          <cell r="K277"/>
          <cell r="L277" t="str">
            <v>nvt</v>
          </cell>
          <cell r="M277">
            <v>0</v>
          </cell>
          <cell r="N277"/>
          <cell r="O277">
            <v>0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</row>
        <row r="278">
          <cell r="D278" t="str">
            <v>Horizon Anker Openbare ruimte gebouw A</v>
          </cell>
          <cell r="E278" t="str">
            <v>1e</v>
          </cell>
          <cell r="F278" t="str">
            <v>A1.031</v>
          </cell>
          <cell r="G278" t="str">
            <v xml:space="preserve">Muzieklokaal </v>
          </cell>
          <cell r="H278" t="str">
            <v>praktijklokaal</v>
          </cell>
          <cell r="I278" t="str">
            <v>Tapijt</v>
          </cell>
          <cell r="J278">
            <v>36.1</v>
          </cell>
          <cell r="K278"/>
          <cell r="L278">
            <v>6153</v>
          </cell>
          <cell r="M278">
            <v>107</v>
          </cell>
          <cell r="N278"/>
          <cell r="O278">
            <v>153</v>
          </cell>
          <cell r="P278">
            <v>1</v>
          </cell>
          <cell r="Q278">
            <v>0</v>
          </cell>
          <cell r="R278">
            <v>0</v>
          </cell>
          <cell r="S278">
            <v>0</v>
          </cell>
        </row>
        <row r="279">
          <cell r="D279" t="str">
            <v>Horizon Anker Openbare ruimte gebouw A</v>
          </cell>
          <cell r="E279" t="str">
            <v>1e</v>
          </cell>
          <cell r="F279" t="str">
            <v>A1.032</v>
          </cell>
          <cell r="G279" t="str">
            <v>Gang</v>
          </cell>
          <cell r="H279" t="str">
            <v>entree, gang, hal, repro, kopieer, was/droogruimte</v>
          </cell>
          <cell r="I279" t="str">
            <v>Linoleum</v>
          </cell>
          <cell r="J279">
            <v>45.4</v>
          </cell>
          <cell r="K279"/>
          <cell r="L279">
            <v>3153</v>
          </cell>
          <cell r="M279">
            <v>103</v>
          </cell>
          <cell r="N279"/>
          <cell r="O279">
            <v>153</v>
          </cell>
          <cell r="P279">
            <v>1</v>
          </cell>
          <cell r="Q279">
            <v>0</v>
          </cell>
          <cell r="R279">
            <v>0</v>
          </cell>
          <cell r="S279">
            <v>0</v>
          </cell>
        </row>
        <row r="280">
          <cell r="D280" t="str">
            <v>Horizon Anker Openbare ruimte gebouw A</v>
          </cell>
          <cell r="E280" t="str">
            <v>1e</v>
          </cell>
          <cell r="F280" t="str">
            <v>A1.033</v>
          </cell>
          <cell r="G280" t="str">
            <v xml:space="preserve">Trap </v>
          </cell>
          <cell r="H280" t="str">
            <v>trappenhuis</v>
          </cell>
          <cell r="I280" t="str">
            <v>Hout</v>
          </cell>
          <cell r="J280">
            <v>5.5</v>
          </cell>
          <cell r="K280"/>
          <cell r="L280">
            <v>9153</v>
          </cell>
          <cell r="M280">
            <v>109</v>
          </cell>
          <cell r="N280"/>
          <cell r="O280">
            <v>153</v>
          </cell>
          <cell r="P280">
            <v>1</v>
          </cell>
          <cell r="Q280">
            <v>0</v>
          </cell>
          <cell r="R280">
            <v>0</v>
          </cell>
          <cell r="S280">
            <v>0</v>
          </cell>
        </row>
        <row r="281">
          <cell r="D281" t="str">
            <v>Horizon Anker Openbare ruimte gebouw A</v>
          </cell>
          <cell r="E281" t="str">
            <v>1e</v>
          </cell>
          <cell r="F281" t="str">
            <v>A1.034</v>
          </cell>
          <cell r="G281" t="str">
            <v>Berging</v>
          </cell>
          <cell r="H281" t="str">
            <v>niet van toepassing</v>
          </cell>
          <cell r="I281"/>
          <cell r="J281"/>
          <cell r="K281"/>
          <cell r="L281" t="str">
            <v>nvt</v>
          </cell>
          <cell r="M281">
            <v>0</v>
          </cell>
          <cell r="N281"/>
          <cell r="O281">
            <v>0</v>
          </cell>
          <cell r="P281">
            <v>1</v>
          </cell>
          <cell r="Q281">
            <v>0</v>
          </cell>
          <cell r="R281">
            <v>0</v>
          </cell>
          <cell r="S281">
            <v>0</v>
          </cell>
        </row>
        <row r="282">
          <cell r="D282" t="str">
            <v>Horizon Anker Openbare ruimte gebouw A</v>
          </cell>
          <cell r="E282" t="str">
            <v>1e</v>
          </cell>
          <cell r="F282" t="str">
            <v>A1.035</v>
          </cell>
          <cell r="G282" t="str">
            <v>Portaal</v>
          </cell>
          <cell r="H282" t="str">
            <v>entree, gang, hal, repro, kopieer, was/droogruimte</v>
          </cell>
          <cell r="I282" t="str">
            <v>Linoleum</v>
          </cell>
          <cell r="J282">
            <v>6.8</v>
          </cell>
          <cell r="K282"/>
          <cell r="L282">
            <v>3153</v>
          </cell>
          <cell r="M282">
            <v>103</v>
          </cell>
          <cell r="N282"/>
          <cell r="O282">
            <v>153</v>
          </cell>
          <cell r="P282">
            <v>1</v>
          </cell>
          <cell r="Q282">
            <v>0</v>
          </cell>
          <cell r="R282">
            <v>0</v>
          </cell>
          <cell r="S282">
            <v>0</v>
          </cell>
        </row>
        <row r="283">
          <cell r="D283" t="str">
            <v>Horizon Anker Openbare ruimte gebouw A</v>
          </cell>
          <cell r="E283" t="str">
            <v>1e</v>
          </cell>
          <cell r="F283" t="str">
            <v>A1.036</v>
          </cell>
          <cell r="G283" t="str">
            <v>Werkkast</v>
          </cell>
          <cell r="H283" t="str">
            <v>niet van toepassing</v>
          </cell>
          <cell r="I283"/>
          <cell r="J283"/>
          <cell r="K283"/>
          <cell r="L283" t="str">
            <v>nvt</v>
          </cell>
          <cell r="M283">
            <v>0</v>
          </cell>
          <cell r="N283"/>
          <cell r="O283">
            <v>0</v>
          </cell>
          <cell r="P283">
            <v>1</v>
          </cell>
          <cell r="Q283">
            <v>0</v>
          </cell>
          <cell r="R283">
            <v>0</v>
          </cell>
          <cell r="S283">
            <v>0</v>
          </cell>
        </row>
        <row r="284">
          <cell r="D284" t="str">
            <v>Horizon Anker Openbare ruimte gebouw A</v>
          </cell>
          <cell r="E284" t="str">
            <v>1e</v>
          </cell>
          <cell r="F284" t="str">
            <v>A1.037</v>
          </cell>
          <cell r="G284" t="str">
            <v>Toilet</v>
          </cell>
          <cell r="H284" t="str">
            <v>sanitaire ruimte (toilet-/doucheruimte)</v>
          </cell>
          <cell r="I284" t="str">
            <v>Tegels</v>
          </cell>
          <cell r="J284">
            <v>1.6</v>
          </cell>
          <cell r="K284"/>
          <cell r="L284">
            <v>4153</v>
          </cell>
          <cell r="M284">
            <v>104</v>
          </cell>
          <cell r="N284"/>
          <cell r="O284">
            <v>153</v>
          </cell>
          <cell r="P284">
            <v>1</v>
          </cell>
          <cell r="Q284">
            <v>0</v>
          </cell>
          <cell r="R284">
            <v>0</v>
          </cell>
          <cell r="S284">
            <v>0</v>
          </cell>
        </row>
        <row r="285">
          <cell r="D285" t="str">
            <v>Horizon Anker Openbare ruimte gebouw A</v>
          </cell>
          <cell r="E285" t="str">
            <v>1e</v>
          </cell>
          <cell r="F285" t="str">
            <v>A1.038</v>
          </cell>
          <cell r="G285" t="str">
            <v>Drama</v>
          </cell>
          <cell r="H285" t="str">
            <v>aula, gemeenschappelijke ruimte, bibliotheek</v>
          </cell>
          <cell r="I285" t="str">
            <v>Linoleum</v>
          </cell>
          <cell r="J285">
            <v>35.9</v>
          </cell>
          <cell r="K285"/>
          <cell r="L285">
            <v>2153</v>
          </cell>
          <cell r="M285">
            <v>102</v>
          </cell>
          <cell r="N285"/>
          <cell r="O285">
            <v>153</v>
          </cell>
          <cell r="P285">
            <v>1</v>
          </cell>
          <cell r="Q285">
            <v>0</v>
          </cell>
          <cell r="R285">
            <v>0</v>
          </cell>
          <cell r="S285">
            <v>0</v>
          </cell>
        </row>
        <row r="286">
          <cell r="D286" t="str">
            <v>Horizon Anker School gebouw A</v>
          </cell>
          <cell r="E286" t="str">
            <v>1e</v>
          </cell>
          <cell r="F286" t="str">
            <v>A1.039</v>
          </cell>
          <cell r="G286" t="str">
            <v>Lokaal creatieve expressie</v>
          </cell>
          <cell r="H286" t="str">
            <v>niet van toepassing</v>
          </cell>
          <cell r="I286" t="str">
            <v>Steen</v>
          </cell>
          <cell r="J286"/>
          <cell r="K286"/>
          <cell r="L286" t="str">
            <v>nvt</v>
          </cell>
          <cell r="M286">
            <v>0</v>
          </cell>
          <cell r="N286"/>
          <cell r="O286">
            <v>0</v>
          </cell>
          <cell r="P286">
            <v>1</v>
          </cell>
          <cell r="Q286">
            <v>0</v>
          </cell>
          <cell r="R286">
            <v>0</v>
          </cell>
          <cell r="S286">
            <v>0</v>
          </cell>
        </row>
        <row r="287">
          <cell r="D287" t="str">
            <v>Horizon Anker School gebouw A</v>
          </cell>
          <cell r="E287" t="str">
            <v>1e</v>
          </cell>
          <cell r="F287" t="str">
            <v>A1.040</v>
          </cell>
          <cell r="G287" t="str">
            <v>Berging</v>
          </cell>
          <cell r="H287" t="str">
            <v>niet van toepassing</v>
          </cell>
          <cell r="I287"/>
          <cell r="J287"/>
          <cell r="K287"/>
          <cell r="L287" t="str">
            <v>nvt</v>
          </cell>
          <cell r="M287">
            <v>0</v>
          </cell>
          <cell r="N287"/>
          <cell r="O287">
            <v>0</v>
          </cell>
          <cell r="P287">
            <v>1</v>
          </cell>
          <cell r="Q287">
            <v>0</v>
          </cell>
          <cell r="R287">
            <v>0</v>
          </cell>
          <cell r="S287">
            <v>0</v>
          </cell>
        </row>
        <row r="288">
          <cell r="D288" t="str">
            <v>Horizon Anker Openbare ruimte gebouw A</v>
          </cell>
          <cell r="E288" t="str">
            <v>1e</v>
          </cell>
          <cell r="F288" t="str">
            <v>A1.041</v>
          </cell>
          <cell r="G288" t="str">
            <v>Trappenhuis midden</v>
          </cell>
          <cell r="H288" t="str">
            <v>trappenhuis</v>
          </cell>
          <cell r="I288" t="str">
            <v>Hout</v>
          </cell>
          <cell r="J288">
            <v>14.2</v>
          </cell>
          <cell r="K288"/>
          <cell r="L288">
            <v>9153</v>
          </cell>
          <cell r="M288">
            <v>109</v>
          </cell>
          <cell r="N288"/>
          <cell r="O288">
            <v>153</v>
          </cell>
          <cell r="P288">
            <v>1</v>
          </cell>
          <cell r="Q288">
            <v>0</v>
          </cell>
          <cell r="R288">
            <v>0</v>
          </cell>
          <cell r="S288">
            <v>0</v>
          </cell>
        </row>
        <row r="289">
          <cell r="D289" t="str">
            <v>Horizon Anker School gebouw A</v>
          </cell>
          <cell r="E289" t="str">
            <v>1e</v>
          </cell>
          <cell r="F289" t="str">
            <v>A1.042</v>
          </cell>
          <cell r="G289" t="str">
            <v>Gang</v>
          </cell>
          <cell r="H289" t="str">
            <v>entree, gang, hal, repro, kopieer, was/droogruimte</v>
          </cell>
          <cell r="I289" t="str">
            <v>Linoleum</v>
          </cell>
          <cell r="J289">
            <v>18.399999999999999</v>
          </cell>
          <cell r="K289"/>
          <cell r="L289">
            <v>3153</v>
          </cell>
          <cell r="M289">
            <v>103</v>
          </cell>
          <cell r="N289"/>
          <cell r="O289">
            <v>153</v>
          </cell>
          <cell r="P289">
            <v>1</v>
          </cell>
          <cell r="Q289">
            <v>0</v>
          </cell>
          <cell r="R289">
            <v>0</v>
          </cell>
          <cell r="S289">
            <v>0</v>
          </cell>
        </row>
        <row r="290">
          <cell r="D290" t="str">
            <v>Horizon Anker School gebouw A</v>
          </cell>
          <cell r="E290" t="str">
            <v>1e</v>
          </cell>
          <cell r="F290" t="str">
            <v>A1.043</v>
          </cell>
          <cell r="G290" t="str">
            <v>Toilet</v>
          </cell>
          <cell r="H290" t="str">
            <v>sanitaire ruimte (toilet-/doucheruimte)</v>
          </cell>
          <cell r="I290" t="str">
            <v>Tegels</v>
          </cell>
          <cell r="J290">
            <v>2.1</v>
          </cell>
          <cell r="K290"/>
          <cell r="L290">
            <v>4153</v>
          </cell>
          <cell r="M290">
            <v>104</v>
          </cell>
          <cell r="N290"/>
          <cell r="O290">
            <v>153</v>
          </cell>
          <cell r="P290">
            <v>1</v>
          </cell>
          <cell r="Q290">
            <v>0</v>
          </cell>
          <cell r="R290">
            <v>0</v>
          </cell>
          <cell r="S290">
            <v>0</v>
          </cell>
        </row>
        <row r="291">
          <cell r="D291" t="str">
            <v>Horizon Anker School gebouw A</v>
          </cell>
          <cell r="E291" t="str">
            <v>1e</v>
          </cell>
          <cell r="F291" t="str">
            <v>A1.044</v>
          </cell>
          <cell r="G291" t="str">
            <v>Leslokaal</v>
          </cell>
          <cell r="H291" t="str">
            <v>niet van toepassing</v>
          </cell>
          <cell r="I291"/>
          <cell r="J291"/>
          <cell r="K291"/>
          <cell r="L291" t="str">
            <v>nvt</v>
          </cell>
          <cell r="M291">
            <v>0</v>
          </cell>
          <cell r="N291"/>
          <cell r="O291">
            <v>0</v>
          </cell>
          <cell r="P291">
            <v>1</v>
          </cell>
          <cell r="Q291">
            <v>0</v>
          </cell>
          <cell r="R291">
            <v>0</v>
          </cell>
          <cell r="S291">
            <v>0</v>
          </cell>
        </row>
        <row r="292">
          <cell r="D292" t="str">
            <v>Horizon Anker School gebouw A</v>
          </cell>
          <cell r="E292" t="str">
            <v>1e</v>
          </cell>
          <cell r="F292" t="str">
            <v>A1.045</v>
          </cell>
          <cell r="G292" t="str">
            <v>kantoor onderwijs</v>
          </cell>
          <cell r="H292" t="str">
            <v>niet van toepassing</v>
          </cell>
          <cell r="I292"/>
          <cell r="J292"/>
          <cell r="K292"/>
          <cell r="L292" t="str">
            <v>nvt</v>
          </cell>
          <cell r="M292">
            <v>0</v>
          </cell>
          <cell r="N292"/>
          <cell r="O292">
            <v>0</v>
          </cell>
          <cell r="P292">
            <v>1</v>
          </cell>
          <cell r="Q292">
            <v>0</v>
          </cell>
          <cell r="R292">
            <v>0</v>
          </cell>
          <cell r="S292">
            <v>0</v>
          </cell>
        </row>
        <row r="293">
          <cell r="D293" t="str">
            <v>Horizon Anker School gebouw A</v>
          </cell>
          <cell r="E293" t="str">
            <v>1e</v>
          </cell>
          <cell r="F293" t="str">
            <v>A1.046</v>
          </cell>
          <cell r="G293" t="str">
            <v>kantoor onderwijs coordinator</v>
          </cell>
          <cell r="H293" t="str">
            <v>niet van toepassing</v>
          </cell>
          <cell r="I293"/>
          <cell r="J293"/>
          <cell r="K293"/>
          <cell r="L293" t="str">
            <v>nvt</v>
          </cell>
          <cell r="M293">
            <v>0</v>
          </cell>
          <cell r="N293"/>
          <cell r="O293">
            <v>0</v>
          </cell>
          <cell r="P293">
            <v>1</v>
          </cell>
          <cell r="Q293">
            <v>0</v>
          </cell>
          <cell r="R293">
            <v>0</v>
          </cell>
          <cell r="S293">
            <v>0</v>
          </cell>
        </row>
        <row r="294">
          <cell r="D294" t="str">
            <v>Horizon Anker School gebouw A</v>
          </cell>
          <cell r="E294" t="str">
            <v>1e</v>
          </cell>
          <cell r="F294" t="str">
            <v>A1.047</v>
          </cell>
          <cell r="G294" t="str">
            <v>Bibliotheek onderwijs</v>
          </cell>
          <cell r="H294" t="str">
            <v>niet van toepassing</v>
          </cell>
          <cell r="I294"/>
          <cell r="J294"/>
          <cell r="K294"/>
          <cell r="L294" t="str">
            <v>nvt</v>
          </cell>
          <cell r="M294">
            <v>0</v>
          </cell>
          <cell r="N294"/>
          <cell r="O294">
            <v>0</v>
          </cell>
          <cell r="P294">
            <v>1</v>
          </cell>
          <cell r="Q294">
            <v>0</v>
          </cell>
          <cell r="R294">
            <v>0</v>
          </cell>
          <cell r="S294">
            <v>0</v>
          </cell>
        </row>
        <row r="295">
          <cell r="D295" t="str">
            <v>Horizon Anker School gebouw A</v>
          </cell>
          <cell r="E295" t="str">
            <v>1e</v>
          </cell>
          <cell r="F295" t="str">
            <v>A1.048</v>
          </cell>
          <cell r="G295" t="str">
            <v>Berging</v>
          </cell>
          <cell r="H295" t="str">
            <v>niet van toepassing</v>
          </cell>
          <cell r="I295"/>
          <cell r="J295"/>
          <cell r="K295"/>
          <cell r="L295" t="str">
            <v>nvt</v>
          </cell>
          <cell r="M295">
            <v>0</v>
          </cell>
          <cell r="N295"/>
          <cell r="O295">
            <v>0</v>
          </cell>
          <cell r="P295">
            <v>1</v>
          </cell>
          <cell r="Q295">
            <v>0</v>
          </cell>
          <cell r="R295">
            <v>0</v>
          </cell>
          <cell r="S295">
            <v>0</v>
          </cell>
        </row>
        <row r="296">
          <cell r="D296" t="str">
            <v>Horizon Anker Openbare ruimte gebouw A</v>
          </cell>
          <cell r="E296" t="str">
            <v>1e</v>
          </cell>
          <cell r="F296" t="str">
            <v>A1.049</v>
          </cell>
          <cell r="G296" t="str">
            <v>Trappenhuis midden</v>
          </cell>
          <cell r="H296" t="str">
            <v>trappenhuis</v>
          </cell>
          <cell r="I296" t="str">
            <v>Hout</v>
          </cell>
          <cell r="J296">
            <v>14.2</v>
          </cell>
          <cell r="K296"/>
          <cell r="L296">
            <v>9153</v>
          </cell>
          <cell r="M296">
            <v>109</v>
          </cell>
          <cell r="N296"/>
          <cell r="O296">
            <v>153</v>
          </cell>
          <cell r="P296">
            <v>1</v>
          </cell>
          <cell r="Q296">
            <v>0</v>
          </cell>
          <cell r="R296">
            <v>0</v>
          </cell>
          <cell r="S296">
            <v>0</v>
          </cell>
        </row>
        <row r="297">
          <cell r="D297" t="str">
            <v>Horizon Anker Openbare ruimte gebouw A</v>
          </cell>
          <cell r="E297" t="str">
            <v>1e</v>
          </cell>
          <cell r="F297" t="str">
            <v>A1.051</v>
          </cell>
          <cell r="G297" t="str">
            <v>Portaal</v>
          </cell>
          <cell r="H297" t="str">
            <v>entree, gang, hal, repro, kopieer, was/droogruimte</v>
          </cell>
          <cell r="I297" t="str">
            <v>Linoleum</v>
          </cell>
          <cell r="J297">
            <v>6.7</v>
          </cell>
          <cell r="K297"/>
          <cell r="L297">
            <v>3153</v>
          </cell>
          <cell r="M297">
            <v>103</v>
          </cell>
          <cell r="N297"/>
          <cell r="O297">
            <v>153</v>
          </cell>
          <cell r="P297">
            <v>1</v>
          </cell>
          <cell r="Q297">
            <v>0</v>
          </cell>
          <cell r="R297">
            <v>0</v>
          </cell>
          <cell r="S297">
            <v>0</v>
          </cell>
        </row>
        <row r="298">
          <cell r="D298" t="str">
            <v>Horizon Anker Openbare ruimte gebouw A</v>
          </cell>
          <cell r="E298" t="str">
            <v>1e</v>
          </cell>
          <cell r="F298" t="str">
            <v>A1.052</v>
          </cell>
          <cell r="G298" t="str">
            <v>Vergaderruimte</v>
          </cell>
          <cell r="H298" t="str">
            <v>administratieve -, personeels- en vergaderruimte</v>
          </cell>
          <cell r="I298" t="str">
            <v>Tapijt</v>
          </cell>
          <cell r="J298">
            <v>51.2</v>
          </cell>
          <cell r="K298"/>
          <cell r="L298">
            <v>1153</v>
          </cell>
          <cell r="M298">
            <v>101</v>
          </cell>
          <cell r="N298"/>
          <cell r="O298">
            <v>153</v>
          </cell>
          <cell r="P298">
            <v>1</v>
          </cell>
          <cell r="Q298">
            <v>0</v>
          </cell>
          <cell r="R298">
            <v>0</v>
          </cell>
          <cell r="S298">
            <v>0</v>
          </cell>
        </row>
        <row r="299">
          <cell r="D299" t="str">
            <v>Horizon Anker Openbare ruimte gebouw A</v>
          </cell>
          <cell r="E299" t="str">
            <v>1e</v>
          </cell>
          <cell r="F299" t="str">
            <v>A1.053</v>
          </cell>
          <cell r="G299" t="str">
            <v>Docentenkamer</v>
          </cell>
          <cell r="H299" t="str">
            <v>niet van toepassing</v>
          </cell>
          <cell r="I299"/>
          <cell r="J299"/>
          <cell r="K299"/>
          <cell r="L299" t="str">
            <v>nvt</v>
          </cell>
          <cell r="M299">
            <v>0</v>
          </cell>
          <cell r="N299"/>
          <cell r="O299">
            <v>0</v>
          </cell>
          <cell r="P299">
            <v>1</v>
          </cell>
          <cell r="Q299">
            <v>0</v>
          </cell>
          <cell r="R299">
            <v>0</v>
          </cell>
          <cell r="S299">
            <v>0</v>
          </cell>
        </row>
        <row r="300">
          <cell r="D300" t="str">
            <v>Horizon Anker Openbare ruimte gebouw A</v>
          </cell>
          <cell r="E300" t="str">
            <v>1e</v>
          </cell>
          <cell r="F300" t="str">
            <v>A1.055</v>
          </cell>
          <cell r="G300" t="str">
            <v>Toilet</v>
          </cell>
          <cell r="H300" t="str">
            <v>sanitaire ruimte (toilet-/doucheruimte)</v>
          </cell>
          <cell r="I300" t="str">
            <v>Tegels</v>
          </cell>
          <cell r="J300">
            <v>1.7</v>
          </cell>
          <cell r="K300"/>
          <cell r="L300">
            <v>4153</v>
          </cell>
          <cell r="M300">
            <v>104</v>
          </cell>
          <cell r="N300"/>
          <cell r="O300">
            <v>153</v>
          </cell>
          <cell r="P300">
            <v>1</v>
          </cell>
          <cell r="Q300">
            <v>0</v>
          </cell>
          <cell r="R300">
            <v>0</v>
          </cell>
          <cell r="S300">
            <v>0</v>
          </cell>
        </row>
        <row r="301">
          <cell r="D301" t="str">
            <v>Horizon Anker Openbare ruimte gebouw A</v>
          </cell>
          <cell r="E301" t="str">
            <v>1e</v>
          </cell>
          <cell r="F301" t="str">
            <v>A1.056</v>
          </cell>
          <cell r="G301" t="str">
            <v>Berging</v>
          </cell>
          <cell r="H301" t="str">
            <v>niet van toepassing</v>
          </cell>
          <cell r="I301"/>
          <cell r="J301"/>
          <cell r="K301"/>
          <cell r="L301" t="str">
            <v>nvt</v>
          </cell>
          <cell r="M301">
            <v>0</v>
          </cell>
          <cell r="N301"/>
          <cell r="O301">
            <v>0</v>
          </cell>
          <cell r="P301">
            <v>1</v>
          </cell>
          <cell r="Q301">
            <v>0</v>
          </cell>
          <cell r="R301">
            <v>0</v>
          </cell>
          <cell r="S301">
            <v>0</v>
          </cell>
        </row>
        <row r="302">
          <cell r="D302" t="str">
            <v>Horizon Anker Openbare ruimte gebouw A</v>
          </cell>
          <cell r="E302" t="str">
            <v>1e</v>
          </cell>
          <cell r="F302" t="str">
            <v>A1.057</v>
          </cell>
          <cell r="G302" t="str">
            <v>Berging</v>
          </cell>
          <cell r="H302" t="str">
            <v>niet van toepassing</v>
          </cell>
          <cell r="I302"/>
          <cell r="J302"/>
          <cell r="K302"/>
          <cell r="L302" t="str">
            <v>nvt</v>
          </cell>
          <cell r="M302">
            <v>0</v>
          </cell>
          <cell r="N302"/>
          <cell r="O302">
            <v>0</v>
          </cell>
          <cell r="P302">
            <v>1</v>
          </cell>
          <cell r="Q302">
            <v>0</v>
          </cell>
          <cell r="R302">
            <v>0</v>
          </cell>
          <cell r="S302">
            <v>0</v>
          </cell>
        </row>
        <row r="303">
          <cell r="D303" t="str">
            <v>Horizon Anker Openbare ruimte gebouw A</v>
          </cell>
          <cell r="E303" t="str">
            <v>1e</v>
          </cell>
          <cell r="F303" t="str">
            <v>A1.058</v>
          </cell>
          <cell r="G303" t="str">
            <v>Noodstroomaggregaat</v>
          </cell>
          <cell r="H303" t="str">
            <v>niet van toepassing</v>
          </cell>
          <cell r="I303"/>
          <cell r="J303"/>
          <cell r="K303"/>
          <cell r="L303" t="str">
            <v>nvt</v>
          </cell>
          <cell r="M303">
            <v>0</v>
          </cell>
          <cell r="N303"/>
          <cell r="O303">
            <v>0</v>
          </cell>
          <cell r="P303">
            <v>1</v>
          </cell>
          <cell r="Q303">
            <v>0</v>
          </cell>
          <cell r="R303">
            <v>0</v>
          </cell>
          <cell r="S303">
            <v>0</v>
          </cell>
        </row>
        <row r="304">
          <cell r="D304" t="str">
            <v>Horizon Anker Openbare ruimte gebouw A</v>
          </cell>
          <cell r="E304" t="str">
            <v>1e</v>
          </cell>
          <cell r="F304" t="str">
            <v>A1.059</v>
          </cell>
          <cell r="G304" t="str">
            <v>Sluis</v>
          </cell>
          <cell r="H304" t="str">
            <v>entree, gang, hal, repro, kopieer, was/droogruimte</v>
          </cell>
          <cell r="I304" t="str">
            <v>Linoleum</v>
          </cell>
          <cell r="J304">
            <v>11.1</v>
          </cell>
          <cell r="K304"/>
          <cell r="L304">
            <v>3153</v>
          </cell>
          <cell r="M304">
            <v>103</v>
          </cell>
          <cell r="N304"/>
          <cell r="O304">
            <v>153</v>
          </cell>
          <cell r="P304">
            <v>1</v>
          </cell>
          <cell r="Q304">
            <v>0</v>
          </cell>
          <cell r="R304">
            <v>0</v>
          </cell>
          <cell r="S304">
            <v>0</v>
          </cell>
        </row>
        <row r="305">
          <cell r="D305" t="str">
            <v>Horizon Anker Openbare ruimte gebouw A</v>
          </cell>
          <cell r="E305" t="str">
            <v>1e</v>
          </cell>
          <cell r="F305" t="str">
            <v>A1.060</v>
          </cell>
          <cell r="G305" t="str">
            <v>Trappenhuis</v>
          </cell>
          <cell r="H305" t="str">
            <v>trappenhuis</v>
          </cell>
          <cell r="I305" t="str">
            <v>Hout</v>
          </cell>
          <cell r="J305">
            <v>19.7</v>
          </cell>
          <cell r="K305"/>
          <cell r="L305">
            <v>9153</v>
          </cell>
          <cell r="M305">
            <v>109</v>
          </cell>
          <cell r="N305"/>
          <cell r="O305">
            <v>153</v>
          </cell>
          <cell r="P305">
            <v>1</v>
          </cell>
          <cell r="Q305">
            <v>0</v>
          </cell>
          <cell r="R305">
            <v>0</v>
          </cell>
          <cell r="S305">
            <v>0</v>
          </cell>
        </row>
        <row r="306">
          <cell r="D306" t="str">
            <v>Horizon Anker Openbare ruimte gebouw A</v>
          </cell>
          <cell r="E306" t="str">
            <v>2e</v>
          </cell>
          <cell r="F306" t="str">
            <v>A1.061</v>
          </cell>
          <cell r="G306" t="str">
            <v>CV Installatie</v>
          </cell>
          <cell r="H306" t="str">
            <v>niet van toepassing</v>
          </cell>
          <cell r="I306" t="str">
            <v>Steen</v>
          </cell>
          <cell r="J306"/>
          <cell r="K306"/>
          <cell r="L306" t="str">
            <v>nvt</v>
          </cell>
          <cell r="M306">
            <v>0</v>
          </cell>
          <cell r="N306"/>
          <cell r="O306">
            <v>0</v>
          </cell>
          <cell r="P306">
            <v>1</v>
          </cell>
          <cell r="Q306">
            <v>0</v>
          </cell>
          <cell r="R306">
            <v>0</v>
          </cell>
          <cell r="S306">
            <v>0</v>
          </cell>
        </row>
        <row r="307">
          <cell r="D307" t="str">
            <v>Horizon Anker Openbare ruimte gebouw A</v>
          </cell>
          <cell r="E307">
            <v>3</v>
          </cell>
          <cell r="F307" t="str">
            <v>A1.062</v>
          </cell>
          <cell r="G307" t="str">
            <v>Goederenlift</v>
          </cell>
          <cell r="H307" t="str">
            <v>niet van toepassing</v>
          </cell>
          <cell r="I307" t="str">
            <v>Steen</v>
          </cell>
          <cell r="J307"/>
          <cell r="K307"/>
          <cell r="L307" t="str">
            <v>nvt</v>
          </cell>
          <cell r="M307">
            <v>0</v>
          </cell>
          <cell r="N307"/>
          <cell r="O307">
            <v>0</v>
          </cell>
          <cell r="P307">
            <v>1</v>
          </cell>
          <cell r="Q307">
            <v>0</v>
          </cell>
          <cell r="R307">
            <v>0</v>
          </cell>
          <cell r="S307">
            <v>0</v>
          </cell>
        </row>
        <row r="308">
          <cell r="D308" t="str">
            <v>Horizon Anker Openbare ruimte gebouw A</v>
          </cell>
          <cell r="E308" t="str">
            <v>1e</v>
          </cell>
          <cell r="F308" t="str">
            <v>A1.063</v>
          </cell>
          <cell r="G308" t="str">
            <v>Pantry</v>
          </cell>
          <cell r="H308" t="str">
            <v>pantry</v>
          </cell>
          <cell r="I308" t="str">
            <v>Linoleum</v>
          </cell>
          <cell r="J308">
            <v>11.7</v>
          </cell>
          <cell r="K308"/>
          <cell r="L308">
            <v>5153</v>
          </cell>
          <cell r="M308">
            <v>105</v>
          </cell>
          <cell r="N308"/>
          <cell r="O308">
            <v>153</v>
          </cell>
          <cell r="P308">
            <v>1</v>
          </cell>
          <cell r="Q308">
            <v>0</v>
          </cell>
          <cell r="R308">
            <v>0</v>
          </cell>
          <cell r="S308">
            <v>0</v>
          </cell>
        </row>
        <row r="309">
          <cell r="D309" t="str">
            <v>Horizon Anker Openbare ruimte gebouw A</v>
          </cell>
          <cell r="E309" t="str">
            <v>1e</v>
          </cell>
          <cell r="F309" t="str">
            <v>A1.064</v>
          </cell>
          <cell r="G309" t="str">
            <v>Kantine</v>
          </cell>
          <cell r="H309" t="str">
            <v>kantine, restaurant</v>
          </cell>
          <cell r="I309" t="str">
            <v>Linoleum</v>
          </cell>
          <cell r="J309">
            <v>102</v>
          </cell>
          <cell r="K309"/>
          <cell r="L309">
            <v>11255</v>
          </cell>
          <cell r="M309">
            <v>105</v>
          </cell>
          <cell r="N309"/>
          <cell r="O309">
            <v>255</v>
          </cell>
          <cell r="P309">
            <v>1</v>
          </cell>
          <cell r="Q309">
            <v>0</v>
          </cell>
          <cell r="R309">
            <v>0</v>
          </cell>
          <cell r="S309">
            <v>0</v>
          </cell>
        </row>
        <row r="310">
          <cell r="D310" t="str">
            <v>Horizon Anker School gebouw A</v>
          </cell>
          <cell r="E310" t="str">
            <v>1e</v>
          </cell>
          <cell r="F310" t="str">
            <v>A1.067</v>
          </cell>
          <cell r="G310" t="str">
            <v>kantoor onderwijs administratie</v>
          </cell>
          <cell r="H310" t="str">
            <v>niet van toepassing</v>
          </cell>
          <cell r="I310"/>
          <cell r="J310"/>
          <cell r="K310"/>
          <cell r="L310" t="str">
            <v>nvt</v>
          </cell>
          <cell r="M310">
            <v>0</v>
          </cell>
          <cell r="N310"/>
          <cell r="O310">
            <v>0</v>
          </cell>
          <cell r="P310">
            <v>1</v>
          </cell>
          <cell r="Q310">
            <v>0</v>
          </cell>
          <cell r="R310">
            <v>0</v>
          </cell>
          <cell r="S310">
            <v>0</v>
          </cell>
        </row>
        <row r="311">
          <cell r="D311" t="str">
            <v>Horizon Anker Kompas 2 gebouw A</v>
          </cell>
          <cell r="E311" t="str">
            <v>1e</v>
          </cell>
          <cell r="F311" t="str">
            <v>A1.101</v>
          </cell>
          <cell r="G311" t="str">
            <v>Gang voor de sl.kamers</v>
          </cell>
          <cell r="H311" t="str">
            <v>entree, gang, hal, repro, kopieer, was/droogruimte</v>
          </cell>
          <cell r="I311" t="str">
            <v>Linoleum</v>
          </cell>
          <cell r="J311">
            <v>77.8</v>
          </cell>
          <cell r="K311"/>
          <cell r="L311">
            <v>3153</v>
          </cell>
          <cell r="M311">
            <v>103</v>
          </cell>
          <cell r="N311"/>
          <cell r="O311">
            <v>153</v>
          </cell>
          <cell r="P311">
            <v>1</v>
          </cell>
          <cell r="Q311">
            <v>0</v>
          </cell>
          <cell r="R311">
            <v>0</v>
          </cell>
          <cell r="S311">
            <v>0</v>
          </cell>
        </row>
        <row r="312">
          <cell r="D312" t="str">
            <v>Horizon Anker Kompas 2 gebouw A</v>
          </cell>
          <cell r="E312" t="str">
            <v>1e</v>
          </cell>
          <cell r="F312" t="str">
            <v>A1.102</v>
          </cell>
          <cell r="G312" t="str">
            <v>Trap</v>
          </cell>
          <cell r="H312" t="str">
            <v>trappenhuis</v>
          </cell>
          <cell r="I312" t="str">
            <v>Steen</v>
          </cell>
          <cell r="J312">
            <v>13.9</v>
          </cell>
          <cell r="K312"/>
          <cell r="L312">
            <v>9153</v>
          </cell>
          <cell r="M312">
            <v>109</v>
          </cell>
          <cell r="N312"/>
          <cell r="O312">
            <v>153</v>
          </cell>
          <cell r="P312">
            <v>1</v>
          </cell>
          <cell r="Q312">
            <v>0</v>
          </cell>
          <cell r="R312">
            <v>0</v>
          </cell>
          <cell r="S312">
            <v>0</v>
          </cell>
        </row>
        <row r="313">
          <cell r="D313" t="str">
            <v>Horizon Anker Kompas 2 gebouw A</v>
          </cell>
          <cell r="E313" t="str">
            <v>1e</v>
          </cell>
          <cell r="F313" t="str">
            <v>A1.103</v>
          </cell>
          <cell r="G313" t="str">
            <v>Linnenkamer</v>
          </cell>
          <cell r="H313" t="str">
            <v>entree, gang, hal, repro, kopieer, was/droogruimte</v>
          </cell>
          <cell r="I313" t="str">
            <v>Linoleum</v>
          </cell>
          <cell r="J313">
            <v>13</v>
          </cell>
          <cell r="K313"/>
          <cell r="L313">
            <v>3153</v>
          </cell>
          <cell r="M313">
            <v>103</v>
          </cell>
          <cell r="N313"/>
          <cell r="O313">
            <v>153</v>
          </cell>
          <cell r="P313">
            <v>1</v>
          </cell>
          <cell r="Q313">
            <v>0</v>
          </cell>
          <cell r="R313">
            <v>0</v>
          </cell>
          <cell r="S313">
            <v>0</v>
          </cell>
        </row>
        <row r="314">
          <cell r="D314" t="str">
            <v>Horizon Anker Kompas 2 gebouw A</v>
          </cell>
          <cell r="E314" t="str">
            <v>1e</v>
          </cell>
          <cell r="F314" t="str">
            <v>A1.104</v>
          </cell>
          <cell r="G314" t="str">
            <v xml:space="preserve">Berging </v>
          </cell>
          <cell r="H314" t="str">
            <v>niet van toepassing</v>
          </cell>
          <cell r="I314" t="str">
            <v>Linoleum</v>
          </cell>
          <cell r="J314"/>
          <cell r="K314"/>
          <cell r="L314" t="str">
            <v>nvt</v>
          </cell>
          <cell r="M314">
            <v>0</v>
          </cell>
          <cell r="N314"/>
          <cell r="O314">
            <v>0</v>
          </cell>
          <cell r="P314">
            <v>1</v>
          </cell>
          <cell r="Q314">
            <v>0</v>
          </cell>
          <cell r="R314">
            <v>0</v>
          </cell>
          <cell r="S314">
            <v>0</v>
          </cell>
        </row>
        <row r="315">
          <cell r="D315" t="str">
            <v>Horizon Anker Kompas 2 gebouw A</v>
          </cell>
          <cell r="E315" t="str">
            <v>1e</v>
          </cell>
          <cell r="F315" t="str">
            <v>A1.105</v>
          </cell>
          <cell r="G315" t="str">
            <v>Time-out kamer</v>
          </cell>
          <cell r="H315" t="str">
            <v>niet van toepassing</v>
          </cell>
          <cell r="I315" t="str">
            <v>Linoleum</v>
          </cell>
          <cell r="J315"/>
          <cell r="K315"/>
          <cell r="L315" t="str">
            <v>nvt</v>
          </cell>
          <cell r="M315">
            <v>0</v>
          </cell>
          <cell r="N315"/>
          <cell r="O315">
            <v>0</v>
          </cell>
          <cell r="P315">
            <v>1</v>
          </cell>
          <cell r="Q315">
            <v>0</v>
          </cell>
          <cell r="R315">
            <v>0</v>
          </cell>
          <cell r="S315">
            <v>0</v>
          </cell>
        </row>
        <row r="316">
          <cell r="D316" t="str">
            <v>Horizon Anker Kompas 2 gebouw A</v>
          </cell>
          <cell r="E316" t="str">
            <v>1e</v>
          </cell>
          <cell r="F316" t="str">
            <v>A1.106</v>
          </cell>
          <cell r="G316" t="str">
            <v>Zit-Slaapkamer</v>
          </cell>
          <cell r="H316" t="str">
            <v>niet van toepassing</v>
          </cell>
          <cell r="I316" t="str">
            <v>Linoleum</v>
          </cell>
          <cell r="J316"/>
          <cell r="K316"/>
          <cell r="L316" t="str">
            <v>nvt</v>
          </cell>
          <cell r="M316">
            <v>0</v>
          </cell>
          <cell r="N316"/>
          <cell r="O316">
            <v>0</v>
          </cell>
          <cell r="P316">
            <v>1</v>
          </cell>
          <cell r="Q316">
            <v>0</v>
          </cell>
          <cell r="R316">
            <v>0</v>
          </cell>
          <cell r="S316">
            <v>0</v>
          </cell>
        </row>
        <row r="317">
          <cell r="D317" t="str">
            <v>Horizon Anker Kompas 2 gebouw A</v>
          </cell>
          <cell r="E317" t="str">
            <v>1e</v>
          </cell>
          <cell r="F317" t="str">
            <v>A1.107</v>
          </cell>
          <cell r="G317" t="str">
            <v>Zit-Slaapkamer</v>
          </cell>
          <cell r="H317" t="str">
            <v>niet van toepassing</v>
          </cell>
          <cell r="I317" t="str">
            <v>Linoleum</v>
          </cell>
          <cell r="J317"/>
          <cell r="K317"/>
          <cell r="L317" t="str">
            <v>nvt</v>
          </cell>
          <cell r="M317">
            <v>0</v>
          </cell>
          <cell r="N317"/>
          <cell r="O317">
            <v>0</v>
          </cell>
          <cell r="P317">
            <v>1</v>
          </cell>
          <cell r="Q317">
            <v>0</v>
          </cell>
          <cell r="R317">
            <v>0</v>
          </cell>
          <cell r="S317">
            <v>0</v>
          </cell>
        </row>
        <row r="318">
          <cell r="D318" t="str">
            <v>Horizon Anker Kompas 2 gebouw A</v>
          </cell>
          <cell r="E318" t="str">
            <v>1e</v>
          </cell>
          <cell r="F318" t="str">
            <v>A1.108</v>
          </cell>
          <cell r="G318" t="str">
            <v>Zit-Slaapkamer</v>
          </cell>
          <cell r="H318" t="str">
            <v>niet van toepassing</v>
          </cell>
          <cell r="I318" t="str">
            <v>Linoleum</v>
          </cell>
          <cell r="J318"/>
          <cell r="K318"/>
          <cell r="L318" t="str">
            <v>nvt</v>
          </cell>
          <cell r="M318">
            <v>0</v>
          </cell>
          <cell r="N318"/>
          <cell r="O318">
            <v>0</v>
          </cell>
          <cell r="P318">
            <v>1</v>
          </cell>
          <cell r="Q318">
            <v>0</v>
          </cell>
          <cell r="R318">
            <v>0</v>
          </cell>
          <cell r="S318">
            <v>0</v>
          </cell>
        </row>
        <row r="319">
          <cell r="D319" t="str">
            <v>Horizon Anker Kompas 2 gebouw A</v>
          </cell>
          <cell r="E319" t="str">
            <v>1e</v>
          </cell>
          <cell r="F319" t="str">
            <v>A1.109</v>
          </cell>
          <cell r="G319" t="str">
            <v>Zit-Slaapkamer</v>
          </cell>
          <cell r="H319" t="str">
            <v>niet van toepassing</v>
          </cell>
          <cell r="I319" t="str">
            <v>Linoleum</v>
          </cell>
          <cell r="J319"/>
          <cell r="K319"/>
          <cell r="L319" t="str">
            <v>nvt</v>
          </cell>
          <cell r="M319">
            <v>0</v>
          </cell>
          <cell r="N319"/>
          <cell r="O319">
            <v>0</v>
          </cell>
          <cell r="P319">
            <v>1</v>
          </cell>
          <cell r="Q319">
            <v>0</v>
          </cell>
          <cell r="R319">
            <v>0</v>
          </cell>
          <cell r="S319">
            <v>0</v>
          </cell>
        </row>
        <row r="320">
          <cell r="D320" t="str">
            <v>Horizon Anker Kompas 2 gebouw A</v>
          </cell>
          <cell r="E320" t="str">
            <v>1e</v>
          </cell>
          <cell r="F320" t="str">
            <v>A1.110</v>
          </cell>
          <cell r="G320" t="str">
            <v>Zit-Slaapkamer</v>
          </cell>
          <cell r="H320" t="str">
            <v>niet van toepassing</v>
          </cell>
          <cell r="I320" t="str">
            <v>Linoleum</v>
          </cell>
          <cell r="J320"/>
          <cell r="K320"/>
          <cell r="L320" t="str">
            <v>nvt</v>
          </cell>
          <cell r="M320">
            <v>0</v>
          </cell>
          <cell r="N320"/>
          <cell r="O320">
            <v>0</v>
          </cell>
          <cell r="P320">
            <v>1</v>
          </cell>
          <cell r="Q320">
            <v>0</v>
          </cell>
          <cell r="R320">
            <v>0</v>
          </cell>
          <cell r="S320">
            <v>0</v>
          </cell>
        </row>
        <row r="321">
          <cell r="D321" t="str">
            <v>Horizon Anker Kompas 2 gebouw A</v>
          </cell>
          <cell r="E321" t="str">
            <v>1e</v>
          </cell>
          <cell r="F321" t="str">
            <v>A1.111</v>
          </cell>
          <cell r="G321" t="str">
            <v>Zit-Slaapkamer</v>
          </cell>
          <cell r="H321" t="str">
            <v>niet van toepassing</v>
          </cell>
          <cell r="I321" t="str">
            <v>Linoleum</v>
          </cell>
          <cell r="J321"/>
          <cell r="K321"/>
          <cell r="L321" t="str">
            <v>nvt</v>
          </cell>
          <cell r="M321">
            <v>0</v>
          </cell>
          <cell r="N321"/>
          <cell r="O321">
            <v>0</v>
          </cell>
          <cell r="P321">
            <v>1</v>
          </cell>
          <cell r="Q321">
            <v>0</v>
          </cell>
          <cell r="R321">
            <v>0</v>
          </cell>
          <cell r="S321">
            <v>0</v>
          </cell>
        </row>
        <row r="322">
          <cell r="D322" t="str">
            <v>Horizon Anker Kompas 2 gebouw A</v>
          </cell>
          <cell r="E322" t="str">
            <v>1e</v>
          </cell>
          <cell r="F322" t="str">
            <v>A1.112</v>
          </cell>
          <cell r="G322" t="str">
            <v>Zit-Slaapkamer</v>
          </cell>
          <cell r="H322" t="str">
            <v>niet van toepassing</v>
          </cell>
          <cell r="I322" t="str">
            <v>Linoleum</v>
          </cell>
          <cell r="J322"/>
          <cell r="K322"/>
          <cell r="L322" t="str">
            <v>nvt</v>
          </cell>
          <cell r="M322">
            <v>0</v>
          </cell>
          <cell r="N322"/>
          <cell r="O322">
            <v>0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D323" t="str">
            <v>Horizon Anker Kompas 2 gebouw A</v>
          </cell>
          <cell r="E323" t="str">
            <v>1e</v>
          </cell>
          <cell r="F323" t="str">
            <v>A1.113</v>
          </cell>
          <cell r="G323" t="str">
            <v>Zit-Slaapkamer</v>
          </cell>
          <cell r="H323" t="str">
            <v>niet van toepassing</v>
          </cell>
          <cell r="I323" t="str">
            <v>Linoleum</v>
          </cell>
          <cell r="J323"/>
          <cell r="K323"/>
          <cell r="L323" t="str">
            <v>nvt</v>
          </cell>
          <cell r="M323">
            <v>0</v>
          </cell>
          <cell r="N323"/>
          <cell r="O323">
            <v>0</v>
          </cell>
          <cell r="P323">
            <v>1</v>
          </cell>
          <cell r="Q323">
            <v>0</v>
          </cell>
          <cell r="R323">
            <v>0</v>
          </cell>
          <cell r="S323">
            <v>0</v>
          </cell>
        </row>
        <row r="324">
          <cell r="D324" t="str">
            <v>Horizon Anker Kompas 2 gebouw A</v>
          </cell>
          <cell r="E324" t="str">
            <v>1e</v>
          </cell>
          <cell r="F324" t="str">
            <v>A1.114</v>
          </cell>
          <cell r="G324" t="str">
            <v>Zit-Slaapkamer</v>
          </cell>
          <cell r="H324" t="str">
            <v>niet van toepassing</v>
          </cell>
          <cell r="I324" t="str">
            <v>Linoleum</v>
          </cell>
          <cell r="J324"/>
          <cell r="K324"/>
          <cell r="L324" t="str">
            <v>nvt</v>
          </cell>
          <cell r="M324">
            <v>0</v>
          </cell>
          <cell r="N324"/>
          <cell r="O324">
            <v>0</v>
          </cell>
          <cell r="P324">
            <v>1</v>
          </cell>
          <cell r="Q324">
            <v>0</v>
          </cell>
          <cell r="R324">
            <v>0</v>
          </cell>
          <cell r="S324">
            <v>0</v>
          </cell>
        </row>
        <row r="325">
          <cell r="D325" t="str">
            <v>Horizon Anker Kompas 2 gebouw A</v>
          </cell>
          <cell r="E325" t="str">
            <v>1e</v>
          </cell>
          <cell r="F325" t="str">
            <v>A1.115</v>
          </cell>
          <cell r="G325" t="str">
            <v>Douches en toilet</v>
          </cell>
          <cell r="H325" t="str">
            <v>sanitaire ruimte (toilet-/doucheruimte)</v>
          </cell>
          <cell r="I325" t="str">
            <v>Tegels</v>
          </cell>
          <cell r="J325">
            <v>10.3</v>
          </cell>
          <cell r="K325"/>
          <cell r="L325">
            <v>4255</v>
          </cell>
          <cell r="M325">
            <v>104</v>
          </cell>
          <cell r="N325"/>
          <cell r="O325">
            <v>255</v>
          </cell>
          <cell r="P325">
            <v>1</v>
          </cell>
          <cell r="Q325">
            <v>0</v>
          </cell>
          <cell r="R325">
            <v>0</v>
          </cell>
          <cell r="S325">
            <v>0</v>
          </cell>
        </row>
        <row r="326">
          <cell r="D326" t="str">
            <v>Horizon Anker Kompas 2 gebouw A</v>
          </cell>
          <cell r="E326" t="str">
            <v>1e</v>
          </cell>
          <cell r="F326" t="str">
            <v>A1.116a</v>
          </cell>
          <cell r="G326" t="str">
            <v>Groepsruimte</v>
          </cell>
          <cell r="H326" t="str">
            <v>leslokaal</v>
          </cell>
          <cell r="I326" t="str">
            <v>Linoleum</v>
          </cell>
          <cell r="J326">
            <v>73.2</v>
          </cell>
          <cell r="K326"/>
          <cell r="L326">
            <v>7153</v>
          </cell>
          <cell r="M326">
            <v>107</v>
          </cell>
          <cell r="N326"/>
          <cell r="O326">
            <v>153</v>
          </cell>
          <cell r="P326">
            <v>1</v>
          </cell>
          <cell r="Q326">
            <v>0</v>
          </cell>
          <cell r="R326">
            <v>0</v>
          </cell>
          <cell r="S326">
            <v>0</v>
          </cell>
        </row>
        <row r="327">
          <cell r="D327" t="str">
            <v>Horizon Anker Kompas 2 gebouw A</v>
          </cell>
          <cell r="E327" t="str">
            <v>1e</v>
          </cell>
          <cell r="F327" t="str">
            <v>A1.116b</v>
          </cell>
          <cell r="G327" t="str">
            <v>Speelruimte</v>
          </cell>
          <cell r="H327" t="str">
            <v>speellokaal</v>
          </cell>
          <cell r="I327" t="str">
            <v>Linoleum</v>
          </cell>
          <cell r="J327">
            <v>31.8</v>
          </cell>
          <cell r="K327"/>
          <cell r="L327">
            <v>8153</v>
          </cell>
          <cell r="M327">
            <v>107</v>
          </cell>
          <cell r="N327"/>
          <cell r="O327">
            <v>153</v>
          </cell>
          <cell r="P327">
            <v>1</v>
          </cell>
          <cell r="Q327">
            <v>0</v>
          </cell>
          <cell r="R327">
            <v>0</v>
          </cell>
          <cell r="S327">
            <v>0</v>
          </cell>
        </row>
        <row r="328">
          <cell r="D328" t="str">
            <v>Horizon Anker Kompas 2 gebouw A</v>
          </cell>
          <cell r="E328" t="str">
            <v>1e</v>
          </cell>
          <cell r="F328" t="str">
            <v>A1.117a</v>
          </cell>
          <cell r="G328" t="str">
            <v>Teamkamer</v>
          </cell>
          <cell r="H328" t="str">
            <v>administratieve -, personeels- en vergaderruimte</v>
          </cell>
          <cell r="I328" t="str">
            <v>Linoleum</v>
          </cell>
          <cell r="J328">
            <v>20.2</v>
          </cell>
          <cell r="K328"/>
          <cell r="L328">
            <v>1153</v>
          </cell>
          <cell r="M328">
            <v>101</v>
          </cell>
          <cell r="N328"/>
          <cell r="O328">
            <v>153</v>
          </cell>
          <cell r="P328">
            <v>1</v>
          </cell>
          <cell r="Q328">
            <v>0</v>
          </cell>
          <cell r="R328">
            <v>0</v>
          </cell>
          <cell r="S328">
            <v>0</v>
          </cell>
        </row>
        <row r="329">
          <cell r="D329" t="str">
            <v>Horizon Anker Kompas 2 gebouw A</v>
          </cell>
          <cell r="E329" t="str">
            <v>1e</v>
          </cell>
          <cell r="F329" t="str">
            <v>A1.117b</v>
          </cell>
          <cell r="G329" t="str">
            <v>Spreekkamer</v>
          </cell>
          <cell r="H329" t="str">
            <v>administratieve -, personeels- en vergaderruimte</v>
          </cell>
          <cell r="I329" t="str">
            <v>Linoleum</v>
          </cell>
          <cell r="J329">
            <v>14.4</v>
          </cell>
          <cell r="K329"/>
          <cell r="L329">
            <v>1153</v>
          </cell>
          <cell r="M329">
            <v>101</v>
          </cell>
          <cell r="N329"/>
          <cell r="O329">
            <v>153</v>
          </cell>
          <cell r="P329">
            <v>1</v>
          </cell>
          <cell r="Q329">
            <v>0</v>
          </cell>
          <cell r="R329">
            <v>0</v>
          </cell>
          <cell r="S329">
            <v>0</v>
          </cell>
        </row>
        <row r="330">
          <cell r="D330" t="str">
            <v>Horizon Anker Kompas 2 gebouw A</v>
          </cell>
          <cell r="E330" t="str">
            <v>1e</v>
          </cell>
          <cell r="F330" t="str">
            <v>A1.118</v>
          </cell>
          <cell r="G330" t="str">
            <v>gang</v>
          </cell>
          <cell r="H330" t="str">
            <v>entree, gang, hal, repro, kopieer, was/droogruimte</v>
          </cell>
          <cell r="I330" t="str">
            <v>Linoleum</v>
          </cell>
          <cell r="J330">
            <v>5.6</v>
          </cell>
          <cell r="K330"/>
          <cell r="L330">
            <v>3153</v>
          </cell>
          <cell r="M330">
            <v>103</v>
          </cell>
          <cell r="N330"/>
          <cell r="O330">
            <v>153</v>
          </cell>
          <cell r="P330">
            <v>1</v>
          </cell>
          <cell r="Q330">
            <v>0</v>
          </cell>
          <cell r="R330">
            <v>0</v>
          </cell>
          <cell r="S330">
            <v>0</v>
          </cell>
        </row>
        <row r="331">
          <cell r="D331" t="str">
            <v>Horizon Anker Kompas 2 gebouw A</v>
          </cell>
          <cell r="E331" t="str">
            <v>1e</v>
          </cell>
          <cell r="F331" t="str">
            <v>A1.119</v>
          </cell>
          <cell r="G331" t="str">
            <v>Bijkeuken</v>
          </cell>
          <cell r="H331" t="str">
            <v>Keuken</v>
          </cell>
          <cell r="I331" t="str">
            <v>Tegels</v>
          </cell>
          <cell r="J331">
            <v>9.4</v>
          </cell>
          <cell r="K331"/>
          <cell r="L331">
            <v>18153</v>
          </cell>
          <cell r="M331" t="str">
            <v>nvt</v>
          </cell>
          <cell r="N331"/>
          <cell r="O331">
            <v>153</v>
          </cell>
          <cell r="P331">
            <v>1</v>
          </cell>
          <cell r="Q331">
            <v>0</v>
          </cell>
          <cell r="R331">
            <v>0</v>
          </cell>
          <cell r="S331">
            <v>0</v>
          </cell>
        </row>
        <row r="332">
          <cell r="D332" t="str">
            <v>Horizon Anker Kompas 2 gebouw A</v>
          </cell>
          <cell r="E332" t="str">
            <v>1e</v>
          </cell>
          <cell r="F332" t="str">
            <v>A1.120</v>
          </cell>
          <cell r="G332" t="str">
            <v>toilet</v>
          </cell>
          <cell r="H332" t="str">
            <v>sanitaire ruimte (toilet-/doucheruimte)</v>
          </cell>
          <cell r="I332" t="str">
            <v>Tegels</v>
          </cell>
          <cell r="J332">
            <v>2.6</v>
          </cell>
          <cell r="K332"/>
          <cell r="L332">
            <v>4153</v>
          </cell>
          <cell r="M332">
            <v>104</v>
          </cell>
          <cell r="N332"/>
          <cell r="O332">
            <v>153</v>
          </cell>
          <cell r="P332">
            <v>1</v>
          </cell>
          <cell r="Q332">
            <v>0</v>
          </cell>
          <cell r="R332">
            <v>0</v>
          </cell>
          <cell r="S332">
            <v>0</v>
          </cell>
        </row>
        <row r="333">
          <cell r="D333" t="str">
            <v>Horizon Anker Kompas 2 gebouw A</v>
          </cell>
          <cell r="E333" t="str">
            <v>1e</v>
          </cell>
          <cell r="F333" t="str">
            <v>A1.121</v>
          </cell>
          <cell r="G333" t="str">
            <v xml:space="preserve">Berging </v>
          </cell>
          <cell r="H333" t="str">
            <v>niet van toepassing</v>
          </cell>
          <cell r="I333"/>
          <cell r="J333"/>
          <cell r="K333"/>
          <cell r="L333" t="str">
            <v>nvt</v>
          </cell>
          <cell r="M333">
            <v>0</v>
          </cell>
          <cell r="N333"/>
          <cell r="O333">
            <v>0</v>
          </cell>
          <cell r="P333">
            <v>1</v>
          </cell>
          <cell r="Q333">
            <v>0</v>
          </cell>
          <cell r="R333">
            <v>0</v>
          </cell>
          <cell r="S333">
            <v>0</v>
          </cell>
        </row>
        <row r="334">
          <cell r="D334" t="str">
            <v>Horizon Anker Kompas 2 gebouw A</v>
          </cell>
          <cell r="E334" t="str">
            <v>1e</v>
          </cell>
          <cell r="F334" t="str">
            <v>A1.122</v>
          </cell>
          <cell r="G334" t="str">
            <v>Sluis</v>
          </cell>
          <cell r="H334" t="str">
            <v>entree, gang, hal, repro, kopieer, was/droogruimte</v>
          </cell>
          <cell r="I334" t="str">
            <v>Steen</v>
          </cell>
          <cell r="J334">
            <v>7.9</v>
          </cell>
          <cell r="K334"/>
          <cell r="L334">
            <v>3153</v>
          </cell>
          <cell r="M334">
            <v>103</v>
          </cell>
          <cell r="N334"/>
          <cell r="O334">
            <v>153</v>
          </cell>
          <cell r="P334">
            <v>1</v>
          </cell>
          <cell r="Q334">
            <v>0</v>
          </cell>
          <cell r="R334">
            <v>0</v>
          </cell>
          <cell r="S334">
            <v>0</v>
          </cell>
        </row>
        <row r="335">
          <cell r="D335" t="str">
            <v>Horizon Anker Kompas 2 gebouw A</v>
          </cell>
          <cell r="E335" t="str">
            <v>1e</v>
          </cell>
          <cell r="F335" t="str">
            <v>A1.123</v>
          </cell>
          <cell r="G335" t="str">
            <v xml:space="preserve">Badkamer </v>
          </cell>
          <cell r="H335" t="str">
            <v>sanitaire ruimte (toilet-/doucheruimte)</v>
          </cell>
          <cell r="I335" t="str">
            <v>Tegels</v>
          </cell>
          <cell r="J335">
            <v>6.1</v>
          </cell>
          <cell r="K335"/>
          <cell r="L335">
            <v>4255</v>
          </cell>
          <cell r="M335">
            <v>104</v>
          </cell>
          <cell r="N335"/>
          <cell r="O335">
            <v>255</v>
          </cell>
          <cell r="P335">
            <v>1</v>
          </cell>
          <cell r="Q335">
            <v>0</v>
          </cell>
          <cell r="R335">
            <v>0</v>
          </cell>
          <cell r="S335">
            <v>0</v>
          </cell>
        </row>
        <row r="336">
          <cell r="D336" t="str">
            <v>Horizon Anker Kompas 2 gebouw A</v>
          </cell>
          <cell r="E336" t="str">
            <v>1e</v>
          </cell>
          <cell r="F336" t="str">
            <v>A1.124</v>
          </cell>
          <cell r="G336" t="str">
            <v xml:space="preserve">Loggia </v>
          </cell>
          <cell r="H336" t="str">
            <v>niet van toepassing</v>
          </cell>
          <cell r="I336"/>
          <cell r="J336"/>
          <cell r="K336"/>
          <cell r="L336" t="str">
            <v>nvt</v>
          </cell>
          <cell r="M336">
            <v>0</v>
          </cell>
          <cell r="N336"/>
          <cell r="O336">
            <v>0</v>
          </cell>
          <cell r="P336">
            <v>1</v>
          </cell>
          <cell r="Q336">
            <v>0</v>
          </cell>
          <cell r="R336">
            <v>0</v>
          </cell>
          <cell r="S336">
            <v>0</v>
          </cell>
        </row>
        <row r="337">
          <cell r="D337" t="str">
            <v>Horizon Anker Kompas 2 gebouw A</v>
          </cell>
          <cell r="E337" t="str">
            <v>1e</v>
          </cell>
          <cell r="F337" t="str">
            <v>A1.125</v>
          </cell>
          <cell r="G337" t="str">
            <v>Afzondering</v>
          </cell>
          <cell r="H337" t="str">
            <v>aula, gemeenschappelijke ruimte, bibliotheek</v>
          </cell>
          <cell r="I337" t="str">
            <v>Linoleum</v>
          </cell>
          <cell r="J337">
            <v>11.4</v>
          </cell>
          <cell r="K337"/>
          <cell r="L337">
            <v>2153</v>
          </cell>
          <cell r="M337">
            <v>102</v>
          </cell>
          <cell r="N337"/>
          <cell r="O337">
            <v>153</v>
          </cell>
          <cell r="P337">
            <v>1</v>
          </cell>
          <cell r="Q337">
            <v>0</v>
          </cell>
          <cell r="R337">
            <v>0</v>
          </cell>
          <cell r="S337">
            <v>0</v>
          </cell>
        </row>
        <row r="338">
          <cell r="D338" t="str">
            <v>Horizon Anker Kompas 2 gebouw A</v>
          </cell>
          <cell r="E338" t="str">
            <v>1e</v>
          </cell>
          <cell r="F338" t="str">
            <v>A1.126</v>
          </cell>
          <cell r="G338" t="str">
            <v>toilet</v>
          </cell>
          <cell r="H338" t="str">
            <v>sanitaire ruimte (toilet-/doucheruimte)</v>
          </cell>
          <cell r="I338" t="str">
            <v>Tegels</v>
          </cell>
          <cell r="J338">
            <v>1.4</v>
          </cell>
          <cell r="K338"/>
          <cell r="L338">
            <v>4153</v>
          </cell>
          <cell r="M338">
            <v>104</v>
          </cell>
          <cell r="N338"/>
          <cell r="O338">
            <v>153</v>
          </cell>
          <cell r="P338">
            <v>1</v>
          </cell>
          <cell r="Q338">
            <v>0</v>
          </cell>
          <cell r="R338">
            <v>0</v>
          </cell>
          <cell r="S338">
            <v>0</v>
          </cell>
        </row>
        <row r="339">
          <cell r="D339" t="str">
            <v>Horizon Anker Kompas 2 gebouw A</v>
          </cell>
          <cell r="E339" t="str">
            <v>1e</v>
          </cell>
          <cell r="F339" t="str">
            <v>A1.127</v>
          </cell>
          <cell r="G339" t="str">
            <v>voorruimte WC</v>
          </cell>
          <cell r="H339" t="str">
            <v>sanitaire ruimte (toilet-/doucheruimte)</v>
          </cell>
          <cell r="I339" t="str">
            <v>Tegels</v>
          </cell>
          <cell r="J339">
            <v>2</v>
          </cell>
          <cell r="K339"/>
          <cell r="L339">
            <v>4153</v>
          </cell>
          <cell r="M339">
            <v>104</v>
          </cell>
          <cell r="N339"/>
          <cell r="O339">
            <v>153</v>
          </cell>
          <cell r="P339">
            <v>1</v>
          </cell>
          <cell r="Q339">
            <v>0</v>
          </cell>
          <cell r="R339">
            <v>0</v>
          </cell>
          <cell r="S339">
            <v>0</v>
          </cell>
        </row>
        <row r="340">
          <cell r="D340" t="str">
            <v>Horizon Anker Kompas 2 gebouw A</v>
          </cell>
          <cell r="E340" t="str">
            <v>1e</v>
          </cell>
          <cell r="F340" t="str">
            <v>A1.128</v>
          </cell>
          <cell r="G340" t="str">
            <v>Keuken (keuken)</v>
          </cell>
          <cell r="H340" t="str">
            <v>Keuken</v>
          </cell>
          <cell r="I340" t="str">
            <v>Tegels</v>
          </cell>
          <cell r="J340">
            <v>14.4</v>
          </cell>
          <cell r="K340"/>
          <cell r="L340">
            <v>18255</v>
          </cell>
          <cell r="M340" t="str">
            <v>nvt</v>
          </cell>
          <cell r="N340"/>
          <cell r="O340">
            <v>255</v>
          </cell>
          <cell r="P340">
            <v>1</v>
          </cell>
          <cell r="Q340">
            <v>0</v>
          </cell>
          <cell r="R340">
            <v>0</v>
          </cell>
          <cell r="S340">
            <v>0</v>
          </cell>
        </row>
        <row r="341">
          <cell r="D341" t="str">
            <v>Horizon Anker Lagune 2 gebouw A</v>
          </cell>
          <cell r="E341" t="str">
            <v>1e</v>
          </cell>
          <cell r="F341" t="str">
            <v>A1.201</v>
          </cell>
          <cell r="G341" t="str">
            <v>Trap</v>
          </cell>
          <cell r="H341" t="str">
            <v>trappenhuis</v>
          </cell>
          <cell r="I341" t="str">
            <v>Steen</v>
          </cell>
          <cell r="J341">
            <v>5.7</v>
          </cell>
          <cell r="K341"/>
          <cell r="L341">
            <v>9153</v>
          </cell>
          <cell r="M341">
            <v>109</v>
          </cell>
          <cell r="N341"/>
          <cell r="O341">
            <v>153</v>
          </cell>
          <cell r="P341">
            <v>1</v>
          </cell>
          <cell r="Q341">
            <v>0</v>
          </cell>
          <cell r="R341">
            <v>0</v>
          </cell>
          <cell r="S341">
            <v>0</v>
          </cell>
        </row>
        <row r="342">
          <cell r="D342" t="str">
            <v>Horizon Anker Lagune 2 gebouw A</v>
          </cell>
          <cell r="E342" t="str">
            <v>1e</v>
          </cell>
          <cell r="F342" t="str">
            <v>A1.202</v>
          </cell>
          <cell r="G342" t="str">
            <v>Sluis</v>
          </cell>
          <cell r="H342" t="str">
            <v>entree, gang, hal, repro, kopieer, was/droogruimte</v>
          </cell>
          <cell r="I342" t="str">
            <v>Steen</v>
          </cell>
          <cell r="J342">
            <v>9.8000000000000007</v>
          </cell>
          <cell r="K342"/>
          <cell r="L342">
            <v>3153</v>
          </cell>
          <cell r="M342">
            <v>103</v>
          </cell>
          <cell r="N342"/>
          <cell r="O342">
            <v>153</v>
          </cell>
          <cell r="P342">
            <v>1</v>
          </cell>
          <cell r="Q342">
            <v>0</v>
          </cell>
          <cell r="R342">
            <v>0</v>
          </cell>
          <cell r="S342">
            <v>0</v>
          </cell>
        </row>
        <row r="343">
          <cell r="D343" t="str">
            <v>Horizon Anker Lagune 2 gebouw A</v>
          </cell>
          <cell r="E343" t="str">
            <v>1e</v>
          </cell>
          <cell r="F343" t="str">
            <v>A1.203</v>
          </cell>
          <cell r="G343" t="str">
            <v>Gang</v>
          </cell>
          <cell r="H343" t="str">
            <v>entree, gang, hal, repro, kopieer, was/droogruimte</v>
          </cell>
          <cell r="I343" t="str">
            <v>Linoleum</v>
          </cell>
          <cell r="J343">
            <v>46.8</v>
          </cell>
          <cell r="K343"/>
          <cell r="L343">
            <v>3153</v>
          </cell>
          <cell r="M343">
            <v>103</v>
          </cell>
          <cell r="N343"/>
          <cell r="O343">
            <v>153</v>
          </cell>
          <cell r="P343">
            <v>1</v>
          </cell>
          <cell r="Q343">
            <v>0</v>
          </cell>
          <cell r="R343">
            <v>0</v>
          </cell>
          <cell r="S343">
            <v>0</v>
          </cell>
        </row>
        <row r="344">
          <cell r="D344" t="str">
            <v>Horizon Anker Lagune 2 gebouw A</v>
          </cell>
          <cell r="E344" t="str">
            <v>1e</v>
          </cell>
          <cell r="F344" t="str">
            <v>A1.204</v>
          </cell>
          <cell r="G344" t="str">
            <v>Time- out</v>
          </cell>
          <cell r="H344" t="str">
            <v>niet van toepassing</v>
          </cell>
          <cell r="I344"/>
          <cell r="J344"/>
          <cell r="K344"/>
          <cell r="L344" t="str">
            <v>nvt</v>
          </cell>
          <cell r="M344">
            <v>0</v>
          </cell>
          <cell r="N344"/>
          <cell r="O344">
            <v>0</v>
          </cell>
          <cell r="P344">
            <v>1</v>
          </cell>
          <cell r="Q344">
            <v>0</v>
          </cell>
          <cell r="R344">
            <v>0</v>
          </cell>
          <cell r="S344">
            <v>0</v>
          </cell>
        </row>
        <row r="345">
          <cell r="D345" t="str">
            <v>Horizon Anker Lagune 2 gebouw A</v>
          </cell>
          <cell r="E345" t="str">
            <v>1e</v>
          </cell>
          <cell r="F345" t="str">
            <v>A1.205</v>
          </cell>
          <cell r="G345" t="str">
            <v>Berging</v>
          </cell>
          <cell r="H345" t="str">
            <v>niet van toepassing</v>
          </cell>
          <cell r="I345"/>
          <cell r="J345"/>
          <cell r="K345"/>
          <cell r="L345" t="str">
            <v>nvt</v>
          </cell>
          <cell r="M345">
            <v>0</v>
          </cell>
          <cell r="N345"/>
          <cell r="O345">
            <v>0</v>
          </cell>
          <cell r="P345">
            <v>1</v>
          </cell>
          <cell r="Q345">
            <v>0</v>
          </cell>
          <cell r="R345">
            <v>0</v>
          </cell>
          <cell r="S345">
            <v>0</v>
          </cell>
        </row>
        <row r="346">
          <cell r="D346" t="str">
            <v>Horizon Anker Lagune 2 gebouw A</v>
          </cell>
          <cell r="E346" t="str">
            <v>1e</v>
          </cell>
          <cell r="F346" t="str">
            <v>A1.206</v>
          </cell>
          <cell r="G346" t="str">
            <v>Zit-Slaapkamer</v>
          </cell>
          <cell r="H346" t="str">
            <v>niet van toepassing</v>
          </cell>
          <cell r="I346"/>
          <cell r="J346"/>
          <cell r="K346"/>
          <cell r="L346" t="str">
            <v>nvt</v>
          </cell>
          <cell r="M346">
            <v>0</v>
          </cell>
          <cell r="N346"/>
          <cell r="O346">
            <v>0</v>
          </cell>
          <cell r="P346">
            <v>1</v>
          </cell>
          <cell r="Q346">
            <v>0</v>
          </cell>
          <cell r="R346">
            <v>0</v>
          </cell>
          <cell r="S346">
            <v>0</v>
          </cell>
        </row>
        <row r="347">
          <cell r="D347" t="str">
            <v>Horizon Anker Lagune 2 gebouw A</v>
          </cell>
          <cell r="E347" t="str">
            <v>1e</v>
          </cell>
          <cell r="F347" t="str">
            <v>A1.207</v>
          </cell>
          <cell r="G347" t="str">
            <v>Zit-Slaapkamer</v>
          </cell>
          <cell r="H347" t="str">
            <v>niet van toepassing</v>
          </cell>
          <cell r="I347"/>
          <cell r="J347"/>
          <cell r="K347"/>
          <cell r="L347" t="str">
            <v>nvt</v>
          </cell>
          <cell r="M347">
            <v>0</v>
          </cell>
          <cell r="N347"/>
          <cell r="O347">
            <v>0</v>
          </cell>
          <cell r="P347">
            <v>1</v>
          </cell>
          <cell r="Q347">
            <v>0</v>
          </cell>
          <cell r="R347">
            <v>0</v>
          </cell>
          <cell r="S347">
            <v>0</v>
          </cell>
        </row>
        <row r="348">
          <cell r="D348" t="str">
            <v>Horizon Anker Lagune 2 gebouw A</v>
          </cell>
          <cell r="E348" t="str">
            <v>1e</v>
          </cell>
          <cell r="F348" t="str">
            <v>A1.208</v>
          </cell>
          <cell r="G348" t="str">
            <v>Zit-Slaapkamer</v>
          </cell>
          <cell r="H348" t="str">
            <v>niet van toepassing</v>
          </cell>
          <cell r="I348"/>
          <cell r="J348"/>
          <cell r="K348"/>
          <cell r="L348" t="str">
            <v>nvt</v>
          </cell>
          <cell r="M348">
            <v>0</v>
          </cell>
          <cell r="N348"/>
          <cell r="O348">
            <v>0</v>
          </cell>
          <cell r="P348">
            <v>1</v>
          </cell>
          <cell r="Q348">
            <v>0</v>
          </cell>
          <cell r="R348">
            <v>0</v>
          </cell>
          <cell r="S348">
            <v>0</v>
          </cell>
        </row>
        <row r="349">
          <cell r="D349" t="str">
            <v>Horizon Anker Lagune 2 gebouw A</v>
          </cell>
          <cell r="E349" t="str">
            <v>1e</v>
          </cell>
          <cell r="F349" t="str">
            <v>A1.209</v>
          </cell>
          <cell r="G349" t="str">
            <v>Zit-Slaapkamer</v>
          </cell>
          <cell r="H349" t="str">
            <v>niet van toepassing</v>
          </cell>
          <cell r="I349"/>
          <cell r="J349"/>
          <cell r="K349"/>
          <cell r="L349" t="str">
            <v>nvt</v>
          </cell>
          <cell r="M349">
            <v>0</v>
          </cell>
          <cell r="N349"/>
          <cell r="O349">
            <v>0</v>
          </cell>
          <cell r="P349">
            <v>1</v>
          </cell>
          <cell r="Q349">
            <v>0</v>
          </cell>
          <cell r="R349">
            <v>0</v>
          </cell>
          <cell r="S349">
            <v>0</v>
          </cell>
        </row>
        <row r="350">
          <cell r="D350" t="str">
            <v>Horizon Anker Lagune 2 gebouw A</v>
          </cell>
          <cell r="E350" t="str">
            <v>1e</v>
          </cell>
          <cell r="F350" t="str">
            <v>A1.210</v>
          </cell>
          <cell r="G350" t="str">
            <v>Zit-Slaapkamer</v>
          </cell>
          <cell r="H350" t="str">
            <v>niet van toepassing</v>
          </cell>
          <cell r="I350"/>
          <cell r="J350"/>
          <cell r="K350"/>
          <cell r="L350" t="str">
            <v>nvt</v>
          </cell>
          <cell r="M350">
            <v>0</v>
          </cell>
          <cell r="N350"/>
          <cell r="O350">
            <v>0</v>
          </cell>
          <cell r="P350">
            <v>1</v>
          </cell>
          <cell r="Q350">
            <v>0</v>
          </cell>
          <cell r="R350">
            <v>0</v>
          </cell>
          <cell r="S350">
            <v>0</v>
          </cell>
        </row>
        <row r="351">
          <cell r="D351" t="str">
            <v>Horizon Anker Lagune 2 gebouw A</v>
          </cell>
          <cell r="E351" t="str">
            <v>1e</v>
          </cell>
          <cell r="F351" t="str">
            <v>A1.211</v>
          </cell>
          <cell r="G351" t="str">
            <v>Zit-Slaapkamer</v>
          </cell>
          <cell r="H351" t="str">
            <v>niet van toepassing</v>
          </cell>
          <cell r="I351"/>
          <cell r="J351"/>
          <cell r="K351"/>
          <cell r="L351" t="str">
            <v>nvt</v>
          </cell>
          <cell r="M351">
            <v>0</v>
          </cell>
          <cell r="N351"/>
          <cell r="O351">
            <v>0</v>
          </cell>
          <cell r="P351">
            <v>1</v>
          </cell>
          <cell r="Q351">
            <v>0</v>
          </cell>
          <cell r="R351">
            <v>0</v>
          </cell>
          <cell r="S351">
            <v>0</v>
          </cell>
        </row>
        <row r="352">
          <cell r="D352" t="str">
            <v>Horizon Anker Lagune 2 gebouw A</v>
          </cell>
          <cell r="E352" t="str">
            <v>1e</v>
          </cell>
          <cell r="F352" t="str">
            <v>A1.212</v>
          </cell>
          <cell r="G352" t="str">
            <v>Zit-Slaapkamer</v>
          </cell>
          <cell r="H352" t="str">
            <v>niet van toepassing</v>
          </cell>
          <cell r="I352"/>
          <cell r="J352"/>
          <cell r="K352"/>
          <cell r="L352" t="str">
            <v>nvt</v>
          </cell>
          <cell r="M352">
            <v>0</v>
          </cell>
          <cell r="N352"/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</row>
        <row r="353">
          <cell r="D353" t="str">
            <v>Horizon Anker Lagune 2 gebouw A</v>
          </cell>
          <cell r="E353" t="str">
            <v>1e</v>
          </cell>
          <cell r="F353" t="str">
            <v>A1.213</v>
          </cell>
          <cell r="G353" t="str">
            <v>Zit-Slaapkamer</v>
          </cell>
          <cell r="H353" t="str">
            <v>niet van toepassing</v>
          </cell>
          <cell r="I353"/>
          <cell r="J353"/>
          <cell r="K353"/>
          <cell r="L353" t="str">
            <v>nvt</v>
          </cell>
          <cell r="M353">
            <v>0</v>
          </cell>
          <cell r="N353"/>
          <cell r="O353">
            <v>0</v>
          </cell>
          <cell r="P353">
            <v>1</v>
          </cell>
          <cell r="Q353">
            <v>0</v>
          </cell>
          <cell r="R353">
            <v>0</v>
          </cell>
          <cell r="S353">
            <v>0</v>
          </cell>
        </row>
        <row r="354">
          <cell r="D354" t="str">
            <v>Horizon Anker Lagune 2 gebouw A</v>
          </cell>
          <cell r="E354" t="str">
            <v>1e</v>
          </cell>
          <cell r="F354" t="str">
            <v>A1.214</v>
          </cell>
          <cell r="G354" t="str">
            <v>Zit-Slaapkamer</v>
          </cell>
          <cell r="H354" t="str">
            <v>niet van toepassing</v>
          </cell>
          <cell r="I354"/>
          <cell r="J354"/>
          <cell r="K354"/>
          <cell r="L354" t="str">
            <v>nvt</v>
          </cell>
          <cell r="M354">
            <v>0</v>
          </cell>
          <cell r="N354"/>
          <cell r="O354">
            <v>0</v>
          </cell>
          <cell r="P354">
            <v>1</v>
          </cell>
          <cell r="Q354">
            <v>0</v>
          </cell>
          <cell r="R354">
            <v>0</v>
          </cell>
          <cell r="S354">
            <v>0</v>
          </cell>
        </row>
        <row r="355">
          <cell r="D355" t="str">
            <v>Horizon Anker Lagune 2 gebouw A</v>
          </cell>
          <cell r="E355" t="str">
            <v>1e</v>
          </cell>
          <cell r="F355" t="str">
            <v>A1.215a</v>
          </cell>
          <cell r="G355" t="str">
            <v>douche</v>
          </cell>
          <cell r="H355" t="str">
            <v>sanitaire ruimte (toilet-/doucheruimte)</v>
          </cell>
          <cell r="I355" t="str">
            <v>Tegels</v>
          </cell>
          <cell r="J355">
            <v>1.8</v>
          </cell>
          <cell r="K355"/>
          <cell r="L355">
            <v>4255</v>
          </cell>
          <cell r="M355">
            <v>104</v>
          </cell>
          <cell r="N355"/>
          <cell r="O355">
            <v>255</v>
          </cell>
          <cell r="P355">
            <v>1</v>
          </cell>
          <cell r="Q355">
            <v>0</v>
          </cell>
          <cell r="R355">
            <v>0</v>
          </cell>
          <cell r="S355">
            <v>0</v>
          </cell>
        </row>
        <row r="356">
          <cell r="D356" t="str">
            <v>Horizon Anker Lagune 2 gebouw A</v>
          </cell>
          <cell r="E356" t="str">
            <v>1e</v>
          </cell>
          <cell r="F356" t="str">
            <v>A1.215b</v>
          </cell>
          <cell r="G356" t="str">
            <v>douche</v>
          </cell>
          <cell r="H356" t="str">
            <v>sanitaire ruimte (toilet-/doucheruimte)</v>
          </cell>
          <cell r="I356" t="str">
            <v>Tegels</v>
          </cell>
          <cell r="J356">
            <v>2</v>
          </cell>
          <cell r="K356"/>
          <cell r="L356">
            <v>4255</v>
          </cell>
          <cell r="M356">
            <v>104</v>
          </cell>
          <cell r="N356"/>
          <cell r="O356">
            <v>255</v>
          </cell>
          <cell r="P356">
            <v>1</v>
          </cell>
          <cell r="Q356">
            <v>0</v>
          </cell>
          <cell r="R356">
            <v>0</v>
          </cell>
          <cell r="S356">
            <v>0</v>
          </cell>
        </row>
        <row r="357">
          <cell r="D357" t="str">
            <v>Horizon Anker Lagune 2 gebouw A</v>
          </cell>
          <cell r="E357" t="str">
            <v>1e</v>
          </cell>
          <cell r="F357" t="str">
            <v>A1.215c</v>
          </cell>
          <cell r="G357" t="str">
            <v>douche</v>
          </cell>
          <cell r="H357" t="str">
            <v>sanitaire ruimte (toilet-/doucheruimte)</v>
          </cell>
          <cell r="I357" t="str">
            <v>Tegels</v>
          </cell>
          <cell r="J357">
            <v>2.2999999999999998</v>
          </cell>
          <cell r="K357"/>
          <cell r="L357">
            <v>4255</v>
          </cell>
          <cell r="M357">
            <v>104</v>
          </cell>
          <cell r="N357"/>
          <cell r="O357">
            <v>255</v>
          </cell>
          <cell r="P357">
            <v>1</v>
          </cell>
          <cell r="Q357">
            <v>0</v>
          </cell>
          <cell r="R357">
            <v>0</v>
          </cell>
          <cell r="S357">
            <v>0</v>
          </cell>
        </row>
        <row r="358">
          <cell r="D358" t="str">
            <v>Horizon Anker Lagune 2 gebouw A</v>
          </cell>
          <cell r="E358" t="str">
            <v>1e</v>
          </cell>
          <cell r="F358" t="str">
            <v>A1.216</v>
          </cell>
          <cell r="G358" t="str">
            <v>toilet</v>
          </cell>
          <cell r="H358" t="str">
            <v>sanitaire ruimte (toilet-/doucheruimte)</v>
          </cell>
          <cell r="I358" t="str">
            <v>Tegels</v>
          </cell>
          <cell r="J358">
            <v>3.4</v>
          </cell>
          <cell r="K358"/>
          <cell r="L358">
            <v>4153</v>
          </cell>
          <cell r="M358">
            <v>104</v>
          </cell>
          <cell r="N358"/>
          <cell r="O358">
            <v>153</v>
          </cell>
          <cell r="P358">
            <v>1</v>
          </cell>
          <cell r="Q358">
            <v>0</v>
          </cell>
          <cell r="R358">
            <v>0</v>
          </cell>
          <cell r="S358">
            <v>0</v>
          </cell>
        </row>
        <row r="359">
          <cell r="D359" t="str">
            <v>Horizon Anker Lagune 2 gebouw A</v>
          </cell>
          <cell r="E359" t="str">
            <v>1e</v>
          </cell>
          <cell r="F359" t="str">
            <v>A1.217</v>
          </cell>
          <cell r="G359" t="str">
            <v>toilet</v>
          </cell>
          <cell r="H359" t="str">
            <v>sanitaire ruimte (toilet-/doucheruimte)</v>
          </cell>
          <cell r="I359" t="str">
            <v>Tegels</v>
          </cell>
          <cell r="J359">
            <v>3.8</v>
          </cell>
          <cell r="K359"/>
          <cell r="L359">
            <v>4153</v>
          </cell>
          <cell r="M359">
            <v>104</v>
          </cell>
          <cell r="N359"/>
          <cell r="O359">
            <v>153</v>
          </cell>
          <cell r="P359">
            <v>1</v>
          </cell>
          <cell r="Q359">
            <v>0</v>
          </cell>
          <cell r="R359">
            <v>0</v>
          </cell>
          <cell r="S359">
            <v>0</v>
          </cell>
        </row>
        <row r="360">
          <cell r="D360" t="str">
            <v>Horizon Anker Lagune 2 gebouw A</v>
          </cell>
          <cell r="E360" t="str">
            <v>1e</v>
          </cell>
          <cell r="F360" t="str">
            <v>A1.218</v>
          </cell>
          <cell r="G360" t="str">
            <v>Teamkamer</v>
          </cell>
          <cell r="H360" t="str">
            <v>administratieve -, personeels- en vergaderruimte</v>
          </cell>
          <cell r="I360" t="str">
            <v>Linoleum</v>
          </cell>
          <cell r="J360">
            <v>16.8</v>
          </cell>
          <cell r="K360"/>
          <cell r="L360">
            <v>1153</v>
          </cell>
          <cell r="M360">
            <v>101</v>
          </cell>
          <cell r="N360"/>
          <cell r="O360">
            <v>153</v>
          </cell>
          <cell r="P360">
            <v>1</v>
          </cell>
          <cell r="Q360">
            <v>0</v>
          </cell>
          <cell r="R360">
            <v>0</v>
          </cell>
          <cell r="S360">
            <v>0</v>
          </cell>
        </row>
        <row r="361">
          <cell r="D361" t="str">
            <v>Horizon Anker Lagune 2 gebouw A</v>
          </cell>
          <cell r="E361" t="str">
            <v>1e</v>
          </cell>
          <cell r="F361" t="str">
            <v>A1.220</v>
          </cell>
          <cell r="G361" t="str">
            <v>WDR/Linnen+WK</v>
          </cell>
          <cell r="H361" t="str">
            <v>entree, gang, hal, repro, kopieer, was/droogruimte</v>
          </cell>
          <cell r="I361" t="str">
            <v>Tegels</v>
          </cell>
          <cell r="J361">
            <v>7.9</v>
          </cell>
          <cell r="K361"/>
          <cell r="L361">
            <v>3153</v>
          </cell>
          <cell r="M361">
            <v>103</v>
          </cell>
          <cell r="N361"/>
          <cell r="O361">
            <v>153</v>
          </cell>
          <cell r="P361">
            <v>1</v>
          </cell>
          <cell r="Q361">
            <v>0</v>
          </cell>
          <cell r="R361">
            <v>0</v>
          </cell>
          <cell r="S361">
            <v>0</v>
          </cell>
        </row>
        <row r="362">
          <cell r="D362" t="str">
            <v>Horizon Anker Lagune 2 gebouw A</v>
          </cell>
          <cell r="E362" t="str">
            <v>1e</v>
          </cell>
          <cell r="F362" t="str">
            <v>A1.221a</v>
          </cell>
          <cell r="G362" t="str">
            <v>Speelruimte</v>
          </cell>
          <cell r="H362" t="str">
            <v>speellokaal</v>
          </cell>
          <cell r="I362" t="str">
            <v>Linoleum</v>
          </cell>
          <cell r="J362">
            <v>40.6</v>
          </cell>
          <cell r="K362"/>
          <cell r="L362">
            <v>8153</v>
          </cell>
          <cell r="M362">
            <v>107</v>
          </cell>
          <cell r="N362"/>
          <cell r="O362">
            <v>153</v>
          </cell>
          <cell r="P362">
            <v>1</v>
          </cell>
          <cell r="Q362">
            <v>0</v>
          </cell>
          <cell r="R362">
            <v>0</v>
          </cell>
          <cell r="S362">
            <v>0</v>
          </cell>
        </row>
        <row r="363">
          <cell r="D363" t="str">
            <v>Horizon Anker Lagune 2 gebouw A</v>
          </cell>
          <cell r="E363" t="str">
            <v>1e</v>
          </cell>
          <cell r="F363" t="str">
            <v>A1.221b</v>
          </cell>
          <cell r="G363" t="str">
            <v>Groepsruimte</v>
          </cell>
          <cell r="H363" t="str">
            <v>leslokaal</v>
          </cell>
          <cell r="I363" t="str">
            <v>Linoleum</v>
          </cell>
          <cell r="J363">
            <v>70.5</v>
          </cell>
          <cell r="K363"/>
          <cell r="L363">
            <v>7153</v>
          </cell>
          <cell r="M363">
            <v>107</v>
          </cell>
          <cell r="N363"/>
          <cell r="O363">
            <v>153</v>
          </cell>
          <cell r="P363">
            <v>1</v>
          </cell>
          <cell r="Q363">
            <v>0</v>
          </cell>
          <cell r="R363">
            <v>0</v>
          </cell>
          <cell r="S363">
            <v>0</v>
          </cell>
        </row>
        <row r="364">
          <cell r="D364" t="str">
            <v>Horizon Anker Lagune 2 gebouw A</v>
          </cell>
          <cell r="E364" t="str">
            <v>1e</v>
          </cell>
          <cell r="F364" t="str">
            <v>A1.222</v>
          </cell>
          <cell r="G364" t="str">
            <v>Keuken (keuken)</v>
          </cell>
          <cell r="H364" t="str">
            <v>Keuken</v>
          </cell>
          <cell r="I364" t="str">
            <v>Tegels</v>
          </cell>
          <cell r="J364">
            <v>13.2</v>
          </cell>
          <cell r="K364"/>
          <cell r="L364">
            <v>18255</v>
          </cell>
          <cell r="M364" t="str">
            <v>nvt</v>
          </cell>
          <cell r="N364"/>
          <cell r="O364">
            <v>255</v>
          </cell>
          <cell r="P364">
            <v>1</v>
          </cell>
          <cell r="Q364">
            <v>0</v>
          </cell>
          <cell r="R364">
            <v>0</v>
          </cell>
          <cell r="S364">
            <v>0</v>
          </cell>
        </row>
        <row r="365">
          <cell r="D365" t="str">
            <v>Horizon Anker Lagune 2 gebouw A</v>
          </cell>
          <cell r="E365" t="str">
            <v>1e</v>
          </cell>
          <cell r="F365" t="str">
            <v>A1.223</v>
          </cell>
          <cell r="G365" t="str">
            <v>Bijkeuken</v>
          </cell>
          <cell r="H365" t="str">
            <v>Keuken</v>
          </cell>
          <cell r="I365" t="str">
            <v>Tegels</v>
          </cell>
          <cell r="J365">
            <v>6.7</v>
          </cell>
          <cell r="K365"/>
          <cell r="L365">
            <v>18153</v>
          </cell>
          <cell r="M365" t="str">
            <v>nvt</v>
          </cell>
          <cell r="N365"/>
          <cell r="O365">
            <v>153</v>
          </cell>
          <cell r="P365">
            <v>1</v>
          </cell>
          <cell r="Q365">
            <v>0</v>
          </cell>
          <cell r="R365">
            <v>0</v>
          </cell>
          <cell r="S365">
            <v>0</v>
          </cell>
        </row>
        <row r="366">
          <cell r="D366" t="str">
            <v>Horizon Anker Lagune 2 gebouw A</v>
          </cell>
          <cell r="E366" t="str">
            <v>1e</v>
          </cell>
          <cell r="F366" t="str">
            <v>A1.224</v>
          </cell>
          <cell r="G366" t="str">
            <v>Sluis</v>
          </cell>
          <cell r="H366" t="str">
            <v>entree, gang, hal, repro, kopieer, was/droogruimte</v>
          </cell>
          <cell r="I366" t="str">
            <v>Linoleum</v>
          </cell>
          <cell r="J366">
            <v>12.8</v>
          </cell>
          <cell r="K366"/>
          <cell r="L366">
            <v>3153</v>
          </cell>
          <cell r="M366">
            <v>103</v>
          </cell>
          <cell r="N366"/>
          <cell r="O366">
            <v>153</v>
          </cell>
          <cell r="P366">
            <v>1</v>
          </cell>
          <cell r="Q366">
            <v>0</v>
          </cell>
          <cell r="R366">
            <v>0</v>
          </cell>
          <cell r="S366">
            <v>0</v>
          </cell>
        </row>
        <row r="367">
          <cell r="D367" t="str">
            <v>Horizon Anker Lagune 2 gebouw A</v>
          </cell>
          <cell r="E367" t="str">
            <v>1e</v>
          </cell>
          <cell r="F367" t="str">
            <v>A1.225</v>
          </cell>
          <cell r="G367" t="str">
            <v>Spreekkamer</v>
          </cell>
          <cell r="H367" t="str">
            <v>administratieve -, personeels- en vergaderruimte</v>
          </cell>
          <cell r="I367" t="str">
            <v>Linoleum</v>
          </cell>
          <cell r="J367">
            <v>11.3</v>
          </cell>
          <cell r="K367"/>
          <cell r="L367">
            <v>1153</v>
          </cell>
          <cell r="M367">
            <v>101</v>
          </cell>
          <cell r="N367"/>
          <cell r="O367">
            <v>153</v>
          </cell>
          <cell r="P367">
            <v>1</v>
          </cell>
          <cell r="Q367">
            <v>0</v>
          </cell>
          <cell r="R367">
            <v>0</v>
          </cell>
          <cell r="S367">
            <v>0</v>
          </cell>
        </row>
        <row r="368">
          <cell r="D368" t="str">
            <v>Horizon Anker Lagune 2 gebouw A</v>
          </cell>
          <cell r="E368" t="str">
            <v>1e</v>
          </cell>
          <cell r="F368" t="str">
            <v>A1.226</v>
          </cell>
          <cell r="G368" t="str">
            <v>Gang</v>
          </cell>
          <cell r="H368" t="str">
            <v>entree, gang, hal, repro, kopieer, was/droogruimte</v>
          </cell>
          <cell r="I368" t="str">
            <v>Linoleum</v>
          </cell>
          <cell r="J368">
            <v>8.4</v>
          </cell>
          <cell r="K368"/>
          <cell r="L368">
            <v>3153</v>
          </cell>
          <cell r="M368">
            <v>103</v>
          </cell>
          <cell r="N368"/>
          <cell r="O368">
            <v>153</v>
          </cell>
          <cell r="P368">
            <v>1</v>
          </cell>
          <cell r="Q368">
            <v>0</v>
          </cell>
          <cell r="R368">
            <v>0</v>
          </cell>
          <cell r="S368">
            <v>0</v>
          </cell>
        </row>
        <row r="369">
          <cell r="D369" t="str">
            <v>Horizon Anker Lagune 2 gebouw A</v>
          </cell>
          <cell r="E369" t="str">
            <v>1e</v>
          </cell>
          <cell r="F369" t="str">
            <v>A1.227</v>
          </cell>
          <cell r="G369" t="str">
            <v>Trap</v>
          </cell>
          <cell r="H369" t="str">
            <v>trappenhuis</v>
          </cell>
          <cell r="I369" t="str">
            <v>Steen</v>
          </cell>
          <cell r="J369">
            <v>3.1</v>
          </cell>
          <cell r="K369"/>
          <cell r="L369">
            <v>9153</v>
          </cell>
          <cell r="M369">
            <v>109</v>
          </cell>
          <cell r="N369"/>
          <cell r="O369">
            <v>153</v>
          </cell>
          <cell r="P369">
            <v>1</v>
          </cell>
          <cell r="Q369">
            <v>0</v>
          </cell>
          <cell r="R369">
            <v>0</v>
          </cell>
          <cell r="S369">
            <v>0</v>
          </cell>
        </row>
        <row r="370">
          <cell r="D370" t="str">
            <v>Horizon Anker Lagune 2 gebouw A</v>
          </cell>
          <cell r="E370" t="str">
            <v>1e</v>
          </cell>
          <cell r="F370" t="str">
            <v>A1.228</v>
          </cell>
          <cell r="G370" t="str">
            <v>Sluis</v>
          </cell>
          <cell r="H370" t="str">
            <v>entree, gang, hal, repro, kopieer, was/droogruimte</v>
          </cell>
          <cell r="I370" t="str">
            <v>Steen</v>
          </cell>
          <cell r="J370">
            <v>8.6999999999999993</v>
          </cell>
          <cell r="K370"/>
          <cell r="L370">
            <v>3153</v>
          </cell>
          <cell r="M370">
            <v>103</v>
          </cell>
          <cell r="N370"/>
          <cell r="O370">
            <v>153</v>
          </cell>
          <cell r="P370">
            <v>1</v>
          </cell>
          <cell r="Q370">
            <v>0</v>
          </cell>
          <cell r="R370">
            <v>0</v>
          </cell>
          <cell r="S370">
            <v>0</v>
          </cell>
        </row>
        <row r="371">
          <cell r="D371" t="str">
            <v>Horizon Anker Lagune 2 gebouw A</v>
          </cell>
          <cell r="E371" t="str">
            <v>1e</v>
          </cell>
          <cell r="F371" t="str">
            <v>A1.229</v>
          </cell>
          <cell r="G371" t="str">
            <v>Loggia</v>
          </cell>
          <cell r="H371" t="str">
            <v>niet van toepassing</v>
          </cell>
          <cell r="I371"/>
          <cell r="J371"/>
          <cell r="K371"/>
          <cell r="L371" t="str">
            <v>nvt</v>
          </cell>
          <cell r="M371">
            <v>0</v>
          </cell>
          <cell r="N371"/>
          <cell r="O371">
            <v>0</v>
          </cell>
          <cell r="P371">
            <v>1</v>
          </cell>
          <cell r="Q371">
            <v>0</v>
          </cell>
          <cell r="R371">
            <v>0</v>
          </cell>
          <cell r="S371">
            <v>0</v>
          </cell>
        </row>
        <row r="372">
          <cell r="D372" t="str">
            <v>Horizon Anker Lagune 2 gebouw A</v>
          </cell>
          <cell r="E372" t="str">
            <v>1e</v>
          </cell>
          <cell r="F372" t="str">
            <v>A1.230</v>
          </cell>
          <cell r="G372" t="str">
            <v>Afzondering</v>
          </cell>
          <cell r="H372" t="str">
            <v>aula, gemeenschappelijke ruimte, bibliotheek</v>
          </cell>
          <cell r="I372" t="str">
            <v>Linoleum</v>
          </cell>
          <cell r="J372">
            <v>9.6999999999999993</v>
          </cell>
          <cell r="K372"/>
          <cell r="L372">
            <v>2153</v>
          </cell>
          <cell r="M372">
            <v>102</v>
          </cell>
          <cell r="N372"/>
          <cell r="O372">
            <v>153</v>
          </cell>
          <cell r="P372">
            <v>1</v>
          </cell>
          <cell r="Q372">
            <v>0</v>
          </cell>
          <cell r="R372">
            <v>0</v>
          </cell>
          <cell r="S372">
            <v>0</v>
          </cell>
        </row>
        <row r="373">
          <cell r="D373" t="str">
            <v>Horizon Anker Lagune 2 gebouw A</v>
          </cell>
          <cell r="E373" t="str">
            <v>1e</v>
          </cell>
          <cell r="F373" t="str">
            <v>A1.231</v>
          </cell>
          <cell r="G373" t="str">
            <v xml:space="preserve">Badkamer </v>
          </cell>
          <cell r="H373" t="str">
            <v>sanitaire ruimte (toilet-/doucheruimte)</v>
          </cell>
          <cell r="I373" t="str">
            <v>Tegels</v>
          </cell>
          <cell r="J373">
            <v>5.0999999999999996</v>
          </cell>
          <cell r="K373"/>
          <cell r="L373">
            <v>4255</v>
          </cell>
          <cell r="M373">
            <v>104</v>
          </cell>
          <cell r="N373"/>
          <cell r="O373">
            <v>255</v>
          </cell>
          <cell r="P373">
            <v>1</v>
          </cell>
          <cell r="Q373">
            <v>0</v>
          </cell>
          <cell r="R373">
            <v>0</v>
          </cell>
          <cell r="S373">
            <v>0</v>
          </cell>
        </row>
        <row r="374">
          <cell r="D374" t="str">
            <v>Horizon Anker Lagune 2 gebouw A</v>
          </cell>
          <cell r="E374" t="str">
            <v>1e</v>
          </cell>
          <cell r="F374" t="str">
            <v>A1.233</v>
          </cell>
          <cell r="G374" t="str">
            <v>Spreekkamer</v>
          </cell>
          <cell r="H374" t="str">
            <v>administratieve -, personeels- en vergaderruimte</v>
          </cell>
          <cell r="I374" t="str">
            <v>Linoleum</v>
          </cell>
          <cell r="J374">
            <v>19.2</v>
          </cell>
          <cell r="K374"/>
          <cell r="L374">
            <v>1153</v>
          </cell>
          <cell r="M374">
            <v>101</v>
          </cell>
          <cell r="N374"/>
          <cell r="O374">
            <v>153</v>
          </cell>
          <cell r="P374">
            <v>1</v>
          </cell>
          <cell r="Q374">
            <v>0</v>
          </cell>
          <cell r="R374">
            <v>0</v>
          </cell>
          <cell r="S374">
            <v>0</v>
          </cell>
        </row>
        <row r="375">
          <cell r="D375" t="str">
            <v>Horizon Anker Einder 2 gebouw A</v>
          </cell>
          <cell r="E375" t="str">
            <v>1e</v>
          </cell>
          <cell r="F375" t="str">
            <v>A1.301</v>
          </cell>
          <cell r="G375" t="str">
            <v>Trap</v>
          </cell>
          <cell r="H375" t="str">
            <v>trappenhuis</v>
          </cell>
          <cell r="I375" t="str">
            <v>Steen</v>
          </cell>
          <cell r="J375">
            <v>5.7</v>
          </cell>
          <cell r="K375"/>
          <cell r="L375">
            <v>9153</v>
          </cell>
          <cell r="M375">
            <v>109</v>
          </cell>
          <cell r="N375"/>
          <cell r="O375">
            <v>153</v>
          </cell>
          <cell r="P375">
            <v>1</v>
          </cell>
          <cell r="Q375">
            <v>0</v>
          </cell>
          <cell r="R375">
            <v>0</v>
          </cell>
          <cell r="S375">
            <v>0</v>
          </cell>
        </row>
        <row r="376">
          <cell r="D376" t="str">
            <v>Horizon Anker Einder 2 gebouw A</v>
          </cell>
          <cell r="E376" t="str">
            <v>1e</v>
          </cell>
          <cell r="F376" t="str">
            <v>A1.302</v>
          </cell>
          <cell r="G376" t="str">
            <v>Sluis</v>
          </cell>
          <cell r="H376" t="str">
            <v>entree, gang, hal, repro, kopieer, was/droogruimte</v>
          </cell>
          <cell r="I376" t="str">
            <v>Linoleum</v>
          </cell>
          <cell r="J376">
            <v>9.8000000000000007</v>
          </cell>
          <cell r="K376"/>
          <cell r="L376">
            <v>3153</v>
          </cell>
          <cell r="M376">
            <v>103</v>
          </cell>
          <cell r="N376"/>
          <cell r="O376">
            <v>153</v>
          </cell>
          <cell r="P376">
            <v>1</v>
          </cell>
          <cell r="Q376">
            <v>0</v>
          </cell>
          <cell r="R376">
            <v>0</v>
          </cell>
          <cell r="S376">
            <v>0</v>
          </cell>
        </row>
        <row r="377">
          <cell r="D377" t="str">
            <v>Horizon Anker Einder 2 gebouw A</v>
          </cell>
          <cell r="E377" t="str">
            <v>1e</v>
          </cell>
          <cell r="F377" t="str">
            <v>A1.303</v>
          </cell>
          <cell r="G377" t="str">
            <v>Gang</v>
          </cell>
          <cell r="H377" t="str">
            <v>entree, gang, hal, repro, kopieer, was/droogruimte</v>
          </cell>
          <cell r="I377" t="str">
            <v>Linoleum</v>
          </cell>
          <cell r="J377">
            <v>46.8</v>
          </cell>
          <cell r="K377"/>
          <cell r="L377">
            <v>3153</v>
          </cell>
          <cell r="M377">
            <v>103</v>
          </cell>
          <cell r="N377"/>
          <cell r="O377">
            <v>153</v>
          </cell>
          <cell r="P377">
            <v>1</v>
          </cell>
          <cell r="Q377">
            <v>0</v>
          </cell>
          <cell r="R377">
            <v>0</v>
          </cell>
          <cell r="S377">
            <v>0</v>
          </cell>
        </row>
        <row r="378">
          <cell r="D378" t="str">
            <v>Horizon Anker Einder 2 gebouw A</v>
          </cell>
          <cell r="E378" t="str">
            <v>1e</v>
          </cell>
          <cell r="F378" t="str">
            <v>A1.304</v>
          </cell>
          <cell r="G378" t="str">
            <v>Time-out kamer</v>
          </cell>
          <cell r="H378" t="str">
            <v>niet van toepassing</v>
          </cell>
          <cell r="I378" t="str">
            <v>Linoleum</v>
          </cell>
          <cell r="J378"/>
          <cell r="K378"/>
          <cell r="L378" t="str">
            <v>nvt</v>
          </cell>
          <cell r="M378">
            <v>0</v>
          </cell>
          <cell r="N378"/>
          <cell r="O378">
            <v>0</v>
          </cell>
          <cell r="P378">
            <v>1</v>
          </cell>
          <cell r="Q378">
            <v>0</v>
          </cell>
          <cell r="R378">
            <v>0</v>
          </cell>
          <cell r="S378">
            <v>0</v>
          </cell>
        </row>
        <row r="379">
          <cell r="D379" t="str">
            <v>Horizon Anker Einder 2 gebouw A</v>
          </cell>
          <cell r="E379" t="str">
            <v>1e</v>
          </cell>
          <cell r="F379" t="str">
            <v>A1.305</v>
          </cell>
          <cell r="G379" t="str">
            <v>Berging</v>
          </cell>
          <cell r="H379" t="str">
            <v>niet van toepassing</v>
          </cell>
          <cell r="I379" t="str">
            <v>Linoleum</v>
          </cell>
          <cell r="J379"/>
          <cell r="K379"/>
          <cell r="L379" t="str">
            <v>nvt</v>
          </cell>
          <cell r="M379">
            <v>0</v>
          </cell>
          <cell r="N379"/>
          <cell r="O379">
            <v>0</v>
          </cell>
          <cell r="P379">
            <v>1</v>
          </cell>
          <cell r="Q379">
            <v>0</v>
          </cell>
          <cell r="R379">
            <v>0</v>
          </cell>
          <cell r="S379">
            <v>0</v>
          </cell>
        </row>
        <row r="380">
          <cell r="D380" t="str">
            <v>Horizon Anker Einder 2 gebouw A</v>
          </cell>
          <cell r="E380" t="str">
            <v>1e</v>
          </cell>
          <cell r="F380" t="str">
            <v>A1.306</v>
          </cell>
          <cell r="G380" t="str">
            <v>Zit-Slaapkamer</v>
          </cell>
          <cell r="H380" t="str">
            <v>niet van toepassing</v>
          </cell>
          <cell r="I380" t="str">
            <v>Linoleum</v>
          </cell>
          <cell r="J380"/>
          <cell r="K380"/>
          <cell r="L380" t="str">
            <v>nvt</v>
          </cell>
          <cell r="M380">
            <v>0</v>
          </cell>
          <cell r="N380"/>
          <cell r="O380">
            <v>0</v>
          </cell>
          <cell r="P380">
            <v>1</v>
          </cell>
          <cell r="Q380">
            <v>0</v>
          </cell>
          <cell r="R380">
            <v>0</v>
          </cell>
          <cell r="S380">
            <v>0</v>
          </cell>
        </row>
        <row r="381">
          <cell r="D381" t="str">
            <v>Horizon Anker Einder 2 gebouw A</v>
          </cell>
          <cell r="E381" t="str">
            <v>1e</v>
          </cell>
          <cell r="F381" t="str">
            <v>A1.307</v>
          </cell>
          <cell r="G381" t="str">
            <v>Zit-Slaapkamer</v>
          </cell>
          <cell r="H381" t="str">
            <v>niet van toepassing</v>
          </cell>
          <cell r="I381" t="str">
            <v>Linoleum</v>
          </cell>
          <cell r="J381"/>
          <cell r="K381"/>
          <cell r="L381" t="str">
            <v>nvt</v>
          </cell>
          <cell r="M381">
            <v>0</v>
          </cell>
          <cell r="N381"/>
          <cell r="O381">
            <v>0</v>
          </cell>
          <cell r="P381">
            <v>1</v>
          </cell>
          <cell r="Q381">
            <v>0</v>
          </cell>
          <cell r="R381">
            <v>0</v>
          </cell>
          <cell r="S381">
            <v>0</v>
          </cell>
        </row>
        <row r="382">
          <cell r="D382" t="str">
            <v>Horizon Anker Einder 2 gebouw A</v>
          </cell>
          <cell r="E382" t="str">
            <v>1e</v>
          </cell>
          <cell r="F382" t="str">
            <v>A1.308</v>
          </cell>
          <cell r="G382" t="str">
            <v>Zit-Slaapkamer</v>
          </cell>
          <cell r="H382" t="str">
            <v>niet van toepassing</v>
          </cell>
          <cell r="I382" t="str">
            <v>Linoleum</v>
          </cell>
          <cell r="J382"/>
          <cell r="K382"/>
          <cell r="L382" t="str">
            <v>nvt</v>
          </cell>
          <cell r="M382">
            <v>0</v>
          </cell>
          <cell r="N382"/>
          <cell r="O382">
            <v>0</v>
          </cell>
          <cell r="P382">
            <v>1</v>
          </cell>
          <cell r="Q382">
            <v>0</v>
          </cell>
          <cell r="R382">
            <v>0</v>
          </cell>
          <cell r="S382">
            <v>0</v>
          </cell>
        </row>
        <row r="383">
          <cell r="D383" t="str">
            <v>Horizon Anker Einder 2 gebouw A</v>
          </cell>
          <cell r="E383" t="str">
            <v>1e</v>
          </cell>
          <cell r="F383" t="str">
            <v>A1.309</v>
          </cell>
          <cell r="G383" t="str">
            <v>Zit-Slaapkamer</v>
          </cell>
          <cell r="H383" t="str">
            <v>niet van toepassing</v>
          </cell>
          <cell r="I383" t="str">
            <v>Linoleum</v>
          </cell>
          <cell r="J383"/>
          <cell r="K383"/>
          <cell r="L383" t="str">
            <v>nvt</v>
          </cell>
          <cell r="M383">
            <v>0</v>
          </cell>
          <cell r="N383"/>
          <cell r="O383">
            <v>0</v>
          </cell>
          <cell r="P383">
            <v>1</v>
          </cell>
          <cell r="Q383">
            <v>0</v>
          </cell>
          <cell r="R383">
            <v>0</v>
          </cell>
          <cell r="S383">
            <v>0</v>
          </cell>
        </row>
        <row r="384">
          <cell r="D384" t="str">
            <v>Horizon Anker Einder 2 gebouw A</v>
          </cell>
          <cell r="E384" t="str">
            <v>1e</v>
          </cell>
          <cell r="F384" t="str">
            <v>A1.310</v>
          </cell>
          <cell r="G384" t="str">
            <v>Zit-Slaapkamer</v>
          </cell>
          <cell r="H384" t="str">
            <v>niet van toepassing</v>
          </cell>
          <cell r="I384" t="str">
            <v>Linoleum</v>
          </cell>
          <cell r="J384"/>
          <cell r="K384"/>
          <cell r="L384" t="str">
            <v>nvt</v>
          </cell>
          <cell r="M384">
            <v>0</v>
          </cell>
          <cell r="N384"/>
          <cell r="O384">
            <v>0</v>
          </cell>
          <cell r="P384">
            <v>1</v>
          </cell>
          <cell r="Q384">
            <v>0</v>
          </cell>
          <cell r="R384">
            <v>0</v>
          </cell>
          <cell r="S384">
            <v>0</v>
          </cell>
        </row>
        <row r="385">
          <cell r="D385" t="str">
            <v>Horizon Anker Einder 2 gebouw A</v>
          </cell>
          <cell r="E385" t="str">
            <v>1e</v>
          </cell>
          <cell r="F385" t="str">
            <v>A1.311</v>
          </cell>
          <cell r="G385" t="str">
            <v>Zit-Slaapkamer</v>
          </cell>
          <cell r="H385" t="str">
            <v>niet van toepassing</v>
          </cell>
          <cell r="I385" t="str">
            <v>Linoleum</v>
          </cell>
          <cell r="J385"/>
          <cell r="K385"/>
          <cell r="L385" t="str">
            <v>nvt</v>
          </cell>
          <cell r="M385">
            <v>0</v>
          </cell>
          <cell r="N385"/>
          <cell r="O385">
            <v>0</v>
          </cell>
          <cell r="P385">
            <v>1</v>
          </cell>
          <cell r="Q385">
            <v>0</v>
          </cell>
          <cell r="R385">
            <v>0</v>
          </cell>
          <cell r="S385">
            <v>0</v>
          </cell>
        </row>
        <row r="386">
          <cell r="D386" t="str">
            <v>Horizon Anker Einder 2 gebouw A</v>
          </cell>
          <cell r="E386" t="str">
            <v>1e</v>
          </cell>
          <cell r="F386" t="str">
            <v>A1.312</v>
          </cell>
          <cell r="G386" t="str">
            <v>Zit-Slaapkamer</v>
          </cell>
          <cell r="H386" t="str">
            <v>niet van toepassing</v>
          </cell>
          <cell r="I386" t="str">
            <v>Linoleum</v>
          </cell>
          <cell r="J386"/>
          <cell r="K386"/>
          <cell r="L386" t="str">
            <v>nvt</v>
          </cell>
          <cell r="M386">
            <v>0</v>
          </cell>
          <cell r="N386"/>
          <cell r="O386">
            <v>0</v>
          </cell>
          <cell r="P386">
            <v>1</v>
          </cell>
          <cell r="Q386">
            <v>0</v>
          </cell>
          <cell r="R386">
            <v>0</v>
          </cell>
          <cell r="S386">
            <v>0</v>
          </cell>
        </row>
        <row r="387">
          <cell r="D387" t="str">
            <v>Horizon Anker Einder 2 gebouw A</v>
          </cell>
          <cell r="E387" t="str">
            <v>1e</v>
          </cell>
          <cell r="F387" t="str">
            <v>A1.313</v>
          </cell>
          <cell r="G387" t="str">
            <v>Zit-Slaapkamer</v>
          </cell>
          <cell r="H387" t="str">
            <v>niet van toepassing</v>
          </cell>
          <cell r="I387" t="str">
            <v>Linoleum</v>
          </cell>
          <cell r="J387"/>
          <cell r="K387"/>
          <cell r="L387" t="str">
            <v>nvt</v>
          </cell>
          <cell r="M387">
            <v>0</v>
          </cell>
          <cell r="N387"/>
          <cell r="O387">
            <v>0</v>
          </cell>
          <cell r="P387">
            <v>1</v>
          </cell>
          <cell r="Q387">
            <v>0</v>
          </cell>
          <cell r="R387">
            <v>0</v>
          </cell>
          <cell r="S387">
            <v>0</v>
          </cell>
        </row>
        <row r="388">
          <cell r="D388" t="str">
            <v>Horizon Anker Einder 2 gebouw A</v>
          </cell>
          <cell r="E388" t="str">
            <v>1e</v>
          </cell>
          <cell r="F388" t="str">
            <v>A1.314</v>
          </cell>
          <cell r="G388" t="str">
            <v>kast</v>
          </cell>
          <cell r="H388" t="str">
            <v>niet van toepassing</v>
          </cell>
          <cell r="I388"/>
          <cell r="J388"/>
          <cell r="K388"/>
          <cell r="L388" t="str">
            <v>nvt</v>
          </cell>
          <cell r="M388">
            <v>0</v>
          </cell>
          <cell r="N388"/>
          <cell r="O388">
            <v>0</v>
          </cell>
          <cell r="P388">
            <v>1</v>
          </cell>
          <cell r="Q388">
            <v>0</v>
          </cell>
          <cell r="R388">
            <v>0</v>
          </cell>
          <cell r="S388">
            <v>0</v>
          </cell>
        </row>
        <row r="389">
          <cell r="D389" t="str">
            <v>Horizon Anker Einder 2 gebouw A</v>
          </cell>
          <cell r="E389" t="str">
            <v>1e</v>
          </cell>
          <cell r="F389" t="str">
            <v>A1.315a</v>
          </cell>
          <cell r="G389" t="str">
            <v>douche</v>
          </cell>
          <cell r="H389" t="str">
            <v>sanitaire ruimte (toilet-/doucheruimte)</v>
          </cell>
          <cell r="I389" t="str">
            <v>Tegels</v>
          </cell>
          <cell r="J389">
            <v>1.9</v>
          </cell>
          <cell r="K389"/>
          <cell r="L389">
            <v>4255</v>
          </cell>
          <cell r="M389">
            <v>104</v>
          </cell>
          <cell r="N389"/>
          <cell r="O389">
            <v>255</v>
          </cell>
          <cell r="P389">
            <v>1</v>
          </cell>
          <cell r="Q389">
            <v>0</v>
          </cell>
          <cell r="R389">
            <v>0</v>
          </cell>
          <cell r="S389">
            <v>0</v>
          </cell>
        </row>
        <row r="390">
          <cell r="D390" t="str">
            <v>Horizon Anker Einder 2 gebouw A</v>
          </cell>
          <cell r="E390" t="str">
            <v>1e</v>
          </cell>
          <cell r="F390" t="str">
            <v>A1.315b</v>
          </cell>
          <cell r="G390" t="str">
            <v>douche</v>
          </cell>
          <cell r="H390" t="str">
            <v>sanitaire ruimte (toilet-/doucheruimte)</v>
          </cell>
          <cell r="I390" t="str">
            <v>Tegels</v>
          </cell>
          <cell r="J390">
            <v>2.1</v>
          </cell>
          <cell r="K390"/>
          <cell r="L390">
            <v>4255</v>
          </cell>
          <cell r="M390">
            <v>104</v>
          </cell>
          <cell r="N390"/>
          <cell r="O390">
            <v>255</v>
          </cell>
          <cell r="P390">
            <v>1</v>
          </cell>
          <cell r="Q390">
            <v>0</v>
          </cell>
          <cell r="R390">
            <v>0</v>
          </cell>
          <cell r="S390">
            <v>0</v>
          </cell>
        </row>
        <row r="391">
          <cell r="D391" t="str">
            <v>Horizon Anker Einder 2 gebouw A</v>
          </cell>
          <cell r="E391" t="str">
            <v>1e</v>
          </cell>
          <cell r="F391" t="str">
            <v>A1.315c</v>
          </cell>
          <cell r="G391" t="str">
            <v>douche</v>
          </cell>
          <cell r="H391" t="str">
            <v>sanitaire ruimte (toilet-/doucheruimte)</v>
          </cell>
          <cell r="I391" t="str">
            <v>Tegels</v>
          </cell>
          <cell r="J391">
            <v>2.2999999999999998</v>
          </cell>
          <cell r="K391"/>
          <cell r="L391">
            <v>4255</v>
          </cell>
          <cell r="M391">
            <v>104</v>
          </cell>
          <cell r="N391"/>
          <cell r="O391">
            <v>255</v>
          </cell>
          <cell r="P391">
            <v>1</v>
          </cell>
          <cell r="Q391">
            <v>0</v>
          </cell>
          <cell r="R391">
            <v>0</v>
          </cell>
          <cell r="S391">
            <v>0</v>
          </cell>
        </row>
        <row r="392">
          <cell r="D392" t="str">
            <v>Horizon Anker Einder 2 gebouw A</v>
          </cell>
          <cell r="E392" t="str">
            <v>1e</v>
          </cell>
          <cell r="F392" t="str">
            <v>A1.316</v>
          </cell>
          <cell r="G392" t="str">
            <v>Toilet</v>
          </cell>
          <cell r="H392" t="str">
            <v>sanitaire ruimte (toilet-/doucheruimte)</v>
          </cell>
          <cell r="I392" t="str">
            <v>Tegels</v>
          </cell>
          <cell r="J392">
            <v>3.4</v>
          </cell>
          <cell r="K392"/>
          <cell r="L392">
            <v>4153</v>
          </cell>
          <cell r="M392">
            <v>104</v>
          </cell>
          <cell r="N392"/>
          <cell r="O392">
            <v>153</v>
          </cell>
          <cell r="P392">
            <v>1</v>
          </cell>
          <cell r="Q392">
            <v>0</v>
          </cell>
          <cell r="R392">
            <v>0</v>
          </cell>
          <cell r="S392">
            <v>0</v>
          </cell>
        </row>
        <row r="393">
          <cell r="D393" t="str">
            <v>Horizon Anker Einder 2 gebouw A</v>
          </cell>
          <cell r="E393" t="str">
            <v>1e</v>
          </cell>
          <cell r="F393" t="str">
            <v>A1.317</v>
          </cell>
          <cell r="G393" t="str">
            <v>Toilet</v>
          </cell>
          <cell r="H393" t="str">
            <v>sanitaire ruimte (toilet-/doucheruimte)</v>
          </cell>
          <cell r="I393" t="str">
            <v>Tegels</v>
          </cell>
          <cell r="J393">
            <v>3.9</v>
          </cell>
          <cell r="K393"/>
          <cell r="L393">
            <v>4153</v>
          </cell>
          <cell r="M393">
            <v>104</v>
          </cell>
          <cell r="N393"/>
          <cell r="O393">
            <v>153</v>
          </cell>
          <cell r="P393">
            <v>1</v>
          </cell>
          <cell r="Q393">
            <v>0</v>
          </cell>
          <cell r="R393">
            <v>0</v>
          </cell>
          <cell r="S393">
            <v>0</v>
          </cell>
        </row>
        <row r="394">
          <cell r="D394" t="str">
            <v>Horizon Anker Einder 2 gebouw A</v>
          </cell>
          <cell r="E394" t="str">
            <v>1e</v>
          </cell>
          <cell r="F394" t="str">
            <v>A1.318</v>
          </cell>
          <cell r="G394" t="str">
            <v>Teamkamer</v>
          </cell>
          <cell r="H394" t="str">
            <v>administratieve -, personeels- en vergaderruimte</v>
          </cell>
          <cell r="I394" t="str">
            <v>Linoleum</v>
          </cell>
          <cell r="J394">
            <v>18.399999999999999</v>
          </cell>
          <cell r="K394"/>
          <cell r="L394">
            <v>1153</v>
          </cell>
          <cell r="M394">
            <v>101</v>
          </cell>
          <cell r="N394"/>
          <cell r="O394">
            <v>153</v>
          </cell>
          <cell r="P394">
            <v>1</v>
          </cell>
          <cell r="Q394">
            <v>0</v>
          </cell>
          <cell r="R394">
            <v>0</v>
          </cell>
          <cell r="S394">
            <v>0</v>
          </cell>
        </row>
        <row r="395">
          <cell r="D395" t="str">
            <v>Horizon Anker Einder 2 gebouw A</v>
          </cell>
          <cell r="E395" t="str">
            <v>1e</v>
          </cell>
          <cell r="F395" t="str">
            <v>A1.319</v>
          </cell>
          <cell r="G395" t="str">
            <v>MK</v>
          </cell>
          <cell r="H395" t="str">
            <v>niet van toepassing</v>
          </cell>
          <cell r="I395"/>
          <cell r="J395"/>
          <cell r="K395"/>
          <cell r="L395" t="str">
            <v>nvt</v>
          </cell>
          <cell r="M395">
            <v>0</v>
          </cell>
          <cell r="N395"/>
          <cell r="O395">
            <v>0</v>
          </cell>
          <cell r="P395">
            <v>1</v>
          </cell>
          <cell r="Q395">
            <v>0</v>
          </cell>
          <cell r="R395">
            <v>0</v>
          </cell>
          <cell r="S395">
            <v>0</v>
          </cell>
        </row>
        <row r="396">
          <cell r="D396" t="str">
            <v>Horizon Anker Einder 2 gebouw A</v>
          </cell>
          <cell r="E396" t="str">
            <v>1e</v>
          </cell>
          <cell r="F396" t="str">
            <v>A1.320</v>
          </cell>
          <cell r="G396" t="str">
            <v>WDR/Linnen+WK</v>
          </cell>
          <cell r="H396" t="str">
            <v>entree, gang, hal, repro, kopieer, was/droogruimte</v>
          </cell>
          <cell r="I396" t="str">
            <v>Tegels</v>
          </cell>
          <cell r="J396">
            <v>7.9</v>
          </cell>
          <cell r="K396"/>
          <cell r="L396">
            <v>3153</v>
          </cell>
          <cell r="M396">
            <v>103</v>
          </cell>
          <cell r="N396"/>
          <cell r="O396">
            <v>153</v>
          </cell>
          <cell r="P396">
            <v>1</v>
          </cell>
          <cell r="Q396">
            <v>0</v>
          </cell>
          <cell r="R396">
            <v>0</v>
          </cell>
          <cell r="S396">
            <v>0</v>
          </cell>
        </row>
        <row r="397">
          <cell r="D397" t="str">
            <v>Horizon Anker Einder 2 gebouw A</v>
          </cell>
          <cell r="E397" t="str">
            <v>1e</v>
          </cell>
          <cell r="F397" t="str">
            <v>A1.321a</v>
          </cell>
          <cell r="G397" t="str">
            <v>Speelruimte</v>
          </cell>
          <cell r="H397" t="str">
            <v>speellokaal</v>
          </cell>
          <cell r="I397" t="str">
            <v>Linoleum</v>
          </cell>
          <cell r="J397">
            <v>40.6</v>
          </cell>
          <cell r="K397"/>
          <cell r="L397">
            <v>8153</v>
          </cell>
          <cell r="M397">
            <v>107</v>
          </cell>
          <cell r="N397"/>
          <cell r="O397">
            <v>153</v>
          </cell>
          <cell r="P397">
            <v>1</v>
          </cell>
          <cell r="Q397">
            <v>0</v>
          </cell>
          <cell r="R397">
            <v>0</v>
          </cell>
          <cell r="S397">
            <v>0</v>
          </cell>
        </row>
        <row r="398">
          <cell r="D398" t="str">
            <v>Horizon Anker Einder 2 gebouw A</v>
          </cell>
          <cell r="E398" t="str">
            <v>1e</v>
          </cell>
          <cell r="F398" t="str">
            <v>A1.321b</v>
          </cell>
          <cell r="G398" t="str">
            <v>Groepsruimte</v>
          </cell>
          <cell r="H398" t="str">
            <v>leslokaal</v>
          </cell>
          <cell r="I398" t="str">
            <v>Linoleum</v>
          </cell>
          <cell r="J398">
            <v>70.5</v>
          </cell>
          <cell r="K398"/>
          <cell r="L398">
            <v>7153</v>
          </cell>
          <cell r="M398">
            <v>107</v>
          </cell>
          <cell r="N398"/>
          <cell r="O398">
            <v>153</v>
          </cell>
          <cell r="P398">
            <v>1</v>
          </cell>
          <cell r="Q398">
            <v>0</v>
          </cell>
          <cell r="R398">
            <v>0</v>
          </cell>
          <cell r="S398">
            <v>0</v>
          </cell>
        </row>
        <row r="399">
          <cell r="D399" t="str">
            <v>Horizon Anker Einder 2 gebouw A</v>
          </cell>
          <cell r="E399" t="str">
            <v>1e</v>
          </cell>
          <cell r="F399" t="str">
            <v>A1.322</v>
          </cell>
          <cell r="G399" t="str">
            <v>Keuken (keuken)</v>
          </cell>
          <cell r="H399" t="str">
            <v>Keuken</v>
          </cell>
          <cell r="I399" t="str">
            <v>Tegels</v>
          </cell>
          <cell r="J399">
            <v>13.2</v>
          </cell>
          <cell r="K399"/>
          <cell r="L399">
            <v>18255</v>
          </cell>
          <cell r="M399" t="str">
            <v>nvt</v>
          </cell>
          <cell r="N399"/>
          <cell r="O399">
            <v>255</v>
          </cell>
          <cell r="P399">
            <v>1</v>
          </cell>
          <cell r="Q399">
            <v>0</v>
          </cell>
          <cell r="R399">
            <v>0</v>
          </cell>
          <cell r="S399">
            <v>0</v>
          </cell>
        </row>
        <row r="400">
          <cell r="D400" t="str">
            <v>Horizon Anker Einder 2 gebouw A</v>
          </cell>
          <cell r="E400" t="str">
            <v>1e</v>
          </cell>
          <cell r="F400" t="str">
            <v>A1.323</v>
          </cell>
          <cell r="G400" t="str">
            <v>Bijkeuken</v>
          </cell>
          <cell r="H400" t="str">
            <v>Keuken</v>
          </cell>
          <cell r="I400" t="str">
            <v>Tegels</v>
          </cell>
          <cell r="J400">
            <v>6.7</v>
          </cell>
          <cell r="K400"/>
          <cell r="L400">
            <v>18153</v>
          </cell>
          <cell r="M400" t="str">
            <v>nvt</v>
          </cell>
          <cell r="N400"/>
          <cell r="O400">
            <v>153</v>
          </cell>
          <cell r="P400">
            <v>1</v>
          </cell>
          <cell r="Q400">
            <v>0</v>
          </cell>
          <cell r="R400">
            <v>0</v>
          </cell>
          <cell r="S400">
            <v>0</v>
          </cell>
        </row>
        <row r="401">
          <cell r="D401" t="str">
            <v>Horizon Anker Einder 2 gebouw A</v>
          </cell>
          <cell r="E401" t="str">
            <v>1e</v>
          </cell>
          <cell r="F401" t="str">
            <v>A1.324</v>
          </cell>
          <cell r="G401" t="str">
            <v>Entree</v>
          </cell>
          <cell r="H401" t="str">
            <v>entree, gang, hal, repro, kopieer, was/droogruimte</v>
          </cell>
          <cell r="I401" t="str">
            <v>Linoleum</v>
          </cell>
          <cell r="J401">
            <v>12.7</v>
          </cell>
          <cell r="K401"/>
          <cell r="L401">
            <v>3153</v>
          </cell>
          <cell r="M401">
            <v>103</v>
          </cell>
          <cell r="N401"/>
          <cell r="O401">
            <v>153</v>
          </cell>
          <cell r="P401">
            <v>1</v>
          </cell>
          <cell r="Q401">
            <v>0</v>
          </cell>
          <cell r="R401">
            <v>0</v>
          </cell>
          <cell r="S401">
            <v>0</v>
          </cell>
        </row>
        <row r="402">
          <cell r="D402" t="str">
            <v>Horizon Anker Einder 2 gebouw A</v>
          </cell>
          <cell r="E402" t="str">
            <v>1e</v>
          </cell>
          <cell r="F402" t="str">
            <v>A1.325</v>
          </cell>
          <cell r="G402" t="str">
            <v>Spreekkamer</v>
          </cell>
          <cell r="H402" t="str">
            <v>administratieve -, personeels- en vergaderruimte</v>
          </cell>
          <cell r="I402" t="str">
            <v>Linoleum</v>
          </cell>
          <cell r="J402">
            <v>12.5</v>
          </cell>
          <cell r="K402"/>
          <cell r="L402">
            <v>1153</v>
          </cell>
          <cell r="M402">
            <v>101</v>
          </cell>
          <cell r="N402"/>
          <cell r="O402">
            <v>153</v>
          </cell>
          <cell r="P402">
            <v>1</v>
          </cell>
          <cell r="Q402">
            <v>0</v>
          </cell>
          <cell r="R402">
            <v>0</v>
          </cell>
          <cell r="S402">
            <v>0</v>
          </cell>
        </row>
        <row r="403">
          <cell r="D403" t="str">
            <v>Horizon Anker Einder 2 gebouw A</v>
          </cell>
          <cell r="E403" t="str">
            <v>1e</v>
          </cell>
          <cell r="F403" t="str">
            <v>A1.326</v>
          </cell>
          <cell r="G403" t="str">
            <v>Gang</v>
          </cell>
          <cell r="H403" t="str">
            <v>entree, gang, hal, repro, kopieer, was/droogruimte</v>
          </cell>
          <cell r="I403" t="str">
            <v>Linoleum</v>
          </cell>
          <cell r="J403">
            <v>7.3</v>
          </cell>
          <cell r="K403"/>
          <cell r="L403">
            <v>3153</v>
          </cell>
          <cell r="M403">
            <v>103</v>
          </cell>
          <cell r="N403"/>
          <cell r="O403">
            <v>153</v>
          </cell>
          <cell r="P403">
            <v>1</v>
          </cell>
          <cell r="Q403">
            <v>0</v>
          </cell>
          <cell r="R403">
            <v>0</v>
          </cell>
          <cell r="S403">
            <v>0</v>
          </cell>
        </row>
        <row r="404">
          <cell r="D404" t="str">
            <v>Horizon Anker Einder 2 gebouw A</v>
          </cell>
          <cell r="E404" t="str">
            <v>1e</v>
          </cell>
          <cell r="F404" t="str">
            <v>A1.327</v>
          </cell>
          <cell r="G404" t="str">
            <v>Trap</v>
          </cell>
          <cell r="H404" t="str">
            <v>trappenhuis</v>
          </cell>
          <cell r="I404" t="str">
            <v>Steen</v>
          </cell>
          <cell r="J404">
            <v>3.1</v>
          </cell>
          <cell r="K404"/>
          <cell r="L404">
            <v>9153</v>
          </cell>
          <cell r="M404">
            <v>109</v>
          </cell>
          <cell r="N404"/>
          <cell r="O404">
            <v>153</v>
          </cell>
          <cell r="P404">
            <v>1</v>
          </cell>
          <cell r="Q404">
            <v>0</v>
          </cell>
          <cell r="R404">
            <v>0</v>
          </cell>
          <cell r="S404">
            <v>0</v>
          </cell>
        </row>
        <row r="405">
          <cell r="D405" t="str">
            <v>Horizon Anker Einder 2 gebouw A</v>
          </cell>
          <cell r="E405" t="str">
            <v>1e</v>
          </cell>
          <cell r="F405" t="str">
            <v>A1.328</v>
          </cell>
          <cell r="G405" t="str">
            <v>Sluis</v>
          </cell>
          <cell r="H405" t="str">
            <v>entree, gang, hal, repro, kopieer, was/droogruimte</v>
          </cell>
          <cell r="I405" t="str">
            <v>Steen</v>
          </cell>
          <cell r="J405">
            <v>8.6999999999999993</v>
          </cell>
          <cell r="K405"/>
          <cell r="L405">
            <v>3153</v>
          </cell>
          <cell r="M405">
            <v>103</v>
          </cell>
          <cell r="N405"/>
          <cell r="O405">
            <v>153</v>
          </cell>
          <cell r="P405">
            <v>1</v>
          </cell>
          <cell r="Q405">
            <v>0</v>
          </cell>
          <cell r="R405">
            <v>0</v>
          </cell>
          <cell r="S405">
            <v>0</v>
          </cell>
        </row>
        <row r="406">
          <cell r="D406" t="str">
            <v>Horizon Anker Einder 2 gebouw A</v>
          </cell>
          <cell r="E406" t="str">
            <v>1e</v>
          </cell>
          <cell r="F406" t="str">
            <v>A1.329</v>
          </cell>
          <cell r="G406" t="str">
            <v>Loggia</v>
          </cell>
          <cell r="H406" t="str">
            <v>niet van toepassing</v>
          </cell>
          <cell r="I406" t="str">
            <v>Steen</v>
          </cell>
          <cell r="J406"/>
          <cell r="K406"/>
          <cell r="L406" t="str">
            <v>nvt</v>
          </cell>
          <cell r="M406">
            <v>0</v>
          </cell>
          <cell r="N406"/>
          <cell r="O406">
            <v>0</v>
          </cell>
          <cell r="P406">
            <v>1</v>
          </cell>
          <cell r="Q406">
            <v>0</v>
          </cell>
          <cell r="R406">
            <v>0</v>
          </cell>
          <cell r="S406">
            <v>0</v>
          </cell>
        </row>
        <row r="407">
          <cell r="D407" t="str">
            <v>Horizon Anker Einder 2 gebouw A</v>
          </cell>
          <cell r="E407" t="str">
            <v>1e</v>
          </cell>
          <cell r="F407" t="str">
            <v>A1.330</v>
          </cell>
          <cell r="G407" t="str">
            <v>Afzondering</v>
          </cell>
          <cell r="H407" t="str">
            <v>aula, gemeenschappelijke ruimte, bibliotheek</v>
          </cell>
          <cell r="I407" t="str">
            <v>Linoleum</v>
          </cell>
          <cell r="J407">
            <v>9.6999999999999993</v>
          </cell>
          <cell r="K407"/>
          <cell r="L407">
            <v>2153</v>
          </cell>
          <cell r="M407">
            <v>102</v>
          </cell>
          <cell r="N407"/>
          <cell r="O407">
            <v>153</v>
          </cell>
          <cell r="P407">
            <v>1</v>
          </cell>
          <cell r="Q407">
            <v>0</v>
          </cell>
          <cell r="R407">
            <v>0</v>
          </cell>
          <cell r="S407">
            <v>0</v>
          </cell>
        </row>
        <row r="408">
          <cell r="D408" t="str">
            <v>Horizon Anker Einder 2 gebouw A</v>
          </cell>
          <cell r="E408" t="str">
            <v>1e</v>
          </cell>
          <cell r="F408" t="str">
            <v>A1.331</v>
          </cell>
          <cell r="G408" t="str">
            <v xml:space="preserve">Badkamer </v>
          </cell>
          <cell r="H408" t="str">
            <v>sanitaire ruimte (toilet-/doucheruimte)</v>
          </cell>
          <cell r="I408" t="str">
            <v>Tegels</v>
          </cell>
          <cell r="J408">
            <v>5.0999999999999996</v>
          </cell>
          <cell r="K408"/>
          <cell r="L408">
            <v>4255</v>
          </cell>
          <cell r="M408">
            <v>104</v>
          </cell>
          <cell r="N408"/>
          <cell r="O408">
            <v>255</v>
          </cell>
          <cell r="P408">
            <v>1</v>
          </cell>
          <cell r="Q408">
            <v>0</v>
          </cell>
          <cell r="R408">
            <v>0</v>
          </cell>
          <cell r="S408">
            <v>0</v>
          </cell>
        </row>
        <row r="409">
          <cell r="D409" t="str">
            <v>Horizon Anker Einder 2 gebouw A</v>
          </cell>
          <cell r="E409" t="str">
            <v>1e</v>
          </cell>
          <cell r="F409" t="str">
            <v>A1.332</v>
          </cell>
          <cell r="G409" t="str">
            <v>Kast</v>
          </cell>
          <cell r="H409" t="str">
            <v>niet van toepassing</v>
          </cell>
          <cell r="I409"/>
          <cell r="J409"/>
          <cell r="K409"/>
          <cell r="L409" t="str">
            <v>nvt</v>
          </cell>
          <cell r="M409">
            <v>0</v>
          </cell>
          <cell r="N409"/>
          <cell r="O409">
            <v>0</v>
          </cell>
          <cell r="P409">
            <v>1</v>
          </cell>
          <cell r="Q409">
            <v>0</v>
          </cell>
          <cell r="R409">
            <v>0</v>
          </cell>
          <cell r="S409">
            <v>0</v>
          </cell>
        </row>
        <row r="410">
          <cell r="D410" t="str">
            <v>Horizon Anker Einder 2 gebouw A</v>
          </cell>
          <cell r="E410" t="str">
            <v>1e</v>
          </cell>
          <cell r="F410" t="str">
            <v>A1.333</v>
          </cell>
          <cell r="G410" t="str">
            <v>Kast</v>
          </cell>
          <cell r="H410" t="str">
            <v>niet van toepassing</v>
          </cell>
          <cell r="I410"/>
          <cell r="J410"/>
          <cell r="K410"/>
          <cell r="L410" t="str">
            <v>nvt</v>
          </cell>
          <cell r="M410">
            <v>0</v>
          </cell>
          <cell r="N410"/>
          <cell r="O410">
            <v>0</v>
          </cell>
          <cell r="P410">
            <v>1</v>
          </cell>
          <cell r="Q410">
            <v>0</v>
          </cell>
          <cell r="R410">
            <v>0</v>
          </cell>
          <cell r="S410">
            <v>0</v>
          </cell>
        </row>
        <row r="411">
          <cell r="D411" t="str">
            <v>Horizon Anker Meander 2 gebouw A</v>
          </cell>
          <cell r="E411" t="str">
            <v>1e</v>
          </cell>
          <cell r="F411" t="str">
            <v>A1.401</v>
          </cell>
          <cell r="G411" t="str">
            <v>Trap</v>
          </cell>
          <cell r="H411" t="str">
            <v>trappenhuis</v>
          </cell>
          <cell r="I411" t="str">
            <v>Steen</v>
          </cell>
          <cell r="J411">
            <v>5.7</v>
          </cell>
          <cell r="K411"/>
          <cell r="L411">
            <v>9153</v>
          </cell>
          <cell r="M411">
            <v>109</v>
          </cell>
          <cell r="N411"/>
          <cell r="O411">
            <v>153</v>
          </cell>
          <cell r="P411">
            <v>1</v>
          </cell>
          <cell r="Q411">
            <v>0</v>
          </cell>
          <cell r="R411">
            <v>0</v>
          </cell>
          <cell r="S411">
            <v>0</v>
          </cell>
        </row>
        <row r="412">
          <cell r="D412" t="str">
            <v>Horizon Anker Meander 2 gebouw A</v>
          </cell>
          <cell r="E412" t="str">
            <v>1e</v>
          </cell>
          <cell r="F412" t="str">
            <v>A1.402</v>
          </cell>
          <cell r="G412" t="str">
            <v>Sluis</v>
          </cell>
          <cell r="H412" t="str">
            <v>entree, gang, hal, repro, kopieer, was/droogruimte</v>
          </cell>
          <cell r="I412" t="str">
            <v>Steen</v>
          </cell>
          <cell r="J412">
            <v>9.8000000000000007</v>
          </cell>
          <cell r="K412"/>
          <cell r="L412">
            <v>3153</v>
          </cell>
          <cell r="M412">
            <v>103</v>
          </cell>
          <cell r="N412"/>
          <cell r="O412">
            <v>153</v>
          </cell>
          <cell r="P412">
            <v>1</v>
          </cell>
          <cell r="Q412">
            <v>0</v>
          </cell>
          <cell r="R412">
            <v>0</v>
          </cell>
          <cell r="S412">
            <v>0</v>
          </cell>
        </row>
        <row r="413">
          <cell r="D413" t="str">
            <v>Horizon Anker Meander 2 gebouw A</v>
          </cell>
          <cell r="E413" t="str">
            <v>1e</v>
          </cell>
          <cell r="F413" t="str">
            <v>A1.403</v>
          </cell>
          <cell r="G413" t="str">
            <v>Gang</v>
          </cell>
          <cell r="H413" t="str">
            <v>entree, gang, hal, repro, kopieer, was/droogruimte</v>
          </cell>
          <cell r="I413" t="str">
            <v>Linoleum</v>
          </cell>
          <cell r="J413">
            <v>46.8</v>
          </cell>
          <cell r="K413"/>
          <cell r="L413">
            <v>3153</v>
          </cell>
          <cell r="M413">
            <v>103</v>
          </cell>
          <cell r="N413"/>
          <cell r="O413">
            <v>153</v>
          </cell>
          <cell r="P413">
            <v>1</v>
          </cell>
          <cell r="Q413">
            <v>0</v>
          </cell>
          <cell r="R413">
            <v>0</v>
          </cell>
          <cell r="S413">
            <v>0</v>
          </cell>
        </row>
        <row r="414">
          <cell r="D414" t="str">
            <v>Horizon Anker Meander 2 gebouw A</v>
          </cell>
          <cell r="E414" t="str">
            <v>1e</v>
          </cell>
          <cell r="F414" t="str">
            <v>A0.404</v>
          </cell>
          <cell r="G414" t="str">
            <v>Zit-slaapkamer</v>
          </cell>
          <cell r="H414" t="str">
            <v>niet van toepassing</v>
          </cell>
          <cell r="I414" t="str">
            <v>Linoleum</v>
          </cell>
          <cell r="J414"/>
          <cell r="K414"/>
          <cell r="L414" t="str">
            <v>nvt</v>
          </cell>
          <cell r="M414">
            <v>0</v>
          </cell>
          <cell r="N414"/>
          <cell r="O414">
            <v>0</v>
          </cell>
          <cell r="P414">
            <v>1</v>
          </cell>
          <cell r="Q414">
            <v>0</v>
          </cell>
          <cell r="R414">
            <v>0</v>
          </cell>
          <cell r="S414">
            <v>0</v>
          </cell>
        </row>
        <row r="415">
          <cell r="D415" t="str">
            <v>Horizon Anker Meander 2 gebouw A</v>
          </cell>
          <cell r="E415" t="str">
            <v>1e</v>
          </cell>
          <cell r="F415" t="str">
            <v>A0.405</v>
          </cell>
          <cell r="G415" t="str">
            <v>Zit-slaapkamer</v>
          </cell>
          <cell r="H415" t="str">
            <v>niet van toepassing</v>
          </cell>
          <cell r="I415" t="str">
            <v>Linoleum</v>
          </cell>
          <cell r="J415"/>
          <cell r="K415"/>
          <cell r="L415" t="str">
            <v>nvt</v>
          </cell>
          <cell r="M415">
            <v>0</v>
          </cell>
          <cell r="N415"/>
          <cell r="O415">
            <v>0</v>
          </cell>
          <cell r="P415">
            <v>1</v>
          </cell>
          <cell r="Q415">
            <v>0</v>
          </cell>
          <cell r="R415">
            <v>0</v>
          </cell>
          <cell r="S415">
            <v>0</v>
          </cell>
        </row>
        <row r="416">
          <cell r="D416" t="str">
            <v>Horizon Anker Meander 2 gebouw A</v>
          </cell>
          <cell r="E416" t="str">
            <v>1e</v>
          </cell>
          <cell r="F416" t="str">
            <v>A0.406</v>
          </cell>
          <cell r="G416" t="str">
            <v>Zit-slaapkamer</v>
          </cell>
          <cell r="H416" t="str">
            <v>niet van toepassing</v>
          </cell>
          <cell r="I416" t="str">
            <v>Linoleum</v>
          </cell>
          <cell r="J416"/>
          <cell r="K416"/>
          <cell r="L416" t="str">
            <v>nvt</v>
          </cell>
          <cell r="M416">
            <v>0</v>
          </cell>
          <cell r="N416"/>
          <cell r="O416">
            <v>0</v>
          </cell>
          <cell r="P416">
            <v>1</v>
          </cell>
          <cell r="Q416">
            <v>0</v>
          </cell>
          <cell r="R416">
            <v>0</v>
          </cell>
          <cell r="S416">
            <v>0</v>
          </cell>
        </row>
        <row r="417">
          <cell r="D417" t="str">
            <v>Horizon Anker Meander 2 gebouw A</v>
          </cell>
          <cell r="E417" t="str">
            <v>1e</v>
          </cell>
          <cell r="F417" t="str">
            <v>A0.407</v>
          </cell>
          <cell r="G417" t="str">
            <v>Zit-slaapkamer</v>
          </cell>
          <cell r="H417" t="str">
            <v>niet van toepassing</v>
          </cell>
          <cell r="I417" t="str">
            <v>Linoleum</v>
          </cell>
          <cell r="J417"/>
          <cell r="K417"/>
          <cell r="L417" t="str">
            <v>nvt</v>
          </cell>
          <cell r="M417">
            <v>0</v>
          </cell>
          <cell r="N417"/>
          <cell r="O417">
            <v>0</v>
          </cell>
          <cell r="P417">
            <v>1</v>
          </cell>
          <cell r="Q417">
            <v>0</v>
          </cell>
          <cell r="R417">
            <v>0</v>
          </cell>
          <cell r="S417">
            <v>0</v>
          </cell>
        </row>
        <row r="418">
          <cell r="D418" t="str">
            <v>Horizon Anker Meander 2 gebouw A</v>
          </cell>
          <cell r="E418" t="str">
            <v>1e</v>
          </cell>
          <cell r="F418" t="str">
            <v>A0.408</v>
          </cell>
          <cell r="G418" t="str">
            <v>Zit-slaapkamer</v>
          </cell>
          <cell r="H418" t="str">
            <v>niet van toepassing</v>
          </cell>
          <cell r="I418" t="str">
            <v>Linoleum</v>
          </cell>
          <cell r="J418"/>
          <cell r="K418"/>
          <cell r="L418" t="str">
            <v>nvt</v>
          </cell>
          <cell r="M418">
            <v>0</v>
          </cell>
          <cell r="N418"/>
          <cell r="O418">
            <v>0</v>
          </cell>
          <cell r="P418">
            <v>1</v>
          </cell>
          <cell r="Q418">
            <v>0</v>
          </cell>
          <cell r="R418">
            <v>0</v>
          </cell>
          <cell r="S418">
            <v>0</v>
          </cell>
        </row>
        <row r="419">
          <cell r="D419" t="str">
            <v>Horizon Anker Meander 2 gebouw A</v>
          </cell>
          <cell r="E419" t="str">
            <v>1e</v>
          </cell>
          <cell r="F419" t="str">
            <v>A0.409</v>
          </cell>
          <cell r="G419" t="str">
            <v>Zit-slaapkamer</v>
          </cell>
          <cell r="H419" t="str">
            <v>niet van toepassing</v>
          </cell>
          <cell r="I419" t="str">
            <v>Linoleum</v>
          </cell>
          <cell r="J419"/>
          <cell r="K419"/>
          <cell r="L419" t="str">
            <v>nvt</v>
          </cell>
          <cell r="M419">
            <v>0</v>
          </cell>
          <cell r="N419"/>
          <cell r="O419">
            <v>0</v>
          </cell>
          <cell r="P419">
            <v>1</v>
          </cell>
          <cell r="Q419">
            <v>0</v>
          </cell>
          <cell r="R419">
            <v>0</v>
          </cell>
          <cell r="S419">
            <v>0</v>
          </cell>
        </row>
        <row r="420">
          <cell r="D420" t="str">
            <v>Horizon Anker Meander 2 gebouw A</v>
          </cell>
          <cell r="E420" t="str">
            <v>1e</v>
          </cell>
          <cell r="F420" t="str">
            <v>A0.410</v>
          </cell>
          <cell r="G420" t="str">
            <v>Zit-slaapkamer</v>
          </cell>
          <cell r="H420" t="str">
            <v>niet van toepassing</v>
          </cell>
          <cell r="I420" t="str">
            <v>Linoleum</v>
          </cell>
          <cell r="J420"/>
          <cell r="K420"/>
          <cell r="L420" t="str">
            <v>nvt</v>
          </cell>
          <cell r="M420">
            <v>0</v>
          </cell>
          <cell r="N420"/>
          <cell r="O420">
            <v>0</v>
          </cell>
          <cell r="P420">
            <v>1</v>
          </cell>
          <cell r="Q420">
            <v>0</v>
          </cell>
          <cell r="R420">
            <v>0</v>
          </cell>
          <cell r="S420">
            <v>0</v>
          </cell>
        </row>
        <row r="421">
          <cell r="D421" t="str">
            <v>Horizon Anker Meander 2 gebouw A</v>
          </cell>
          <cell r="E421" t="str">
            <v>1e</v>
          </cell>
          <cell r="F421" t="str">
            <v>A0.411</v>
          </cell>
          <cell r="G421" t="str">
            <v>Zit-slaapkamer</v>
          </cell>
          <cell r="H421" t="str">
            <v>niet van toepassing</v>
          </cell>
          <cell r="I421" t="str">
            <v>Linoleum</v>
          </cell>
          <cell r="J421"/>
          <cell r="K421"/>
          <cell r="L421" t="str">
            <v>nvt</v>
          </cell>
          <cell r="M421">
            <v>0</v>
          </cell>
          <cell r="N421"/>
          <cell r="O421">
            <v>0</v>
          </cell>
          <cell r="P421">
            <v>1</v>
          </cell>
          <cell r="Q421">
            <v>0</v>
          </cell>
          <cell r="R421">
            <v>0</v>
          </cell>
          <cell r="S421">
            <v>0</v>
          </cell>
        </row>
        <row r="422">
          <cell r="D422" t="str">
            <v>Horizon Anker Meander 2 gebouw A</v>
          </cell>
          <cell r="E422" t="str">
            <v>1e</v>
          </cell>
          <cell r="F422" t="str">
            <v>A0.412</v>
          </cell>
          <cell r="G422" t="str">
            <v>Zit-slaapkamer</v>
          </cell>
          <cell r="H422" t="str">
            <v>niet van toepassing</v>
          </cell>
          <cell r="I422" t="str">
            <v>Linoleum</v>
          </cell>
          <cell r="J422"/>
          <cell r="K422"/>
          <cell r="L422" t="str">
            <v>nvt</v>
          </cell>
          <cell r="M422">
            <v>0</v>
          </cell>
          <cell r="N422"/>
          <cell r="O422">
            <v>0</v>
          </cell>
          <cell r="P422">
            <v>1</v>
          </cell>
          <cell r="Q422">
            <v>0</v>
          </cell>
          <cell r="R422">
            <v>0</v>
          </cell>
          <cell r="S422">
            <v>0</v>
          </cell>
        </row>
        <row r="423">
          <cell r="D423" t="str">
            <v>Horizon Anker Meander 2 gebouw A</v>
          </cell>
          <cell r="E423" t="str">
            <v>1e</v>
          </cell>
          <cell r="F423" t="str">
            <v>A0.413</v>
          </cell>
          <cell r="G423" t="str">
            <v>Zit-slaapkamer</v>
          </cell>
          <cell r="H423" t="str">
            <v>niet van toepassing</v>
          </cell>
          <cell r="I423" t="str">
            <v>Linoleum</v>
          </cell>
          <cell r="J423"/>
          <cell r="K423"/>
          <cell r="L423" t="str">
            <v>nvt</v>
          </cell>
          <cell r="M423">
            <v>0</v>
          </cell>
          <cell r="N423"/>
          <cell r="O423">
            <v>0</v>
          </cell>
          <cell r="P423">
            <v>1</v>
          </cell>
          <cell r="Q423">
            <v>0</v>
          </cell>
          <cell r="R423">
            <v>0</v>
          </cell>
          <cell r="S423">
            <v>0</v>
          </cell>
        </row>
        <row r="424">
          <cell r="D424" t="str">
            <v>Horizon Anker Meander 2 gebouw A</v>
          </cell>
          <cell r="E424" t="str">
            <v>1e</v>
          </cell>
          <cell r="F424" t="str">
            <v>A0.414</v>
          </cell>
          <cell r="G424" t="str">
            <v>Zit-slaapkamer</v>
          </cell>
          <cell r="H424" t="str">
            <v>niet van toepassing</v>
          </cell>
          <cell r="I424" t="str">
            <v>Linoleum</v>
          </cell>
          <cell r="J424"/>
          <cell r="K424"/>
          <cell r="L424" t="str">
            <v>nvt</v>
          </cell>
          <cell r="M424">
            <v>0</v>
          </cell>
          <cell r="N424"/>
          <cell r="O424">
            <v>0</v>
          </cell>
          <cell r="P424">
            <v>1</v>
          </cell>
          <cell r="Q424">
            <v>0</v>
          </cell>
          <cell r="R424">
            <v>0</v>
          </cell>
          <cell r="S424">
            <v>0</v>
          </cell>
        </row>
        <row r="425">
          <cell r="D425" t="str">
            <v>Horizon Anker Meander 2 gebouw A</v>
          </cell>
          <cell r="E425" t="str">
            <v>1e</v>
          </cell>
          <cell r="F425" t="str">
            <v>A1.415a</v>
          </cell>
          <cell r="G425" t="str">
            <v>douche</v>
          </cell>
          <cell r="H425" t="str">
            <v>sanitaire ruimte (toilet-/doucheruimte)</v>
          </cell>
          <cell r="I425" t="str">
            <v>Tegels</v>
          </cell>
          <cell r="J425">
            <v>1.8</v>
          </cell>
          <cell r="K425"/>
          <cell r="L425">
            <v>4255</v>
          </cell>
          <cell r="M425">
            <v>104</v>
          </cell>
          <cell r="N425"/>
          <cell r="O425">
            <v>255</v>
          </cell>
          <cell r="P425">
            <v>1</v>
          </cell>
          <cell r="Q425">
            <v>0</v>
          </cell>
          <cell r="R425">
            <v>0</v>
          </cell>
          <cell r="S425">
            <v>0</v>
          </cell>
        </row>
        <row r="426">
          <cell r="D426" t="str">
            <v>Horizon Anker Meander 2 gebouw A</v>
          </cell>
          <cell r="E426" t="str">
            <v>1e</v>
          </cell>
          <cell r="F426" t="str">
            <v>A1.415b</v>
          </cell>
          <cell r="G426" t="str">
            <v>douche</v>
          </cell>
          <cell r="H426" t="str">
            <v>sanitaire ruimte (toilet-/doucheruimte)</v>
          </cell>
          <cell r="I426" t="str">
            <v>Tegels</v>
          </cell>
          <cell r="J426">
            <v>2</v>
          </cell>
          <cell r="K426"/>
          <cell r="L426">
            <v>4255</v>
          </cell>
          <cell r="M426">
            <v>104</v>
          </cell>
          <cell r="N426"/>
          <cell r="O426">
            <v>255</v>
          </cell>
          <cell r="P426">
            <v>1</v>
          </cell>
          <cell r="Q426">
            <v>0</v>
          </cell>
          <cell r="R426">
            <v>0</v>
          </cell>
          <cell r="S426">
            <v>0</v>
          </cell>
        </row>
        <row r="427">
          <cell r="D427" t="str">
            <v>Horizon Anker Meander 2 gebouw A</v>
          </cell>
          <cell r="E427" t="str">
            <v>1e</v>
          </cell>
          <cell r="F427" t="str">
            <v>A1.415c</v>
          </cell>
          <cell r="G427" t="str">
            <v>douche</v>
          </cell>
          <cell r="H427" t="str">
            <v>sanitaire ruimte (toilet-/doucheruimte)</v>
          </cell>
          <cell r="I427" t="str">
            <v>Tegels</v>
          </cell>
          <cell r="J427">
            <v>2.2999999999999998</v>
          </cell>
          <cell r="K427"/>
          <cell r="L427">
            <v>4255</v>
          </cell>
          <cell r="M427">
            <v>104</v>
          </cell>
          <cell r="N427"/>
          <cell r="O427">
            <v>255</v>
          </cell>
          <cell r="P427">
            <v>1</v>
          </cell>
          <cell r="Q427">
            <v>0</v>
          </cell>
          <cell r="R427">
            <v>0</v>
          </cell>
          <cell r="S427">
            <v>0</v>
          </cell>
        </row>
        <row r="428">
          <cell r="D428" t="str">
            <v>Horizon Anker Meander 2 gebouw A</v>
          </cell>
          <cell r="E428" t="str">
            <v>1e</v>
          </cell>
          <cell r="F428" t="str">
            <v>A1.416</v>
          </cell>
          <cell r="G428" t="str">
            <v>Toilet</v>
          </cell>
          <cell r="H428" t="str">
            <v>sanitaire ruimte (toilet-/doucheruimte)</v>
          </cell>
          <cell r="I428" t="str">
            <v>Tegels</v>
          </cell>
          <cell r="J428">
            <v>3.4</v>
          </cell>
          <cell r="K428"/>
          <cell r="L428">
            <v>4153</v>
          </cell>
          <cell r="M428">
            <v>104</v>
          </cell>
          <cell r="N428"/>
          <cell r="O428">
            <v>153</v>
          </cell>
          <cell r="P428">
            <v>1</v>
          </cell>
          <cell r="Q428">
            <v>0</v>
          </cell>
          <cell r="R428">
            <v>0</v>
          </cell>
          <cell r="S428">
            <v>0</v>
          </cell>
        </row>
        <row r="429">
          <cell r="D429" t="str">
            <v>Horizon Anker Meander 2 gebouw A</v>
          </cell>
          <cell r="E429" t="str">
            <v>1e</v>
          </cell>
          <cell r="F429" t="str">
            <v>A1.417</v>
          </cell>
          <cell r="G429" t="str">
            <v>Toilet</v>
          </cell>
          <cell r="H429" t="str">
            <v>sanitaire ruimte (toilet-/doucheruimte)</v>
          </cell>
          <cell r="I429" t="str">
            <v>Tegels</v>
          </cell>
          <cell r="J429">
            <v>3.8</v>
          </cell>
          <cell r="K429"/>
          <cell r="L429">
            <v>4153</v>
          </cell>
          <cell r="M429">
            <v>104</v>
          </cell>
          <cell r="N429"/>
          <cell r="O429">
            <v>153</v>
          </cell>
          <cell r="P429">
            <v>1</v>
          </cell>
          <cell r="Q429">
            <v>0</v>
          </cell>
          <cell r="R429">
            <v>0</v>
          </cell>
          <cell r="S429">
            <v>0</v>
          </cell>
        </row>
        <row r="430">
          <cell r="D430" t="str">
            <v>Horizon Anker Meander 2 gebouw A</v>
          </cell>
          <cell r="E430" t="str">
            <v>1e</v>
          </cell>
          <cell r="F430" t="str">
            <v>A1.418</v>
          </cell>
          <cell r="G430" t="str">
            <v>Teamkamer</v>
          </cell>
          <cell r="H430" t="str">
            <v>administratieve -, personeels- en vergaderruimte</v>
          </cell>
          <cell r="I430" t="str">
            <v>Linoleum</v>
          </cell>
          <cell r="J430">
            <v>16.8</v>
          </cell>
          <cell r="K430"/>
          <cell r="L430">
            <v>1153</v>
          </cell>
          <cell r="M430">
            <v>101</v>
          </cell>
          <cell r="N430"/>
          <cell r="O430">
            <v>153</v>
          </cell>
          <cell r="P430">
            <v>1</v>
          </cell>
          <cell r="Q430">
            <v>0</v>
          </cell>
          <cell r="R430">
            <v>0</v>
          </cell>
          <cell r="S430">
            <v>0</v>
          </cell>
        </row>
        <row r="431">
          <cell r="D431" t="str">
            <v>Horizon Anker Meander 2 gebouw A</v>
          </cell>
          <cell r="E431" t="str">
            <v>1e</v>
          </cell>
          <cell r="F431" t="str">
            <v>A1.419</v>
          </cell>
          <cell r="G431" t="str">
            <v>MK</v>
          </cell>
          <cell r="H431" t="str">
            <v>niet van toepassing</v>
          </cell>
          <cell r="I431"/>
          <cell r="J431"/>
          <cell r="K431"/>
          <cell r="L431" t="str">
            <v>nvt</v>
          </cell>
          <cell r="M431">
            <v>0</v>
          </cell>
          <cell r="N431"/>
          <cell r="O431">
            <v>0</v>
          </cell>
          <cell r="P431">
            <v>1</v>
          </cell>
          <cell r="Q431">
            <v>0</v>
          </cell>
          <cell r="R431">
            <v>0</v>
          </cell>
          <cell r="S431">
            <v>0</v>
          </cell>
        </row>
        <row r="432">
          <cell r="D432" t="str">
            <v>Horizon Anker Meander 2 gebouw A</v>
          </cell>
          <cell r="E432" t="str">
            <v>1e</v>
          </cell>
          <cell r="F432" t="str">
            <v>A1.420</v>
          </cell>
          <cell r="G432" t="str">
            <v>WDR/Linnen+WK</v>
          </cell>
          <cell r="H432" t="str">
            <v>entree, gang, hal, repro, kopieer, was/droogruimte</v>
          </cell>
          <cell r="I432" t="str">
            <v>Tegels</v>
          </cell>
          <cell r="J432">
            <v>7.9</v>
          </cell>
          <cell r="K432"/>
          <cell r="L432">
            <v>3153</v>
          </cell>
          <cell r="M432">
            <v>103</v>
          </cell>
          <cell r="N432"/>
          <cell r="O432">
            <v>153</v>
          </cell>
          <cell r="P432">
            <v>1</v>
          </cell>
          <cell r="Q432">
            <v>0</v>
          </cell>
          <cell r="R432">
            <v>0</v>
          </cell>
          <cell r="S432">
            <v>0</v>
          </cell>
        </row>
        <row r="433">
          <cell r="D433" t="str">
            <v>Horizon Anker Meander 2 gebouw A</v>
          </cell>
          <cell r="E433" t="str">
            <v>1e</v>
          </cell>
          <cell r="F433" t="str">
            <v>A1.421a</v>
          </cell>
          <cell r="G433" t="str">
            <v>Speelruimte</v>
          </cell>
          <cell r="H433" t="str">
            <v>speellokaal</v>
          </cell>
          <cell r="I433" t="str">
            <v>Linoleum</v>
          </cell>
          <cell r="J433">
            <v>40.6</v>
          </cell>
          <cell r="K433"/>
          <cell r="L433">
            <v>8153</v>
          </cell>
          <cell r="M433">
            <v>107</v>
          </cell>
          <cell r="N433"/>
          <cell r="O433">
            <v>153</v>
          </cell>
          <cell r="P433">
            <v>1</v>
          </cell>
          <cell r="Q433">
            <v>0</v>
          </cell>
          <cell r="R433">
            <v>0</v>
          </cell>
          <cell r="S433">
            <v>0</v>
          </cell>
        </row>
        <row r="434">
          <cell r="D434" t="str">
            <v>Horizon Anker Meander 2 gebouw A</v>
          </cell>
          <cell r="E434" t="str">
            <v>1e</v>
          </cell>
          <cell r="F434" t="str">
            <v>A1.421b</v>
          </cell>
          <cell r="G434" t="str">
            <v>Groepsruimte</v>
          </cell>
          <cell r="H434" t="str">
            <v>leslokaal</v>
          </cell>
          <cell r="I434" t="str">
            <v>Linoleum</v>
          </cell>
          <cell r="J434">
            <v>70.5</v>
          </cell>
          <cell r="K434"/>
          <cell r="L434">
            <v>7153</v>
          </cell>
          <cell r="M434">
            <v>107</v>
          </cell>
          <cell r="N434"/>
          <cell r="O434">
            <v>153</v>
          </cell>
          <cell r="P434">
            <v>1</v>
          </cell>
          <cell r="Q434">
            <v>0</v>
          </cell>
          <cell r="R434">
            <v>0</v>
          </cell>
          <cell r="S434">
            <v>0</v>
          </cell>
        </row>
        <row r="435">
          <cell r="D435" t="str">
            <v>Horizon Anker Meander 2 gebouw A</v>
          </cell>
          <cell r="E435" t="str">
            <v>1e</v>
          </cell>
          <cell r="F435" t="str">
            <v>A1.422</v>
          </cell>
          <cell r="G435" t="str">
            <v>Keuken (keuken)</v>
          </cell>
          <cell r="H435" t="str">
            <v>Keuken</v>
          </cell>
          <cell r="I435" t="str">
            <v>Tegels</v>
          </cell>
          <cell r="J435">
            <v>13.2</v>
          </cell>
          <cell r="K435"/>
          <cell r="L435">
            <v>18255</v>
          </cell>
          <cell r="M435" t="str">
            <v>nvt</v>
          </cell>
          <cell r="N435"/>
          <cell r="O435">
            <v>255</v>
          </cell>
          <cell r="P435">
            <v>1</v>
          </cell>
          <cell r="Q435">
            <v>0</v>
          </cell>
          <cell r="R435">
            <v>0</v>
          </cell>
          <cell r="S435">
            <v>0</v>
          </cell>
        </row>
        <row r="436">
          <cell r="D436" t="str">
            <v>Horizon Anker Meander 2 gebouw A</v>
          </cell>
          <cell r="E436" t="str">
            <v>1e</v>
          </cell>
          <cell r="F436" t="str">
            <v>A1.423</v>
          </cell>
          <cell r="G436" t="str">
            <v>Bijkeuken</v>
          </cell>
          <cell r="H436" t="str">
            <v>Keuken</v>
          </cell>
          <cell r="I436" t="str">
            <v>Tegels</v>
          </cell>
          <cell r="J436">
            <v>6.7</v>
          </cell>
          <cell r="K436"/>
          <cell r="L436">
            <v>18153</v>
          </cell>
          <cell r="M436" t="str">
            <v>nvt</v>
          </cell>
          <cell r="N436"/>
          <cell r="O436">
            <v>153</v>
          </cell>
          <cell r="P436">
            <v>1</v>
          </cell>
          <cell r="Q436">
            <v>0</v>
          </cell>
          <cell r="R436">
            <v>0</v>
          </cell>
          <cell r="S436">
            <v>0</v>
          </cell>
        </row>
        <row r="437">
          <cell r="D437" t="str">
            <v>Horizon Anker Meander 2 gebouw A</v>
          </cell>
          <cell r="E437" t="str">
            <v>1e</v>
          </cell>
          <cell r="F437" t="str">
            <v>A1.424</v>
          </cell>
          <cell r="G437" t="str">
            <v>Entree</v>
          </cell>
          <cell r="H437" t="str">
            <v>entree, gang, hal, repro, kopieer, was/droogruimte</v>
          </cell>
          <cell r="I437" t="str">
            <v>Linoleum</v>
          </cell>
          <cell r="J437">
            <v>12.8</v>
          </cell>
          <cell r="K437"/>
          <cell r="L437">
            <v>3153</v>
          </cell>
          <cell r="M437">
            <v>103</v>
          </cell>
          <cell r="N437"/>
          <cell r="O437">
            <v>153</v>
          </cell>
          <cell r="P437">
            <v>1</v>
          </cell>
          <cell r="Q437">
            <v>0</v>
          </cell>
          <cell r="R437">
            <v>0</v>
          </cell>
          <cell r="S437">
            <v>0</v>
          </cell>
        </row>
        <row r="438">
          <cell r="D438" t="str">
            <v>Horizon Anker Meander 2 gebouw A</v>
          </cell>
          <cell r="E438" t="str">
            <v>1e</v>
          </cell>
          <cell r="F438" t="str">
            <v>A1.425</v>
          </cell>
          <cell r="G438" t="str">
            <v>Spreekkamer</v>
          </cell>
          <cell r="H438" t="str">
            <v>administratieve -, personeels- en vergaderruimte</v>
          </cell>
          <cell r="I438" t="str">
            <v>Linoleum</v>
          </cell>
          <cell r="J438">
            <v>11.3</v>
          </cell>
          <cell r="K438"/>
          <cell r="L438">
            <v>1153</v>
          </cell>
          <cell r="M438">
            <v>101</v>
          </cell>
          <cell r="N438"/>
          <cell r="O438">
            <v>153</v>
          </cell>
          <cell r="P438">
            <v>1</v>
          </cell>
          <cell r="Q438">
            <v>0</v>
          </cell>
          <cell r="R438">
            <v>0</v>
          </cell>
          <cell r="S438">
            <v>0</v>
          </cell>
        </row>
        <row r="439">
          <cell r="D439" t="str">
            <v>Horizon Anker Meander 2 gebouw A</v>
          </cell>
          <cell r="E439" t="str">
            <v>1e</v>
          </cell>
          <cell r="F439" t="str">
            <v>A1.426</v>
          </cell>
          <cell r="G439" t="str">
            <v>Gang</v>
          </cell>
          <cell r="H439" t="str">
            <v>entree, gang, hal, repro, kopieer, was/droogruimte</v>
          </cell>
          <cell r="I439" t="str">
            <v>Linoleum</v>
          </cell>
          <cell r="J439">
            <v>8.4</v>
          </cell>
          <cell r="K439"/>
          <cell r="L439">
            <v>3153</v>
          </cell>
          <cell r="M439">
            <v>103</v>
          </cell>
          <cell r="N439"/>
          <cell r="O439">
            <v>153</v>
          </cell>
          <cell r="P439">
            <v>1</v>
          </cell>
          <cell r="Q439">
            <v>0</v>
          </cell>
          <cell r="R439">
            <v>0</v>
          </cell>
          <cell r="S439">
            <v>0</v>
          </cell>
        </row>
        <row r="440">
          <cell r="D440" t="str">
            <v>Horizon Anker Meander 2 gebouw A</v>
          </cell>
          <cell r="E440" t="str">
            <v>1e</v>
          </cell>
          <cell r="F440" t="str">
            <v>A1.427</v>
          </cell>
          <cell r="G440" t="str">
            <v>Trap</v>
          </cell>
          <cell r="H440" t="str">
            <v>trappenhuis</v>
          </cell>
          <cell r="I440" t="str">
            <v>Steen</v>
          </cell>
          <cell r="J440">
            <v>3.1</v>
          </cell>
          <cell r="K440"/>
          <cell r="L440">
            <v>9153</v>
          </cell>
          <cell r="M440">
            <v>109</v>
          </cell>
          <cell r="N440"/>
          <cell r="O440">
            <v>153</v>
          </cell>
          <cell r="P440">
            <v>1</v>
          </cell>
          <cell r="Q440">
            <v>0</v>
          </cell>
          <cell r="R440">
            <v>0</v>
          </cell>
          <cell r="S440">
            <v>0</v>
          </cell>
        </row>
        <row r="441">
          <cell r="D441" t="str">
            <v>Horizon Anker Meander 2 gebouw A</v>
          </cell>
          <cell r="E441" t="str">
            <v>1e</v>
          </cell>
          <cell r="F441" t="str">
            <v>A1.428</v>
          </cell>
          <cell r="G441" t="str">
            <v>Sluis</v>
          </cell>
          <cell r="H441" t="str">
            <v>entree, gang, hal, repro, kopieer, was/droogruimte</v>
          </cell>
          <cell r="I441" t="str">
            <v>Steen</v>
          </cell>
          <cell r="J441">
            <v>8.6999999999999993</v>
          </cell>
          <cell r="K441"/>
          <cell r="L441">
            <v>3153</v>
          </cell>
          <cell r="M441">
            <v>103</v>
          </cell>
          <cell r="N441"/>
          <cell r="O441">
            <v>153</v>
          </cell>
          <cell r="P441">
            <v>1</v>
          </cell>
          <cell r="Q441">
            <v>0</v>
          </cell>
          <cell r="R441">
            <v>0</v>
          </cell>
          <cell r="S441">
            <v>0</v>
          </cell>
        </row>
        <row r="442">
          <cell r="D442" t="str">
            <v>Horizon Anker Meander 2 gebouw A</v>
          </cell>
          <cell r="E442" t="str">
            <v>1e</v>
          </cell>
          <cell r="F442" t="str">
            <v>A1.429</v>
          </cell>
          <cell r="G442" t="str">
            <v>Loggia</v>
          </cell>
          <cell r="H442" t="str">
            <v>niet van toepassing</v>
          </cell>
          <cell r="I442"/>
          <cell r="J442"/>
          <cell r="K442"/>
          <cell r="L442" t="str">
            <v>nvt</v>
          </cell>
          <cell r="M442">
            <v>0</v>
          </cell>
          <cell r="N442"/>
          <cell r="O442">
            <v>0</v>
          </cell>
          <cell r="P442">
            <v>1</v>
          </cell>
          <cell r="Q442">
            <v>0</v>
          </cell>
          <cell r="R442">
            <v>0</v>
          </cell>
          <cell r="S442">
            <v>0</v>
          </cell>
        </row>
        <row r="443">
          <cell r="D443" t="str">
            <v>Horizon Anker Meander 2 gebouw A</v>
          </cell>
          <cell r="E443" t="str">
            <v>1e</v>
          </cell>
          <cell r="F443" t="str">
            <v>A1.430</v>
          </cell>
          <cell r="G443" t="str">
            <v>Afzondering</v>
          </cell>
          <cell r="H443" t="str">
            <v>aula, gemeenschappelijke ruimte, bibliotheek</v>
          </cell>
          <cell r="I443" t="str">
            <v>Linoleum</v>
          </cell>
          <cell r="J443">
            <v>9.6999999999999993</v>
          </cell>
          <cell r="K443"/>
          <cell r="L443">
            <v>2153</v>
          </cell>
          <cell r="M443">
            <v>102</v>
          </cell>
          <cell r="N443"/>
          <cell r="O443">
            <v>153</v>
          </cell>
          <cell r="P443">
            <v>1</v>
          </cell>
          <cell r="Q443">
            <v>0</v>
          </cell>
          <cell r="R443">
            <v>0</v>
          </cell>
          <cell r="S443">
            <v>0</v>
          </cell>
        </row>
        <row r="444">
          <cell r="D444" t="str">
            <v>Horizon Anker Meander 2 gebouw A</v>
          </cell>
          <cell r="E444" t="str">
            <v>1e</v>
          </cell>
          <cell r="F444" t="str">
            <v>A1.431</v>
          </cell>
          <cell r="G444" t="str">
            <v xml:space="preserve">Badkamer </v>
          </cell>
          <cell r="H444" t="str">
            <v>sanitaire ruimte (toilet-/doucheruimte)</v>
          </cell>
          <cell r="I444" t="str">
            <v>Tegels</v>
          </cell>
          <cell r="J444">
            <v>5.0999999999999996</v>
          </cell>
          <cell r="K444"/>
          <cell r="L444">
            <v>4255</v>
          </cell>
          <cell r="M444">
            <v>104</v>
          </cell>
          <cell r="N444"/>
          <cell r="O444">
            <v>255</v>
          </cell>
          <cell r="P444">
            <v>1</v>
          </cell>
          <cell r="Q444">
            <v>0</v>
          </cell>
          <cell r="R444">
            <v>0</v>
          </cell>
          <cell r="S444">
            <v>0</v>
          </cell>
        </row>
        <row r="445">
          <cell r="D445" t="str">
            <v>Horizon Anker Meander 2 gebouw A</v>
          </cell>
          <cell r="E445" t="str">
            <v>1e</v>
          </cell>
          <cell r="F445" t="str">
            <v>A1.432</v>
          </cell>
          <cell r="G445" t="str">
            <v>kast</v>
          </cell>
          <cell r="H445" t="str">
            <v>niet van toepassing</v>
          </cell>
          <cell r="I445"/>
          <cell r="J445"/>
          <cell r="K445"/>
          <cell r="L445" t="str">
            <v>nvt</v>
          </cell>
          <cell r="M445">
            <v>0</v>
          </cell>
          <cell r="N445"/>
          <cell r="O445">
            <v>0</v>
          </cell>
          <cell r="P445">
            <v>1</v>
          </cell>
          <cell r="Q445">
            <v>0</v>
          </cell>
          <cell r="R445">
            <v>0</v>
          </cell>
          <cell r="S445">
            <v>0</v>
          </cell>
        </row>
        <row r="446">
          <cell r="D446" t="str">
            <v>Horizon Anker School gebouw A</v>
          </cell>
          <cell r="E446" t="str">
            <v>1e</v>
          </cell>
          <cell r="F446" t="str">
            <v>A1.433</v>
          </cell>
          <cell r="G446" t="str">
            <v>Onderwijs RT ruimte</v>
          </cell>
          <cell r="H446" t="str">
            <v>niet van toepassing</v>
          </cell>
          <cell r="I446"/>
          <cell r="J446"/>
          <cell r="K446"/>
          <cell r="L446" t="str">
            <v>nvt</v>
          </cell>
          <cell r="M446">
            <v>0</v>
          </cell>
          <cell r="N446"/>
          <cell r="O446">
            <v>0</v>
          </cell>
          <cell r="P446">
            <v>1</v>
          </cell>
          <cell r="Q446">
            <v>0</v>
          </cell>
          <cell r="R446">
            <v>0</v>
          </cell>
          <cell r="S446">
            <v>0</v>
          </cell>
        </row>
        <row r="447">
          <cell r="D447" t="str">
            <v>Horizon Anker Tuinkantoor gebouw S</v>
          </cell>
          <cell r="E447" t="str">
            <v>bgg</v>
          </cell>
          <cell r="F447"/>
          <cell r="G447" t="str">
            <v>kantoor</v>
          </cell>
          <cell r="H447" t="str">
            <v>niet van toepassing</v>
          </cell>
          <cell r="I447" t="str">
            <v>Tapijt</v>
          </cell>
          <cell r="J447"/>
          <cell r="K447">
            <v>18.3</v>
          </cell>
          <cell r="L447" t="str">
            <v>nvt</v>
          </cell>
          <cell r="M447">
            <v>0</v>
          </cell>
          <cell r="N447"/>
          <cell r="O447">
            <v>0</v>
          </cell>
          <cell r="P447">
            <v>1</v>
          </cell>
          <cell r="Q447">
            <v>0</v>
          </cell>
          <cell r="R447">
            <v>0</v>
          </cell>
          <cell r="S447">
            <v>0</v>
          </cell>
        </row>
        <row r="448">
          <cell r="D448" t="str">
            <v>Horizon Anker Tuinkantoor gebouw S</v>
          </cell>
          <cell r="E448" t="str">
            <v>bgg</v>
          </cell>
          <cell r="F448"/>
          <cell r="G448" t="str">
            <v>kantoor</v>
          </cell>
          <cell r="H448" t="str">
            <v>niet van toepassing</v>
          </cell>
          <cell r="I448" t="str">
            <v>Tapijt</v>
          </cell>
          <cell r="J448"/>
          <cell r="K448">
            <v>18.28</v>
          </cell>
          <cell r="L448" t="str">
            <v>nvt</v>
          </cell>
          <cell r="M448">
            <v>0</v>
          </cell>
          <cell r="N448"/>
          <cell r="O448">
            <v>0</v>
          </cell>
          <cell r="P448">
            <v>1</v>
          </cell>
          <cell r="Q448">
            <v>0</v>
          </cell>
          <cell r="R448">
            <v>0</v>
          </cell>
          <cell r="S448">
            <v>0</v>
          </cell>
        </row>
        <row r="449">
          <cell r="D449" t="str">
            <v>Horizon Anker Tuinkantoor gebouw S</v>
          </cell>
          <cell r="E449" t="str">
            <v>bgg</v>
          </cell>
          <cell r="F449"/>
          <cell r="G449" t="str">
            <v>kantoor</v>
          </cell>
          <cell r="H449" t="str">
            <v>niet van toepassing</v>
          </cell>
          <cell r="I449" t="str">
            <v>Tapijt</v>
          </cell>
          <cell r="J449"/>
          <cell r="K449">
            <v>18.329999999999998</v>
          </cell>
          <cell r="L449" t="str">
            <v>nvt</v>
          </cell>
          <cell r="M449">
            <v>0</v>
          </cell>
          <cell r="N449"/>
          <cell r="O449">
            <v>0</v>
          </cell>
          <cell r="P449">
            <v>1</v>
          </cell>
          <cell r="Q449">
            <v>0</v>
          </cell>
          <cell r="R449">
            <v>0</v>
          </cell>
          <cell r="S449">
            <v>0</v>
          </cell>
        </row>
        <row r="450">
          <cell r="D450" t="str">
            <v>Horizon Anker Tuinkantoor gebouw S</v>
          </cell>
          <cell r="E450" t="str">
            <v>bgg</v>
          </cell>
          <cell r="F450"/>
          <cell r="G450" t="str">
            <v>kantoor</v>
          </cell>
          <cell r="H450" t="str">
            <v>niet van toepassing</v>
          </cell>
          <cell r="I450" t="str">
            <v>Tapijt</v>
          </cell>
          <cell r="J450"/>
          <cell r="K450">
            <v>18.28</v>
          </cell>
          <cell r="L450" t="str">
            <v>nvt</v>
          </cell>
          <cell r="M450">
            <v>0</v>
          </cell>
          <cell r="N450"/>
          <cell r="O450">
            <v>0</v>
          </cell>
          <cell r="P450">
            <v>1</v>
          </cell>
          <cell r="Q450">
            <v>0</v>
          </cell>
          <cell r="R450">
            <v>0</v>
          </cell>
          <cell r="S450">
            <v>0</v>
          </cell>
        </row>
        <row r="451">
          <cell r="D451" t="str">
            <v>Horizon Anker Tuinkantoor gebouw S</v>
          </cell>
          <cell r="E451" t="str">
            <v>bgg</v>
          </cell>
          <cell r="F451"/>
          <cell r="G451" t="str">
            <v>kantoor</v>
          </cell>
          <cell r="H451" t="str">
            <v>niet van toepassing</v>
          </cell>
          <cell r="I451" t="str">
            <v>Tapijt</v>
          </cell>
          <cell r="J451"/>
          <cell r="K451">
            <v>20</v>
          </cell>
          <cell r="L451" t="str">
            <v>nvt</v>
          </cell>
          <cell r="M451">
            <v>0</v>
          </cell>
          <cell r="N451"/>
          <cell r="O451">
            <v>0</v>
          </cell>
          <cell r="P451">
            <v>1</v>
          </cell>
          <cell r="Q451">
            <v>0</v>
          </cell>
          <cell r="R451">
            <v>0</v>
          </cell>
          <cell r="S451">
            <v>0</v>
          </cell>
        </row>
        <row r="452">
          <cell r="D452" t="str">
            <v>Horizon Anker Tuinkantoor gebouw S</v>
          </cell>
          <cell r="E452" t="str">
            <v>bgg</v>
          </cell>
          <cell r="F452"/>
          <cell r="G452" t="str">
            <v>kantoor</v>
          </cell>
          <cell r="H452" t="str">
            <v>niet van toepassing</v>
          </cell>
          <cell r="I452" t="str">
            <v>Tapijt</v>
          </cell>
          <cell r="J452"/>
          <cell r="K452">
            <v>12.05</v>
          </cell>
          <cell r="L452" t="str">
            <v>nvt</v>
          </cell>
          <cell r="M452">
            <v>0</v>
          </cell>
          <cell r="N452"/>
          <cell r="O452">
            <v>0</v>
          </cell>
          <cell r="P452">
            <v>1</v>
          </cell>
          <cell r="Q452">
            <v>0</v>
          </cell>
          <cell r="R452">
            <v>0</v>
          </cell>
          <cell r="S452">
            <v>0</v>
          </cell>
        </row>
        <row r="453">
          <cell r="D453" t="str">
            <v>Horizon Anker Tuinkantoor gebouw S</v>
          </cell>
          <cell r="E453" t="str">
            <v>bgg</v>
          </cell>
          <cell r="F453"/>
          <cell r="G453" t="str">
            <v>Pantry</v>
          </cell>
          <cell r="H453" t="str">
            <v>op afroep</v>
          </cell>
          <cell r="I453" t="str">
            <v>Linoleum</v>
          </cell>
          <cell r="J453">
            <v>11.03</v>
          </cell>
          <cell r="K453"/>
          <cell r="L453" t="str">
            <v>op afroep</v>
          </cell>
          <cell r="M453">
            <v>0</v>
          </cell>
          <cell r="N453"/>
          <cell r="O453">
            <v>0</v>
          </cell>
          <cell r="P453">
            <v>1</v>
          </cell>
          <cell r="Q453">
            <v>0</v>
          </cell>
          <cell r="R453">
            <v>0</v>
          </cell>
          <cell r="S453">
            <v>0</v>
          </cell>
        </row>
        <row r="454">
          <cell r="D454" t="str">
            <v>Horizon Anker Tuinkantoor gebouw S</v>
          </cell>
          <cell r="E454" t="str">
            <v>bgg</v>
          </cell>
          <cell r="F454"/>
          <cell r="G454" t="str">
            <v>dames wc</v>
          </cell>
          <cell r="H454" t="str">
            <v>op afroep</v>
          </cell>
          <cell r="I454" t="str">
            <v>Linoleum</v>
          </cell>
          <cell r="J454">
            <v>1.82</v>
          </cell>
          <cell r="K454"/>
          <cell r="L454" t="str">
            <v>op afroep</v>
          </cell>
          <cell r="M454">
            <v>0</v>
          </cell>
          <cell r="N454"/>
          <cell r="O454">
            <v>0</v>
          </cell>
          <cell r="P454">
            <v>1</v>
          </cell>
          <cell r="Q454">
            <v>0</v>
          </cell>
          <cell r="R454">
            <v>0</v>
          </cell>
          <cell r="S454">
            <v>0</v>
          </cell>
        </row>
        <row r="455">
          <cell r="D455" t="str">
            <v>Horizon Anker Tuinkantoor gebouw S</v>
          </cell>
          <cell r="E455" t="str">
            <v>bgg</v>
          </cell>
          <cell r="F455"/>
          <cell r="G455" t="str">
            <v xml:space="preserve">heren wc </v>
          </cell>
          <cell r="H455" t="str">
            <v>op afroep</v>
          </cell>
          <cell r="I455" t="str">
            <v>Linoleum</v>
          </cell>
          <cell r="J455">
            <v>1.84</v>
          </cell>
          <cell r="K455"/>
          <cell r="L455" t="str">
            <v>op afroep</v>
          </cell>
          <cell r="M455">
            <v>0</v>
          </cell>
          <cell r="N455"/>
          <cell r="O455">
            <v>0</v>
          </cell>
          <cell r="P455">
            <v>1</v>
          </cell>
          <cell r="Q455">
            <v>0</v>
          </cell>
          <cell r="R455">
            <v>0</v>
          </cell>
          <cell r="S455">
            <v>0</v>
          </cell>
        </row>
        <row r="456">
          <cell r="D456" t="str">
            <v>Horizon Anker Tuinkantoor gebouw S</v>
          </cell>
          <cell r="E456" t="str">
            <v>bgg</v>
          </cell>
          <cell r="F456"/>
          <cell r="G456" t="str">
            <v>cv berg</v>
          </cell>
          <cell r="H456" t="str">
            <v>niet van toepassing</v>
          </cell>
          <cell r="I456"/>
          <cell r="J456"/>
          <cell r="K456"/>
          <cell r="L456" t="str">
            <v>nvt</v>
          </cell>
          <cell r="M456">
            <v>0</v>
          </cell>
          <cell r="N456"/>
          <cell r="O456">
            <v>0</v>
          </cell>
          <cell r="P456">
            <v>1</v>
          </cell>
          <cell r="Q456">
            <v>0</v>
          </cell>
          <cell r="R456">
            <v>0</v>
          </cell>
          <cell r="S456">
            <v>0</v>
          </cell>
        </row>
        <row r="457">
          <cell r="D457" t="str">
            <v>Horizon Anker Tuinkantoor gebouw S</v>
          </cell>
          <cell r="E457" t="str">
            <v>bgg</v>
          </cell>
          <cell r="F457"/>
          <cell r="G457" t="str">
            <v>vergaderruimte</v>
          </cell>
          <cell r="H457" t="str">
            <v>op afroep</v>
          </cell>
          <cell r="I457" t="str">
            <v>Tapijt</v>
          </cell>
          <cell r="J457">
            <v>14.18</v>
          </cell>
          <cell r="K457"/>
          <cell r="L457" t="str">
            <v>op afroep</v>
          </cell>
          <cell r="M457">
            <v>0</v>
          </cell>
          <cell r="N457"/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</row>
        <row r="458">
          <cell r="D458" t="str">
            <v>Horizon Anker Tuinkantoor gebouw S</v>
          </cell>
          <cell r="E458" t="str">
            <v>bgg</v>
          </cell>
          <cell r="F458"/>
          <cell r="G458" t="str">
            <v>receptie supervisie</v>
          </cell>
          <cell r="H458" t="str">
            <v>op afroep</v>
          </cell>
          <cell r="I458" t="str">
            <v>Tapijt</v>
          </cell>
          <cell r="J458">
            <v>12.16</v>
          </cell>
          <cell r="K458"/>
          <cell r="L458" t="str">
            <v>op afroep</v>
          </cell>
          <cell r="M458">
            <v>0</v>
          </cell>
          <cell r="N458"/>
          <cell r="O458">
            <v>0</v>
          </cell>
          <cell r="P458">
            <v>1</v>
          </cell>
          <cell r="Q458">
            <v>0</v>
          </cell>
          <cell r="R458">
            <v>0</v>
          </cell>
          <cell r="S458">
            <v>0</v>
          </cell>
        </row>
        <row r="459">
          <cell r="D459" t="str">
            <v>Horizon Anker Tuinkantoor gebouw S</v>
          </cell>
          <cell r="E459" t="str">
            <v>bgg</v>
          </cell>
          <cell r="F459"/>
          <cell r="G459" t="str">
            <v>Gang</v>
          </cell>
          <cell r="H459" t="str">
            <v>niet van toepassing</v>
          </cell>
          <cell r="I459" t="str">
            <v>Tapijt</v>
          </cell>
          <cell r="J459"/>
          <cell r="K459">
            <v>36.200000000000003</v>
          </cell>
          <cell r="L459" t="str">
            <v>nvt</v>
          </cell>
          <cell r="M459">
            <v>0</v>
          </cell>
          <cell r="N459"/>
          <cell r="O459">
            <v>0</v>
          </cell>
          <cell r="P459">
            <v>1</v>
          </cell>
          <cell r="Q459">
            <v>0</v>
          </cell>
          <cell r="R459">
            <v>0</v>
          </cell>
          <cell r="S459">
            <v>0</v>
          </cell>
        </row>
        <row r="460">
          <cell r="D460" t="str">
            <v>Horizon Prisma Atlantis 1 gebouw C</v>
          </cell>
          <cell r="E460" t="str">
            <v>bgg</v>
          </cell>
          <cell r="F460" t="str">
            <v>C0.001</v>
          </cell>
          <cell r="G460" t="str">
            <v>hal</v>
          </cell>
          <cell r="H460" t="str">
            <v>entree, gang, hal, repro, kopieer, was/droogruimte</v>
          </cell>
          <cell r="I460" t="str">
            <v>Linoleum</v>
          </cell>
          <cell r="J460">
            <v>22.2</v>
          </cell>
          <cell r="K460"/>
          <cell r="L460">
            <v>3153</v>
          </cell>
          <cell r="M460">
            <v>103</v>
          </cell>
          <cell r="N460"/>
          <cell r="O460">
            <v>153</v>
          </cell>
          <cell r="P460">
            <v>1</v>
          </cell>
          <cell r="Q460">
            <v>0</v>
          </cell>
          <cell r="R460">
            <v>0</v>
          </cell>
          <cell r="S460">
            <v>0</v>
          </cell>
        </row>
        <row r="461">
          <cell r="D461" t="str">
            <v>Horizon Prisma Atlantis 1 gebouw C</v>
          </cell>
          <cell r="E461" t="str">
            <v>bgg</v>
          </cell>
          <cell r="F461" t="str">
            <v>C0.002</v>
          </cell>
          <cell r="G461" t="str">
            <v>trap</v>
          </cell>
          <cell r="H461" t="str">
            <v>trappenhuis</v>
          </cell>
          <cell r="I461" t="str">
            <v>Steen</v>
          </cell>
          <cell r="J461">
            <v>10</v>
          </cell>
          <cell r="K461"/>
          <cell r="L461">
            <v>9153</v>
          </cell>
          <cell r="M461">
            <v>109</v>
          </cell>
          <cell r="N461"/>
          <cell r="O461">
            <v>153</v>
          </cell>
          <cell r="P461">
            <v>1</v>
          </cell>
          <cell r="Q461">
            <v>0</v>
          </cell>
          <cell r="R461">
            <v>0</v>
          </cell>
          <cell r="S461">
            <v>0</v>
          </cell>
        </row>
        <row r="462">
          <cell r="D462" t="str">
            <v>Horizon Prisma Atlantis 1 gebouw C</v>
          </cell>
          <cell r="E462" t="str">
            <v>bgg</v>
          </cell>
          <cell r="F462" t="str">
            <v>C0.003</v>
          </cell>
          <cell r="G462" t="str">
            <v>washok</v>
          </cell>
          <cell r="H462" t="str">
            <v>sanitaire ruimte (toilet-/doucheruimte)</v>
          </cell>
          <cell r="I462" t="str">
            <v>Steen</v>
          </cell>
          <cell r="J462">
            <v>9.5</v>
          </cell>
          <cell r="K462"/>
          <cell r="L462">
            <v>4255</v>
          </cell>
          <cell r="M462">
            <v>104</v>
          </cell>
          <cell r="N462"/>
          <cell r="O462">
            <v>255</v>
          </cell>
          <cell r="P462">
            <v>1</v>
          </cell>
          <cell r="Q462">
            <v>0</v>
          </cell>
          <cell r="R462">
            <v>0</v>
          </cell>
          <cell r="S462">
            <v>0</v>
          </cell>
        </row>
        <row r="463">
          <cell r="D463" t="str">
            <v>Horizon Prisma Atlantis 1 gebouw C</v>
          </cell>
          <cell r="E463" t="str">
            <v>bgg</v>
          </cell>
          <cell r="F463" t="str">
            <v>C0.004</v>
          </cell>
          <cell r="G463" t="str">
            <v>hobby-fietsenruimte</v>
          </cell>
          <cell r="H463" t="str">
            <v>niet van toepassing</v>
          </cell>
          <cell r="I463"/>
          <cell r="J463"/>
          <cell r="K463"/>
          <cell r="L463" t="str">
            <v>nvt</v>
          </cell>
          <cell r="M463">
            <v>0</v>
          </cell>
          <cell r="N463"/>
          <cell r="O463">
            <v>0</v>
          </cell>
          <cell r="P463">
            <v>1</v>
          </cell>
          <cell r="Q463">
            <v>0</v>
          </cell>
          <cell r="R463">
            <v>0</v>
          </cell>
          <cell r="S463">
            <v>0</v>
          </cell>
        </row>
        <row r="464">
          <cell r="D464" t="str">
            <v>Horizon Prisma Atlantis 1 gebouw C</v>
          </cell>
          <cell r="E464" t="str">
            <v>bgg</v>
          </cell>
          <cell r="F464" t="str">
            <v>C0.005</v>
          </cell>
          <cell r="G464" t="str">
            <v>team-kamer</v>
          </cell>
          <cell r="H464" t="str">
            <v>administratieve -, personeels- en vergaderruimte</v>
          </cell>
          <cell r="I464" t="str">
            <v>Tapijt</v>
          </cell>
          <cell r="J464">
            <v>24</v>
          </cell>
          <cell r="K464"/>
          <cell r="L464">
            <v>1153</v>
          </cell>
          <cell r="M464">
            <v>101</v>
          </cell>
          <cell r="N464"/>
          <cell r="O464">
            <v>153</v>
          </cell>
          <cell r="P464">
            <v>1</v>
          </cell>
          <cell r="Q464">
            <v>0</v>
          </cell>
          <cell r="R464">
            <v>0</v>
          </cell>
          <cell r="S464">
            <v>0</v>
          </cell>
        </row>
        <row r="465">
          <cell r="D465" t="str">
            <v>Horizon Prisma Atlantis 1 gebouw C</v>
          </cell>
          <cell r="E465" t="str">
            <v>bgg</v>
          </cell>
          <cell r="F465" t="str">
            <v>C0.006</v>
          </cell>
          <cell r="G465" t="str">
            <v>woonkamer</v>
          </cell>
          <cell r="H465" t="str">
            <v>aula, gemeenschappelijke ruimte, bibliotheek</v>
          </cell>
          <cell r="I465" t="str">
            <v>pvc</v>
          </cell>
          <cell r="J465">
            <v>112.4</v>
          </cell>
          <cell r="K465"/>
          <cell r="L465">
            <v>2153</v>
          </cell>
          <cell r="M465">
            <v>102</v>
          </cell>
          <cell r="N465"/>
          <cell r="O465">
            <v>153</v>
          </cell>
          <cell r="P465">
            <v>1</v>
          </cell>
          <cell r="Q465">
            <v>0</v>
          </cell>
          <cell r="R465">
            <v>0</v>
          </cell>
          <cell r="S465">
            <v>0</v>
          </cell>
        </row>
        <row r="466">
          <cell r="D466" t="str">
            <v>Horizon Prisma Atlantis 1 gebouw C</v>
          </cell>
          <cell r="E466" t="str">
            <v>bgg</v>
          </cell>
          <cell r="F466" t="str">
            <v>C0.007</v>
          </cell>
          <cell r="G466" t="str">
            <v>Kast</v>
          </cell>
          <cell r="H466" t="str">
            <v>niet van toepassing</v>
          </cell>
          <cell r="I466"/>
          <cell r="J466"/>
          <cell r="K466"/>
          <cell r="L466" t="str">
            <v>nvt</v>
          </cell>
          <cell r="M466">
            <v>0</v>
          </cell>
          <cell r="N466"/>
          <cell r="O466">
            <v>0</v>
          </cell>
          <cell r="P466">
            <v>1</v>
          </cell>
          <cell r="Q466">
            <v>0</v>
          </cell>
          <cell r="R466">
            <v>0</v>
          </cell>
          <cell r="S466">
            <v>0</v>
          </cell>
        </row>
        <row r="467">
          <cell r="D467" t="str">
            <v>Horizon Prisma Atlantis 1 gebouw C</v>
          </cell>
          <cell r="E467" t="str">
            <v>bgg</v>
          </cell>
          <cell r="F467" t="str">
            <v>C0.008</v>
          </cell>
          <cell r="G467" t="str">
            <v>keuken (keuken)</v>
          </cell>
          <cell r="H467" t="str">
            <v>Keuken</v>
          </cell>
          <cell r="I467" t="str">
            <v>Tegels</v>
          </cell>
          <cell r="J467">
            <v>18.3</v>
          </cell>
          <cell r="K467"/>
          <cell r="L467">
            <v>18255</v>
          </cell>
          <cell r="M467" t="str">
            <v>nvt</v>
          </cell>
          <cell r="N467"/>
          <cell r="O467">
            <v>255</v>
          </cell>
          <cell r="P467">
            <v>1</v>
          </cell>
          <cell r="Q467">
            <v>0</v>
          </cell>
          <cell r="R467">
            <v>0</v>
          </cell>
          <cell r="S467">
            <v>0</v>
          </cell>
        </row>
        <row r="468">
          <cell r="D468" t="str">
            <v>Horizon Prisma Atlantis 1 gebouw C</v>
          </cell>
          <cell r="E468" t="str">
            <v>1e</v>
          </cell>
          <cell r="F468" t="str">
            <v>C0.009</v>
          </cell>
          <cell r="G468" t="str">
            <v>Cv ruimte</v>
          </cell>
          <cell r="H468" t="str">
            <v>niet van toepassing</v>
          </cell>
          <cell r="I468"/>
          <cell r="J468"/>
          <cell r="K468"/>
          <cell r="L468" t="str">
            <v>nvt</v>
          </cell>
          <cell r="M468">
            <v>0</v>
          </cell>
          <cell r="N468"/>
          <cell r="O468">
            <v>0</v>
          </cell>
          <cell r="P468">
            <v>1</v>
          </cell>
          <cell r="Q468">
            <v>0</v>
          </cell>
          <cell r="R468">
            <v>0</v>
          </cell>
          <cell r="S468">
            <v>0</v>
          </cell>
        </row>
        <row r="469">
          <cell r="D469" t="str">
            <v>Horizon Prisma Atlantis 1 gebouw C</v>
          </cell>
          <cell r="E469" t="str">
            <v>bgg</v>
          </cell>
          <cell r="F469" t="str">
            <v>C0.010</v>
          </cell>
          <cell r="G469" t="str">
            <v>bijkeuken</v>
          </cell>
          <cell r="H469" t="str">
            <v>Keuken</v>
          </cell>
          <cell r="I469" t="str">
            <v>Tegels</v>
          </cell>
          <cell r="J469">
            <v>4.8</v>
          </cell>
          <cell r="K469"/>
          <cell r="L469">
            <v>18153</v>
          </cell>
          <cell r="M469" t="str">
            <v>nvt</v>
          </cell>
          <cell r="N469"/>
          <cell r="O469">
            <v>153</v>
          </cell>
          <cell r="P469">
            <v>1</v>
          </cell>
          <cell r="Q469">
            <v>0</v>
          </cell>
          <cell r="R469">
            <v>0</v>
          </cell>
          <cell r="S469">
            <v>0</v>
          </cell>
        </row>
        <row r="470">
          <cell r="D470" t="str">
            <v>Horizon Prisma Atlantis 1 gebouw C</v>
          </cell>
          <cell r="E470" t="str">
            <v>bgg</v>
          </cell>
          <cell r="F470" t="str">
            <v>C0.011</v>
          </cell>
          <cell r="G470" t="str">
            <v>Toilet</v>
          </cell>
          <cell r="H470" t="str">
            <v>sanitaire ruimte (toilet-/doucheruimte)</v>
          </cell>
          <cell r="I470" t="str">
            <v>Tegels</v>
          </cell>
          <cell r="J470">
            <v>1.4</v>
          </cell>
          <cell r="K470"/>
          <cell r="L470">
            <v>4255</v>
          </cell>
          <cell r="M470">
            <v>104</v>
          </cell>
          <cell r="N470"/>
          <cell r="O470">
            <v>255</v>
          </cell>
          <cell r="P470">
            <v>1</v>
          </cell>
          <cell r="Q470">
            <v>0</v>
          </cell>
          <cell r="R470">
            <v>0</v>
          </cell>
          <cell r="S470">
            <v>0</v>
          </cell>
        </row>
        <row r="471">
          <cell r="D471" t="str">
            <v>Horizon Prisma Atlantis 1 gebouw C</v>
          </cell>
          <cell r="E471" t="str">
            <v>bgg</v>
          </cell>
          <cell r="F471" t="str">
            <v>C0.012</v>
          </cell>
          <cell r="G471" t="str">
            <v>Toilet</v>
          </cell>
          <cell r="H471" t="str">
            <v>sanitaire ruimte (toilet-/doucheruimte)</v>
          </cell>
          <cell r="I471" t="str">
            <v>Tegels</v>
          </cell>
          <cell r="J471">
            <v>1.4</v>
          </cell>
          <cell r="K471"/>
          <cell r="L471">
            <v>4255</v>
          </cell>
          <cell r="M471">
            <v>104</v>
          </cell>
          <cell r="N471"/>
          <cell r="O471">
            <v>255</v>
          </cell>
          <cell r="P471">
            <v>1</v>
          </cell>
          <cell r="Q471">
            <v>0</v>
          </cell>
          <cell r="R471">
            <v>0</v>
          </cell>
          <cell r="S471">
            <v>0</v>
          </cell>
        </row>
        <row r="472">
          <cell r="D472" t="str">
            <v>Horizon Prisma Atlantis 1 gebouw C</v>
          </cell>
          <cell r="E472" t="str">
            <v>bgg</v>
          </cell>
          <cell r="F472" t="str">
            <v>C0.014</v>
          </cell>
          <cell r="G472" t="str">
            <v xml:space="preserve">toilet </v>
          </cell>
          <cell r="H472" t="str">
            <v>sanitaire ruimte (toilet-/doucheruimte)</v>
          </cell>
          <cell r="I472" t="str">
            <v>Tegels</v>
          </cell>
          <cell r="J472">
            <v>4.5999999999999996</v>
          </cell>
          <cell r="K472"/>
          <cell r="L472">
            <v>4255</v>
          </cell>
          <cell r="M472">
            <v>104</v>
          </cell>
          <cell r="N472"/>
          <cell r="O472">
            <v>255</v>
          </cell>
          <cell r="P472">
            <v>1</v>
          </cell>
          <cell r="Q472">
            <v>0</v>
          </cell>
          <cell r="R472">
            <v>0</v>
          </cell>
          <cell r="S472">
            <v>0</v>
          </cell>
        </row>
        <row r="473">
          <cell r="D473" t="str">
            <v>Horizon Prisma Atlantis 1 gebouw C</v>
          </cell>
          <cell r="E473" t="str">
            <v>bgg</v>
          </cell>
          <cell r="F473" t="str">
            <v>C0.015</v>
          </cell>
          <cell r="G473" t="str">
            <v>badkamer</v>
          </cell>
          <cell r="H473" t="str">
            <v>sanitaire ruimte (toilet-/doucheruimte)</v>
          </cell>
          <cell r="I473" t="str">
            <v>Tegels</v>
          </cell>
          <cell r="J473">
            <v>10.1</v>
          </cell>
          <cell r="K473"/>
          <cell r="L473">
            <v>4255</v>
          </cell>
          <cell r="M473">
            <v>104</v>
          </cell>
          <cell r="N473"/>
          <cell r="O473">
            <v>255</v>
          </cell>
          <cell r="P473">
            <v>1</v>
          </cell>
          <cell r="Q473">
            <v>0</v>
          </cell>
          <cell r="R473">
            <v>0</v>
          </cell>
          <cell r="S473">
            <v>0</v>
          </cell>
        </row>
        <row r="474">
          <cell r="D474" t="str">
            <v>Horizon Prisma Atlantis 1 gebouw C</v>
          </cell>
          <cell r="E474" t="str">
            <v>bgg</v>
          </cell>
          <cell r="F474" t="str">
            <v>C0.016</v>
          </cell>
          <cell r="G474" t="str">
            <v>isoleer</v>
          </cell>
          <cell r="H474" t="str">
            <v>op afroep</v>
          </cell>
          <cell r="I474" t="str">
            <v>Linoleum</v>
          </cell>
          <cell r="J474">
            <v>10.1</v>
          </cell>
          <cell r="K474"/>
          <cell r="L474" t="str">
            <v>op afroep</v>
          </cell>
          <cell r="M474">
            <v>0</v>
          </cell>
          <cell r="N474"/>
          <cell r="O474">
            <v>0</v>
          </cell>
          <cell r="P474">
            <v>1</v>
          </cell>
          <cell r="Q474">
            <v>0</v>
          </cell>
          <cell r="R474">
            <v>0</v>
          </cell>
          <cell r="S474">
            <v>0</v>
          </cell>
        </row>
        <row r="475">
          <cell r="D475" t="str">
            <v>Horizon Prisma Atlantis 1 gebouw C</v>
          </cell>
          <cell r="E475" t="str">
            <v>bgg</v>
          </cell>
          <cell r="F475" t="str">
            <v>C0.101</v>
          </cell>
          <cell r="G475" t="str">
            <v>hal</v>
          </cell>
          <cell r="H475" t="str">
            <v>entree, gang, hal, repro, kopieer, was/droogruimte</v>
          </cell>
          <cell r="I475" t="str">
            <v>Linoleum</v>
          </cell>
          <cell r="J475">
            <v>6.9</v>
          </cell>
          <cell r="K475"/>
          <cell r="L475">
            <v>3153</v>
          </cell>
          <cell r="M475">
            <v>103</v>
          </cell>
          <cell r="N475"/>
          <cell r="O475">
            <v>153</v>
          </cell>
          <cell r="P475">
            <v>1</v>
          </cell>
          <cell r="Q475">
            <v>0</v>
          </cell>
          <cell r="R475">
            <v>0</v>
          </cell>
          <cell r="S475">
            <v>0</v>
          </cell>
        </row>
        <row r="476">
          <cell r="D476" t="str">
            <v>Horizon Prisma Atlantis 2 gebouw C</v>
          </cell>
          <cell r="E476" t="str">
            <v>bgg</v>
          </cell>
          <cell r="F476" t="str">
            <v>C0.102</v>
          </cell>
          <cell r="G476" t="str">
            <v>trap</v>
          </cell>
          <cell r="H476" t="str">
            <v>trappenhuis</v>
          </cell>
          <cell r="I476" t="str">
            <v>Steen</v>
          </cell>
          <cell r="J476">
            <v>9.6</v>
          </cell>
          <cell r="K476"/>
          <cell r="L476">
            <v>9153</v>
          </cell>
          <cell r="M476">
            <v>109</v>
          </cell>
          <cell r="N476"/>
          <cell r="O476">
            <v>153</v>
          </cell>
          <cell r="P476">
            <v>1</v>
          </cell>
          <cell r="Q476">
            <v>0</v>
          </cell>
          <cell r="R476">
            <v>0</v>
          </cell>
          <cell r="S476">
            <v>0</v>
          </cell>
        </row>
        <row r="477">
          <cell r="D477" t="str">
            <v>Horizon Prisma Atlantis 2 gebouw C</v>
          </cell>
          <cell r="E477" t="str">
            <v>bgg</v>
          </cell>
          <cell r="F477" t="str">
            <v>C0.103</v>
          </cell>
          <cell r="G477" t="str">
            <v>washok</v>
          </cell>
          <cell r="H477" t="str">
            <v>sanitaire ruimte (toilet-/doucheruimte)</v>
          </cell>
          <cell r="I477" t="str">
            <v>Tegels</v>
          </cell>
          <cell r="J477">
            <v>9.5</v>
          </cell>
          <cell r="K477"/>
          <cell r="L477">
            <v>4255</v>
          </cell>
          <cell r="M477">
            <v>104</v>
          </cell>
          <cell r="N477"/>
          <cell r="O477">
            <v>255</v>
          </cell>
          <cell r="P477">
            <v>1</v>
          </cell>
          <cell r="Q477">
            <v>0</v>
          </cell>
          <cell r="R477">
            <v>0</v>
          </cell>
          <cell r="S477">
            <v>0</v>
          </cell>
        </row>
        <row r="478">
          <cell r="D478" t="str">
            <v>Horizon Prisma Atlantis 2 gebouw C</v>
          </cell>
          <cell r="E478" t="str">
            <v>bgg</v>
          </cell>
          <cell r="F478" t="str">
            <v>C0.105</v>
          </cell>
          <cell r="G478" t="str">
            <v>team-kamer</v>
          </cell>
          <cell r="H478" t="str">
            <v>administratieve -, personeels- en vergaderruimte</v>
          </cell>
          <cell r="I478" t="str">
            <v>Tapijt</v>
          </cell>
          <cell r="J478">
            <v>24</v>
          </cell>
          <cell r="K478"/>
          <cell r="L478">
            <v>1153</v>
          </cell>
          <cell r="M478">
            <v>101</v>
          </cell>
          <cell r="N478"/>
          <cell r="O478">
            <v>153</v>
          </cell>
          <cell r="P478">
            <v>1</v>
          </cell>
          <cell r="Q478">
            <v>0</v>
          </cell>
          <cell r="R478">
            <v>0</v>
          </cell>
          <cell r="S478">
            <v>0</v>
          </cell>
        </row>
        <row r="479">
          <cell r="D479" t="str">
            <v>Horizon Prisma Atlantis 2 gebouw C</v>
          </cell>
          <cell r="E479" t="str">
            <v>bgg</v>
          </cell>
          <cell r="F479" t="str">
            <v>C0.106</v>
          </cell>
          <cell r="G479" t="str">
            <v>woonkamer</v>
          </cell>
          <cell r="H479" t="str">
            <v>aula, gemeenschappelijke ruimte, bibliotheek</v>
          </cell>
          <cell r="I479" t="str">
            <v>pcv</v>
          </cell>
          <cell r="J479">
            <v>112.4</v>
          </cell>
          <cell r="K479"/>
          <cell r="L479">
            <v>2153</v>
          </cell>
          <cell r="M479">
            <v>102</v>
          </cell>
          <cell r="N479"/>
          <cell r="O479">
            <v>153</v>
          </cell>
          <cell r="P479">
            <v>1</v>
          </cell>
          <cell r="Q479">
            <v>0</v>
          </cell>
          <cell r="R479">
            <v>0</v>
          </cell>
          <cell r="S479">
            <v>0</v>
          </cell>
        </row>
        <row r="480">
          <cell r="D480" t="str">
            <v>Horizon Prisma Atlantis 2 gebouw C</v>
          </cell>
          <cell r="E480" t="str">
            <v>bgg</v>
          </cell>
          <cell r="F480" t="str">
            <v>C0.108</v>
          </cell>
          <cell r="G480" t="str">
            <v>keuken (keuken)</v>
          </cell>
          <cell r="H480" t="str">
            <v>Keuken</v>
          </cell>
          <cell r="I480" t="str">
            <v>Tegels</v>
          </cell>
          <cell r="J480">
            <v>18.3</v>
          </cell>
          <cell r="K480"/>
          <cell r="L480">
            <v>18255</v>
          </cell>
          <cell r="M480" t="str">
            <v>nvt</v>
          </cell>
          <cell r="N480"/>
          <cell r="O480">
            <v>255</v>
          </cell>
          <cell r="P480">
            <v>1</v>
          </cell>
          <cell r="Q480">
            <v>0</v>
          </cell>
          <cell r="R480">
            <v>0</v>
          </cell>
          <cell r="S480">
            <v>0</v>
          </cell>
        </row>
        <row r="481">
          <cell r="D481" t="str">
            <v>Horizon Prisma Atlantis 2 gebouw C</v>
          </cell>
          <cell r="E481" t="str">
            <v>bgg</v>
          </cell>
          <cell r="F481" t="str">
            <v>C0.110</v>
          </cell>
          <cell r="G481" t="str">
            <v>bijkeuken</v>
          </cell>
          <cell r="H481" t="str">
            <v>Keuken</v>
          </cell>
          <cell r="I481" t="str">
            <v>Tegels</v>
          </cell>
          <cell r="J481">
            <v>4.8</v>
          </cell>
          <cell r="K481"/>
          <cell r="L481">
            <v>18153</v>
          </cell>
          <cell r="M481" t="str">
            <v>nvt</v>
          </cell>
          <cell r="N481"/>
          <cell r="O481">
            <v>153</v>
          </cell>
          <cell r="P481">
            <v>1</v>
          </cell>
          <cell r="Q481">
            <v>0</v>
          </cell>
          <cell r="R481">
            <v>0</v>
          </cell>
          <cell r="S481">
            <v>0</v>
          </cell>
        </row>
        <row r="482">
          <cell r="D482" t="str">
            <v>Horizon Prisma Atlantis 2 gebouw C</v>
          </cell>
          <cell r="E482" t="str">
            <v>bgg</v>
          </cell>
          <cell r="F482" t="str">
            <v>C0.111</v>
          </cell>
          <cell r="G482" t="str">
            <v>toilet</v>
          </cell>
          <cell r="H482" t="str">
            <v>sanitaire ruimte (toilet-/doucheruimte)</v>
          </cell>
          <cell r="I482" t="str">
            <v>Tegels</v>
          </cell>
          <cell r="J482">
            <v>1.4</v>
          </cell>
          <cell r="K482"/>
          <cell r="L482">
            <v>4153</v>
          </cell>
          <cell r="M482">
            <v>104</v>
          </cell>
          <cell r="N482"/>
          <cell r="O482">
            <v>153</v>
          </cell>
          <cell r="P482">
            <v>1</v>
          </cell>
          <cell r="Q482">
            <v>0</v>
          </cell>
          <cell r="R482">
            <v>0</v>
          </cell>
          <cell r="S482">
            <v>0</v>
          </cell>
        </row>
        <row r="483">
          <cell r="D483" t="str">
            <v>Horizon Prisma Atlantis 2 gebouw C</v>
          </cell>
          <cell r="E483" t="str">
            <v>bgg</v>
          </cell>
          <cell r="F483" t="str">
            <v>C0.112</v>
          </cell>
          <cell r="G483" t="str">
            <v>toilet</v>
          </cell>
          <cell r="H483" t="str">
            <v>sanitaire ruimte (toilet-/doucheruimte)</v>
          </cell>
          <cell r="I483" t="str">
            <v>Tegels</v>
          </cell>
          <cell r="J483">
            <v>1.4</v>
          </cell>
          <cell r="K483"/>
          <cell r="L483">
            <v>4153</v>
          </cell>
          <cell r="M483">
            <v>104</v>
          </cell>
          <cell r="N483"/>
          <cell r="O483">
            <v>153</v>
          </cell>
          <cell r="P483">
            <v>1</v>
          </cell>
          <cell r="Q483">
            <v>0</v>
          </cell>
          <cell r="R483">
            <v>0</v>
          </cell>
          <cell r="S483">
            <v>0</v>
          </cell>
        </row>
        <row r="484">
          <cell r="D484" t="str">
            <v>Horizon Prisma Atlantis 2 gebouw C</v>
          </cell>
          <cell r="E484" t="str">
            <v>bgg</v>
          </cell>
          <cell r="F484" t="str">
            <v>C0.113</v>
          </cell>
          <cell r="G484" t="str">
            <v>hal</v>
          </cell>
          <cell r="H484" t="str">
            <v>entree, gang, hal, repro, kopieer, was/droogruimte</v>
          </cell>
          <cell r="I484" t="str">
            <v>Linoleum</v>
          </cell>
          <cell r="J484">
            <v>6.9</v>
          </cell>
          <cell r="K484"/>
          <cell r="L484">
            <v>3153</v>
          </cell>
          <cell r="M484">
            <v>103</v>
          </cell>
          <cell r="N484"/>
          <cell r="O484">
            <v>153</v>
          </cell>
          <cell r="P484">
            <v>1</v>
          </cell>
          <cell r="Q484">
            <v>0</v>
          </cell>
          <cell r="R484">
            <v>0</v>
          </cell>
          <cell r="S484">
            <v>0</v>
          </cell>
        </row>
        <row r="485">
          <cell r="D485" t="str">
            <v>Horizon Prisma Atlantis 2 gebouw C</v>
          </cell>
          <cell r="E485" t="str">
            <v>bgg</v>
          </cell>
          <cell r="F485" t="str">
            <v>C0.115</v>
          </cell>
          <cell r="G485" t="str">
            <v xml:space="preserve">badkamer </v>
          </cell>
          <cell r="H485" t="str">
            <v>sanitaire ruimte (toilet-/doucheruimte)</v>
          </cell>
          <cell r="I485" t="str">
            <v>Tegels</v>
          </cell>
          <cell r="J485">
            <v>4.5999999999999996</v>
          </cell>
          <cell r="K485"/>
          <cell r="L485">
            <v>4255</v>
          </cell>
          <cell r="M485">
            <v>104</v>
          </cell>
          <cell r="N485"/>
          <cell r="O485">
            <v>255</v>
          </cell>
          <cell r="P485">
            <v>1</v>
          </cell>
          <cell r="Q485">
            <v>0</v>
          </cell>
          <cell r="R485">
            <v>0</v>
          </cell>
          <cell r="S485">
            <v>0</v>
          </cell>
        </row>
        <row r="486">
          <cell r="D486" t="str">
            <v>Horizon Prisma Atlantis 2 gebouw C</v>
          </cell>
          <cell r="E486" t="str">
            <v>bgg</v>
          </cell>
          <cell r="F486" t="str">
            <v>C0.116</v>
          </cell>
          <cell r="G486" t="str">
            <v>isoleer</v>
          </cell>
          <cell r="H486" t="str">
            <v>op afroep</v>
          </cell>
          <cell r="I486" t="str">
            <v>Linoleum</v>
          </cell>
          <cell r="J486">
            <v>10.1</v>
          </cell>
          <cell r="K486"/>
          <cell r="L486" t="str">
            <v>op afroep</v>
          </cell>
          <cell r="M486">
            <v>0</v>
          </cell>
          <cell r="N486"/>
          <cell r="O486">
            <v>0</v>
          </cell>
          <cell r="P486">
            <v>1</v>
          </cell>
          <cell r="Q486">
            <v>0</v>
          </cell>
          <cell r="R486">
            <v>0</v>
          </cell>
          <cell r="S486">
            <v>0</v>
          </cell>
        </row>
        <row r="487">
          <cell r="D487" t="str">
            <v>Horizon Prisma Atlantis 1 gebouw C</v>
          </cell>
          <cell r="E487" t="str">
            <v>1e</v>
          </cell>
          <cell r="F487" t="str">
            <v>C1.001</v>
          </cell>
          <cell r="G487" t="str">
            <v>gang</v>
          </cell>
          <cell r="H487" t="str">
            <v>entree, gang, hal, repro, kopieer, was/droogruimte</v>
          </cell>
          <cell r="I487" t="str">
            <v>Linoleum</v>
          </cell>
          <cell r="J487">
            <v>39.5</v>
          </cell>
          <cell r="K487"/>
          <cell r="L487">
            <v>3153</v>
          </cell>
          <cell r="M487">
            <v>103</v>
          </cell>
          <cell r="N487"/>
          <cell r="O487">
            <v>153</v>
          </cell>
          <cell r="P487">
            <v>1</v>
          </cell>
          <cell r="Q487">
            <v>0</v>
          </cell>
          <cell r="R487">
            <v>0</v>
          </cell>
          <cell r="S487">
            <v>0</v>
          </cell>
        </row>
        <row r="488">
          <cell r="D488" t="str">
            <v>Horizon Prisma Atlantis 1 gebouw C</v>
          </cell>
          <cell r="E488" t="str">
            <v>1e</v>
          </cell>
          <cell r="F488" t="str">
            <v>C1.002</v>
          </cell>
          <cell r="G488" t="str">
            <v>trap</v>
          </cell>
          <cell r="H488" t="str">
            <v>trappenhuis</v>
          </cell>
          <cell r="I488" t="str">
            <v>Steen</v>
          </cell>
          <cell r="J488">
            <v>10.6</v>
          </cell>
          <cell r="K488"/>
          <cell r="L488">
            <v>9153</v>
          </cell>
          <cell r="M488">
            <v>109</v>
          </cell>
          <cell r="N488"/>
          <cell r="O488">
            <v>153</v>
          </cell>
          <cell r="P488">
            <v>1</v>
          </cell>
          <cell r="Q488">
            <v>0</v>
          </cell>
          <cell r="R488">
            <v>0</v>
          </cell>
          <cell r="S488">
            <v>0</v>
          </cell>
        </row>
        <row r="489">
          <cell r="D489" t="str">
            <v>Horizon Prisma Atlantis 1 gebouw C</v>
          </cell>
          <cell r="E489" t="str">
            <v>1e</v>
          </cell>
          <cell r="F489" t="str">
            <v>C1.003</v>
          </cell>
          <cell r="G489" t="str">
            <v>gang</v>
          </cell>
          <cell r="H489" t="str">
            <v>entree, gang, hal, repro, kopieer, was/droogruimte</v>
          </cell>
          <cell r="I489" t="str">
            <v>Linoleum</v>
          </cell>
          <cell r="J489">
            <v>6</v>
          </cell>
          <cell r="K489"/>
          <cell r="L489">
            <v>3153</v>
          </cell>
          <cell r="M489">
            <v>103</v>
          </cell>
          <cell r="N489"/>
          <cell r="O489">
            <v>153</v>
          </cell>
          <cell r="P489">
            <v>1</v>
          </cell>
          <cell r="Q489">
            <v>0</v>
          </cell>
          <cell r="R489">
            <v>0</v>
          </cell>
          <cell r="S489">
            <v>0</v>
          </cell>
        </row>
        <row r="490">
          <cell r="D490" t="str">
            <v>Horizon Prisma Atlantis 1 gebouw C</v>
          </cell>
          <cell r="E490" t="str">
            <v>1e</v>
          </cell>
          <cell r="F490" t="str">
            <v>C1.004</v>
          </cell>
          <cell r="G490" t="str">
            <v>kantoor</v>
          </cell>
          <cell r="H490" t="str">
            <v>administratieve -, personeels- en vergaderruimte</v>
          </cell>
          <cell r="I490" t="str">
            <v>Tapijt</v>
          </cell>
          <cell r="J490">
            <v>15.7</v>
          </cell>
          <cell r="K490"/>
          <cell r="L490">
            <v>1102</v>
          </cell>
          <cell r="M490">
            <v>101</v>
          </cell>
          <cell r="N490"/>
          <cell r="O490">
            <v>102</v>
          </cell>
          <cell r="P490">
            <v>1</v>
          </cell>
          <cell r="Q490">
            <v>0</v>
          </cell>
          <cell r="R490">
            <v>0</v>
          </cell>
          <cell r="S490">
            <v>0</v>
          </cell>
        </row>
        <row r="491">
          <cell r="D491" t="str">
            <v>Horizon Prisma Atlantis 1 gebouw C</v>
          </cell>
          <cell r="E491" t="str">
            <v>1e</v>
          </cell>
          <cell r="F491" t="str">
            <v>C1.005</v>
          </cell>
          <cell r="G491" t="str">
            <v>vergaderruimte</v>
          </cell>
          <cell r="H491" t="str">
            <v>administratieve -, personeels- en vergaderruimte</v>
          </cell>
          <cell r="I491" t="str">
            <v>Tapijt</v>
          </cell>
          <cell r="J491">
            <v>23.3</v>
          </cell>
          <cell r="K491"/>
          <cell r="L491">
            <v>1153</v>
          </cell>
          <cell r="M491">
            <v>101</v>
          </cell>
          <cell r="N491"/>
          <cell r="O491">
            <v>153</v>
          </cell>
          <cell r="P491">
            <v>1</v>
          </cell>
          <cell r="Q491">
            <v>0</v>
          </cell>
          <cell r="R491">
            <v>0</v>
          </cell>
          <cell r="S491">
            <v>0</v>
          </cell>
        </row>
        <row r="492">
          <cell r="D492" t="str">
            <v>Horizon Prisma Atlantis 1 gebouw C</v>
          </cell>
          <cell r="E492" t="str">
            <v>1e</v>
          </cell>
          <cell r="F492" t="str">
            <v>C1.006</v>
          </cell>
          <cell r="G492" t="str">
            <v>douche</v>
          </cell>
          <cell r="H492" t="str">
            <v>sanitaire ruimte (toilet-/doucheruimte)</v>
          </cell>
          <cell r="I492" t="str">
            <v>Tegels</v>
          </cell>
          <cell r="J492">
            <v>2.1</v>
          </cell>
          <cell r="K492"/>
          <cell r="L492">
            <v>4255</v>
          </cell>
          <cell r="M492">
            <v>104</v>
          </cell>
          <cell r="N492"/>
          <cell r="O492">
            <v>255</v>
          </cell>
          <cell r="P492">
            <v>1</v>
          </cell>
          <cell r="Q492">
            <v>0</v>
          </cell>
          <cell r="R492">
            <v>0</v>
          </cell>
          <cell r="S492">
            <v>0</v>
          </cell>
        </row>
        <row r="493">
          <cell r="D493" t="str">
            <v>Horizon Prisma Atlantis 1 gebouw C</v>
          </cell>
          <cell r="E493" t="str">
            <v>1e</v>
          </cell>
          <cell r="F493" t="str">
            <v>C1.007</v>
          </cell>
          <cell r="G493" t="str">
            <v>douche</v>
          </cell>
          <cell r="H493" t="str">
            <v>sanitaire ruimte (toilet-/doucheruimte)</v>
          </cell>
          <cell r="I493" t="str">
            <v>Tegels</v>
          </cell>
          <cell r="J493">
            <v>2.1</v>
          </cell>
          <cell r="K493"/>
          <cell r="L493">
            <v>4255</v>
          </cell>
          <cell r="M493">
            <v>104</v>
          </cell>
          <cell r="N493"/>
          <cell r="O493">
            <v>255</v>
          </cell>
          <cell r="P493">
            <v>1</v>
          </cell>
          <cell r="Q493">
            <v>0</v>
          </cell>
          <cell r="R493">
            <v>0</v>
          </cell>
          <cell r="S493">
            <v>0</v>
          </cell>
        </row>
        <row r="494">
          <cell r="D494" t="str">
            <v>Horizon Prisma Atlantis 1 gebouw C</v>
          </cell>
          <cell r="E494" t="str">
            <v>1e</v>
          </cell>
          <cell r="F494" t="str">
            <v>C1.008</v>
          </cell>
          <cell r="G494" t="str">
            <v>douche</v>
          </cell>
          <cell r="H494" t="str">
            <v>sanitaire ruimte (toilet-/doucheruimte)</v>
          </cell>
          <cell r="I494" t="str">
            <v>Tegels</v>
          </cell>
          <cell r="J494">
            <v>2.1</v>
          </cell>
          <cell r="K494"/>
          <cell r="L494">
            <v>4255</v>
          </cell>
          <cell r="M494">
            <v>104</v>
          </cell>
          <cell r="N494"/>
          <cell r="O494">
            <v>255</v>
          </cell>
          <cell r="P494">
            <v>1</v>
          </cell>
          <cell r="Q494">
            <v>0</v>
          </cell>
          <cell r="R494">
            <v>0</v>
          </cell>
          <cell r="S494">
            <v>0</v>
          </cell>
        </row>
        <row r="495">
          <cell r="D495" t="str">
            <v>Horizon Prisma Atlantis 1 gebouw C</v>
          </cell>
          <cell r="E495" t="str">
            <v>1e</v>
          </cell>
          <cell r="F495" t="str">
            <v>C1.022</v>
          </cell>
          <cell r="G495" t="str">
            <v>portaal</v>
          </cell>
          <cell r="H495" t="str">
            <v>entree, gang, hal, repro, kopieer, was/droogruimte</v>
          </cell>
          <cell r="I495" t="str">
            <v>Linoleum</v>
          </cell>
          <cell r="J495">
            <v>4</v>
          </cell>
          <cell r="K495"/>
          <cell r="L495">
            <v>3153</v>
          </cell>
          <cell r="M495">
            <v>103</v>
          </cell>
          <cell r="N495"/>
          <cell r="O495">
            <v>153</v>
          </cell>
          <cell r="P495">
            <v>1</v>
          </cell>
          <cell r="Q495">
            <v>0</v>
          </cell>
          <cell r="R495">
            <v>0</v>
          </cell>
          <cell r="S495">
            <v>0</v>
          </cell>
        </row>
        <row r="496">
          <cell r="D496" t="str">
            <v>Horizon Prisma Atlantis 2 gebouw C</v>
          </cell>
          <cell r="E496" t="str">
            <v>1e</v>
          </cell>
          <cell r="F496" t="str">
            <v>C1.101</v>
          </cell>
          <cell r="G496" t="str">
            <v>gangzone</v>
          </cell>
          <cell r="H496" t="str">
            <v>entree, gang, hal, repro, kopieer, was/droogruimte</v>
          </cell>
          <cell r="I496" t="str">
            <v>Linoleum</v>
          </cell>
          <cell r="J496">
            <v>39.5</v>
          </cell>
          <cell r="K496"/>
          <cell r="L496">
            <v>3153</v>
          </cell>
          <cell r="M496">
            <v>103</v>
          </cell>
          <cell r="N496"/>
          <cell r="O496">
            <v>153</v>
          </cell>
          <cell r="P496">
            <v>1</v>
          </cell>
          <cell r="Q496">
            <v>0</v>
          </cell>
          <cell r="R496">
            <v>0</v>
          </cell>
          <cell r="S496">
            <v>0</v>
          </cell>
        </row>
        <row r="497">
          <cell r="D497" t="str">
            <v>Horizon Prisma Atlantis 2 gebouw C</v>
          </cell>
          <cell r="E497" t="str">
            <v>1e</v>
          </cell>
          <cell r="F497" t="str">
            <v>C1.102</v>
          </cell>
          <cell r="G497" t="str">
            <v>trap</v>
          </cell>
          <cell r="H497" t="str">
            <v>trappenhuis</v>
          </cell>
          <cell r="I497" t="str">
            <v>Steen</v>
          </cell>
          <cell r="J497">
            <v>10.6</v>
          </cell>
          <cell r="K497"/>
          <cell r="L497">
            <v>9153</v>
          </cell>
          <cell r="M497">
            <v>109</v>
          </cell>
          <cell r="N497"/>
          <cell r="O497">
            <v>153</v>
          </cell>
          <cell r="P497">
            <v>1</v>
          </cell>
          <cell r="Q497">
            <v>0</v>
          </cell>
          <cell r="R497">
            <v>0</v>
          </cell>
          <cell r="S497">
            <v>0</v>
          </cell>
        </row>
        <row r="498">
          <cell r="D498" t="str">
            <v>Horizon Prisma Atlantis 2 gebouw C</v>
          </cell>
          <cell r="E498" t="str">
            <v>1e</v>
          </cell>
          <cell r="F498" t="str">
            <v>C1.103</v>
          </cell>
          <cell r="G498" t="str">
            <v>gang</v>
          </cell>
          <cell r="H498" t="str">
            <v>entree, gang, hal, repro, kopieer, was/droogruimte</v>
          </cell>
          <cell r="I498" t="str">
            <v>Linoleum</v>
          </cell>
          <cell r="J498">
            <v>6</v>
          </cell>
          <cell r="K498"/>
          <cell r="L498">
            <v>3153</v>
          </cell>
          <cell r="M498">
            <v>103</v>
          </cell>
          <cell r="N498"/>
          <cell r="O498">
            <v>153</v>
          </cell>
          <cell r="P498">
            <v>1</v>
          </cell>
          <cell r="Q498">
            <v>0</v>
          </cell>
          <cell r="R498">
            <v>0</v>
          </cell>
          <cell r="S498">
            <v>0</v>
          </cell>
        </row>
        <row r="499">
          <cell r="D499" t="str">
            <v>Horizon Prisma Atlantis 2 gebouw C</v>
          </cell>
          <cell r="E499" t="str">
            <v>1e</v>
          </cell>
          <cell r="F499" t="str">
            <v>C1.102</v>
          </cell>
          <cell r="G499" t="str">
            <v>kantoor</v>
          </cell>
          <cell r="H499" t="str">
            <v>administratieve -, personeels- en vergaderruimte</v>
          </cell>
          <cell r="I499" t="str">
            <v>Tapijt</v>
          </cell>
          <cell r="J499">
            <v>15.7</v>
          </cell>
          <cell r="K499"/>
          <cell r="L499">
            <v>1102</v>
          </cell>
          <cell r="M499">
            <v>101</v>
          </cell>
          <cell r="N499"/>
          <cell r="O499">
            <v>102</v>
          </cell>
          <cell r="P499">
            <v>1</v>
          </cell>
          <cell r="Q499">
            <v>0</v>
          </cell>
          <cell r="R499">
            <v>0</v>
          </cell>
          <cell r="S499">
            <v>0</v>
          </cell>
        </row>
        <row r="500">
          <cell r="D500" t="str">
            <v>Horizon Prisma Atlantis 2 gebouw C</v>
          </cell>
          <cell r="E500" t="str">
            <v>1e</v>
          </cell>
          <cell r="F500" t="str">
            <v>C1.105</v>
          </cell>
          <cell r="G500" t="str">
            <v>therapie/spreekkamer</v>
          </cell>
          <cell r="H500" t="str">
            <v>administratieve -, personeels- en vergaderruimte</v>
          </cell>
          <cell r="I500" t="str">
            <v>Tapijt</v>
          </cell>
          <cell r="J500">
            <v>11.7</v>
          </cell>
          <cell r="K500"/>
          <cell r="L500">
            <v>1153</v>
          </cell>
          <cell r="M500">
            <v>101</v>
          </cell>
          <cell r="N500"/>
          <cell r="O500">
            <v>153</v>
          </cell>
          <cell r="P500">
            <v>1</v>
          </cell>
          <cell r="Q500">
            <v>0</v>
          </cell>
          <cell r="R500">
            <v>0</v>
          </cell>
          <cell r="S500">
            <v>0</v>
          </cell>
        </row>
        <row r="501">
          <cell r="D501" t="str">
            <v>Horizon Prisma Atlantis 2 gebouw C</v>
          </cell>
          <cell r="E501" t="str">
            <v>1e</v>
          </cell>
          <cell r="F501" t="str">
            <v>C1.106</v>
          </cell>
          <cell r="G501" t="str">
            <v>douche</v>
          </cell>
          <cell r="H501" t="str">
            <v>sanitaire ruimte (toilet-/doucheruimte)</v>
          </cell>
          <cell r="I501" t="str">
            <v>Tegels</v>
          </cell>
          <cell r="J501">
            <v>2.1</v>
          </cell>
          <cell r="K501"/>
          <cell r="L501">
            <v>4255</v>
          </cell>
          <cell r="M501">
            <v>104</v>
          </cell>
          <cell r="N501"/>
          <cell r="O501">
            <v>255</v>
          </cell>
          <cell r="P501">
            <v>1</v>
          </cell>
          <cell r="Q501">
            <v>0</v>
          </cell>
          <cell r="R501">
            <v>0</v>
          </cell>
          <cell r="S501">
            <v>0</v>
          </cell>
        </row>
        <row r="502">
          <cell r="D502" t="str">
            <v>Horizon Prisma Atlantis 2 gebouw C</v>
          </cell>
          <cell r="E502" t="str">
            <v>1e</v>
          </cell>
          <cell r="F502" t="str">
            <v>C1.107</v>
          </cell>
          <cell r="G502" t="str">
            <v>douche</v>
          </cell>
          <cell r="H502" t="str">
            <v>sanitaire ruimte (toilet-/doucheruimte)</v>
          </cell>
          <cell r="I502" t="str">
            <v>Tegels</v>
          </cell>
          <cell r="J502">
            <v>2.1</v>
          </cell>
          <cell r="K502"/>
          <cell r="L502">
            <v>4255</v>
          </cell>
          <cell r="M502">
            <v>104</v>
          </cell>
          <cell r="N502"/>
          <cell r="O502">
            <v>255</v>
          </cell>
          <cell r="P502">
            <v>1</v>
          </cell>
          <cell r="Q502">
            <v>0</v>
          </cell>
          <cell r="R502">
            <v>0</v>
          </cell>
          <cell r="S502">
            <v>0</v>
          </cell>
        </row>
        <row r="503">
          <cell r="D503" t="str">
            <v>Horizon Prisma Atlantis 2 gebouw C</v>
          </cell>
          <cell r="E503" t="str">
            <v>1e</v>
          </cell>
          <cell r="F503" t="str">
            <v>C1.108</v>
          </cell>
          <cell r="G503" t="str">
            <v>douche</v>
          </cell>
          <cell r="H503" t="str">
            <v>sanitaire ruimte (toilet-/doucheruimte)</v>
          </cell>
          <cell r="I503" t="str">
            <v>Tegels</v>
          </cell>
          <cell r="J503">
            <v>2.1</v>
          </cell>
          <cell r="K503"/>
          <cell r="L503">
            <v>4255</v>
          </cell>
          <cell r="M503">
            <v>104</v>
          </cell>
          <cell r="N503"/>
          <cell r="O503">
            <v>255</v>
          </cell>
          <cell r="P503">
            <v>1</v>
          </cell>
          <cell r="Q503">
            <v>0</v>
          </cell>
          <cell r="R503">
            <v>0</v>
          </cell>
          <cell r="S503">
            <v>0</v>
          </cell>
        </row>
        <row r="504">
          <cell r="D504" t="str">
            <v>Horizon Prisma Atlantis 1 gebouw C</v>
          </cell>
          <cell r="E504" t="str">
            <v>1e</v>
          </cell>
          <cell r="F504" t="str">
            <v>C1.109</v>
          </cell>
          <cell r="G504" t="str">
            <v>techniek</v>
          </cell>
          <cell r="H504" t="str">
            <v>niet van toepassing</v>
          </cell>
          <cell r="I504"/>
          <cell r="J504"/>
          <cell r="K504"/>
          <cell r="L504" t="str">
            <v>nvt</v>
          </cell>
          <cell r="M504">
            <v>0</v>
          </cell>
          <cell r="N504"/>
          <cell r="O504">
            <v>0</v>
          </cell>
          <cell r="P504">
            <v>1</v>
          </cell>
          <cell r="Q504">
            <v>0</v>
          </cell>
          <cell r="R504">
            <v>0</v>
          </cell>
          <cell r="S504">
            <v>0</v>
          </cell>
        </row>
        <row r="505">
          <cell r="D505" t="str">
            <v>Horizon Prisma Atlantis 1 gebouw C</v>
          </cell>
          <cell r="E505" t="str">
            <v>1e</v>
          </cell>
          <cell r="F505" t="str">
            <v>C1.010</v>
          </cell>
          <cell r="G505" t="str">
            <v>zit- slaapkamer</v>
          </cell>
          <cell r="H505" t="str">
            <v>niet van toepassing</v>
          </cell>
          <cell r="I505"/>
          <cell r="J505"/>
          <cell r="K505"/>
          <cell r="L505" t="str">
            <v>nvt</v>
          </cell>
          <cell r="M505">
            <v>0</v>
          </cell>
          <cell r="N505"/>
          <cell r="O505">
            <v>0</v>
          </cell>
          <cell r="P505">
            <v>1</v>
          </cell>
          <cell r="Q505">
            <v>0</v>
          </cell>
          <cell r="R505">
            <v>0</v>
          </cell>
          <cell r="S505">
            <v>0</v>
          </cell>
        </row>
        <row r="506">
          <cell r="D506" t="str">
            <v>Horizon Prisma Atlantis 1 gebouw C</v>
          </cell>
          <cell r="E506" t="str">
            <v>1e</v>
          </cell>
          <cell r="F506" t="str">
            <v>C1.011</v>
          </cell>
          <cell r="G506" t="str">
            <v>zit- slaapkamer</v>
          </cell>
          <cell r="H506" t="str">
            <v>niet van toepassing</v>
          </cell>
          <cell r="I506"/>
          <cell r="J506"/>
          <cell r="K506"/>
          <cell r="L506" t="str">
            <v>nvt</v>
          </cell>
          <cell r="M506">
            <v>0</v>
          </cell>
          <cell r="N506"/>
          <cell r="O506">
            <v>0</v>
          </cell>
          <cell r="P506">
            <v>1</v>
          </cell>
          <cell r="Q506">
            <v>0</v>
          </cell>
          <cell r="R506">
            <v>0</v>
          </cell>
          <cell r="S506">
            <v>0</v>
          </cell>
        </row>
        <row r="507">
          <cell r="D507" t="str">
            <v>Horizon Prisma Atlantis 1 gebouw C</v>
          </cell>
          <cell r="E507" t="str">
            <v>1e</v>
          </cell>
          <cell r="F507" t="str">
            <v>C1.012</v>
          </cell>
          <cell r="G507" t="str">
            <v>zit- slaapkamer</v>
          </cell>
          <cell r="H507" t="str">
            <v>niet van toepassing</v>
          </cell>
          <cell r="I507"/>
          <cell r="J507"/>
          <cell r="K507"/>
          <cell r="L507" t="str">
            <v>nvt</v>
          </cell>
          <cell r="M507">
            <v>0</v>
          </cell>
          <cell r="N507"/>
          <cell r="O507">
            <v>0</v>
          </cell>
          <cell r="P507">
            <v>1</v>
          </cell>
          <cell r="Q507">
            <v>0</v>
          </cell>
          <cell r="R507">
            <v>0</v>
          </cell>
          <cell r="S507">
            <v>0</v>
          </cell>
        </row>
        <row r="508">
          <cell r="D508" t="str">
            <v>Horizon Prisma Atlantis 1 gebouw C</v>
          </cell>
          <cell r="E508" t="str">
            <v>1e</v>
          </cell>
          <cell r="F508" t="str">
            <v>C1.013</v>
          </cell>
          <cell r="G508" t="str">
            <v>zit- slaapkamer</v>
          </cell>
          <cell r="H508" t="str">
            <v>niet van toepassing</v>
          </cell>
          <cell r="I508"/>
          <cell r="J508"/>
          <cell r="K508"/>
          <cell r="L508" t="str">
            <v>nvt</v>
          </cell>
          <cell r="M508">
            <v>0</v>
          </cell>
          <cell r="N508"/>
          <cell r="O508">
            <v>0</v>
          </cell>
          <cell r="P508">
            <v>1</v>
          </cell>
          <cell r="Q508">
            <v>0</v>
          </cell>
          <cell r="R508">
            <v>0</v>
          </cell>
          <cell r="S508">
            <v>0</v>
          </cell>
        </row>
        <row r="509">
          <cell r="D509" t="str">
            <v>Horizon Prisma Atlantis 1 gebouw C</v>
          </cell>
          <cell r="E509" t="str">
            <v>1e</v>
          </cell>
          <cell r="F509" t="str">
            <v>C1.014</v>
          </cell>
          <cell r="G509" t="str">
            <v>zit- slaapkamer</v>
          </cell>
          <cell r="H509" t="str">
            <v>niet van toepassing</v>
          </cell>
          <cell r="I509"/>
          <cell r="J509"/>
          <cell r="K509"/>
          <cell r="L509" t="str">
            <v>nvt</v>
          </cell>
          <cell r="M509">
            <v>0</v>
          </cell>
          <cell r="N509"/>
          <cell r="O509">
            <v>0</v>
          </cell>
          <cell r="P509">
            <v>1</v>
          </cell>
          <cell r="Q509">
            <v>0</v>
          </cell>
          <cell r="R509">
            <v>0</v>
          </cell>
          <cell r="S509">
            <v>0</v>
          </cell>
        </row>
        <row r="510">
          <cell r="D510" t="str">
            <v>Horizon Prisma Atlantis 1 gebouw C</v>
          </cell>
          <cell r="E510" t="str">
            <v>1e</v>
          </cell>
          <cell r="F510" t="str">
            <v>C1.015</v>
          </cell>
          <cell r="G510" t="str">
            <v>zit- slaapkamer</v>
          </cell>
          <cell r="H510" t="str">
            <v>niet van toepassing</v>
          </cell>
          <cell r="I510"/>
          <cell r="J510"/>
          <cell r="K510"/>
          <cell r="L510" t="str">
            <v>nvt</v>
          </cell>
          <cell r="M510">
            <v>0</v>
          </cell>
          <cell r="N510"/>
          <cell r="O510">
            <v>0</v>
          </cell>
          <cell r="P510">
            <v>1</v>
          </cell>
          <cell r="Q510">
            <v>0</v>
          </cell>
          <cell r="R510">
            <v>0</v>
          </cell>
          <cell r="S510">
            <v>0</v>
          </cell>
        </row>
        <row r="511">
          <cell r="D511" t="str">
            <v>Horizon Prisma Atlantis 1 gebouw C</v>
          </cell>
          <cell r="E511" t="str">
            <v>1e</v>
          </cell>
          <cell r="F511" t="str">
            <v>C1.016</v>
          </cell>
          <cell r="G511" t="str">
            <v>zit- slaapkamer</v>
          </cell>
          <cell r="H511" t="str">
            <v>niet van toepassing</v>
          </cell>
          <cell r="I511"/>
          <cell r="J511"/>
          <cell r="K511"/>
          <cell r="L511" t="str">
            <v>nvt</v>
          </cell>
          <cell r="M511">
            <v>0</v>
          </cell>
          <cell r="N511"/>
          <cell r="O511">
            <v>0</v>
          </cell>
          <cell r="P511">
            <v>1</v>
          </cell>
          <cell r="Q511">
            <v>0</v>
          </cell>
          <cell r="R511">
            <v>0</v>
          </cell>
          <cell r="S511">
            <v>0</v>
          </cell>
        </row>
        <row r="512">
          <cell r="D512" t="str">
            <v>Horizon Prisma Atlantis 1 gebouw C</v>
          </cell>
          <cell r="E512" t="str">
            <v>1e</v>
          </cell>
          <cell r="F512" t="str">
            <v>C1.017</v>
          </cell>
          <cell r="G512" t="str">
            <v>zit- slaapkamer</v>
          </cell>
          <cell r="H512" t="str">
            <v>niet van toepassing</v>
          </cell>
          <cell r="I512"/>
          <cell r="J512"/>
          <cell r="K512"/>
          <cell r="L512" t="str">
            <v>nvt</v>
          </cell>
          <cell r="M512">
            <v>0</v>
          </cell>
          <cell r="N512"/>
          <cell r="O512">
            <v>0</v>
          </cell>
          <cell r="P512">
            <v>1</v>
          </cell>
          <cell r="Q512">
            <v>0</v>
          </cell>
          <cell r="R512">
            <v>0</v>
          </cell>
          <cell r="S512">
            <v>0</v>
          </cell>
        </row>
        <row r="513">
          <cell r="D513" t="str">
            <v>Horizon Prisma Atlantis 1 gebouw C</v>
          </cell>
          <cell r="E513" t="str">
            <v>1e</v>
          </cell>
          <cell r="F513" t="str">
            <v>C1.018</v>
          </cell>
          <cell r="G513" t="str">
            <v>zit- slaapkamer</v>
          </cell>
          <cell r="H513" t="str">
            <v>niet van toepassing</v>
          </cell>
          <cell r="I513"/>
          <cell r="J513"/>
          <cell r="K513"/>
          <cell r="L513" t="str">
            <v>nvt</v>
          </cell>
          <cell r="M513">
            <v>0</v>
          </cell>
          <cell r="N513"/>
          <cell r="O513">
            <v>0</v>
          </cell>
          <cell r="P513">
            <v>1</v>
          </cell>
          <cell r="Q513">
            <v>0</v>
          </cell>
          <cell r="R513">
            <v>0</v>
          </cell>
          <cell r="S513">
            <v>0</v>
          </cell>
        </row>
        <row r="514">
          <cell r="D514" t="str">
            <v>Horizon Prisma Atlantis 1 gebouw C</v>
          </cell>
          <cell r="E514" t="str">
            <v>1e</v>
          </cell>
          <cell r="F514" t="str">
            <v>C1.019</v>
          </cell>
          <cell r="G514" t="str">
            <v>zit- slaapkamer</v>
          </cell>
          <cell r="H514" t="str">
            <v>niet van toepassing</v>
          </cell>
          <cell r="I514"/>
          <cell r="J514"/>
          <cell r="K514"/>
          <cell r="L514" t="str">
            <v>nvt</v>
          </cell>
          <cell r="M514">
            <v>0</v>
          </cell>
          <cell r="N514"/>
          <cell r="O514">
            <v>0</v>
          </cell>
          <cell r="P514">
            <v>1</v>
          </cell>
          <cell r="Q514">
            <v>0</v>
          </cell>
          <cell r="R514">
            <v>0</v>
          </cell>
          <cell r="S514">
            <v>0</v>
          </cell>
        </row>
        <row r="515">
          <cell r="D515" t="str">
            <v>Horizon Prisma Atlantis 1 gebouw C</v>
          </cell>
          <cell r="E515" t="str">
            <v>1e</v>
          </cell>
          <cell r="F515" t="str">
            <v>C1.020</v>
          </cell>
          <cell r="G515" t="str">
            <v>wisseldienstkamer</v>
          </cell>
          <cell r="H515" t="str">
            <v>niet van toepassing</v>
          </cell>
          <cell r="I515"/>
          <cell r="J515"/>
          <cell r="K515"/>
          <cell r="L515" t="str">
            <v>nvt</v>
          </cell>
          <cell r="M515">
            <v>0</v>
          </cell>
          <cell r="N515"/>
          <cell r="O515">
            <v>0</v>
          </cell>
          <cell r="P515">
            <v>1</v>
          </cell>
          <cell r="Q515">
            <v>0</v>
          </cell>
          <cell r="R515">
            <v>0</v>
          </cell>
          <cell r="S515">
            <v>0</v>
          </cell>
        </row>
        <row r="516">
          <cell r="D516" t="str">
            <v>Horizon Prisma Atlantis 1 gebouw C</v>
          </cell>
          <cell r="E516" t="str">
            <v>1e</v>
          </cell>
          <cell r="F516" t="str">
            <v>C1.021</v>
          </cell>
          <cell r="G516" t="str">
            <v>zit-/slaapkamer</v>
          </cell>
          <cell r="H516" t="str">
            <v>niet van toepassing</v>
          </cell>
          <cell r="I516"/>
          <cell r="J516"/>
          <cell r="K516"/>
          <cell r="L516" t="str">
            <v>nvt</v>
          </cell>
          <cell r="M516">
            <v>0</v>
          </cell>
          <cell r="N516"/>
          <cell r="O516">
            <v>0</v>
          </cell>
          <cell r="P516">
            <v>1</v>
          </cell>
          <cell r="Q516">
            <v>0</v>
          </cell>
          <cell r="R516">
            <v>0</v>
          </cell>
          <cell r="S516">
            <v>0</v>
          </cell>
        </row>
        <row r="517">
          <cell r="D517" t="str">
            <v>Horizon Prisma Atlantis 1 gebouw C</v>
          </cell>
          <cell r="E517" t="str">
            <v>2e</v>
          </cell>
          <cell r="F517" t="str">
            <v>C1.022</v>
          </cell>
          <cell r="G517" t="str">
            <v>portaal</v>
          </cell>
          <cell r="H517" t="str">
            <v>entree, gang, hal, repro, kopieer, was/droogruimte</v>
          </cell>
          <cell r="I517" t="str">
            <v>Linoleum</v>
          </cell>
          <cell r="J517">
            <v>4.4000000000000004</v>
          </cell>
          <cell r="K517"/>
          <cell r="L517">
            <v>3153</v>
          </cell>
          <cell r="M517">
            <v>103</v>
          </cell>
          <cell r="N517"/>
          <cell r="O517">
            <v>153</v>
          </cell>
          <cell r="P517">
            <v>1</v>
          </cell>
          <cell r="Q517">
            <v>0</v>
          </cell>
          <cell r="R517">
            <v>0</v>
          </cell>
          <cell r="S517">
            <v>0</v>
          </cell>
        </row>
        <row r="518">
          <cell r="D518" t="str">
            <v>Horizon Prisma Atlantis 1 gebouw C</v>
          </cell>
          <cell r="E518" t="str">
            <v>1e</v>
          </cell>
          <cell r="F518" t="str">
            <v>C1.110</v>
          </cell>
          <cell r="G518" t="str">
            <v>slaapkamer</v>
          </cell>
          <cell r="H518" t="str">
            <v>niet van toepassing</v>
          </cell>
          <cell r="I518"/>
          <cell r="J518"/>
          <cell r="K518"/>
          <cell r="L518" t="str">
            <v>nvt</v>
          </cell>
          <cell r="M518">
            <v>0</v>
          </cell>
          <cell r="N518"/>
          <cell r="O518">
            <v>0</v>
          </cell>
          <cell r="P518">
            <v>1</v>
          </cell>
          <cell r="Q518">
            <v>0</v>
          </cell>
          <cell r="R518">
            <v>0</v>
          </cell>
          <cell r="S518">
            <v>0</v>
          </cell>
        </row>
        <row r="519">
          <cell r="D519" t="str">
            <v>Horizon Prisma Atlantis 1 gebouw C</v>
          </cell>
          <cell r="E519" t="str">
            <v>1e</v>
          </cell>
          <cell r="F519" t="str">
            <v>C1.111</v>
          </cell>
          <cell r="G519" t="str">
            <v>zit- slaapkamer</v>
          </cell>
          <cell r="H519" t="str">
            <v>niet van toepassing</v>
          </cell>
          <cell r="I519"/>
          <cell r="J519"/>
          <cell r="K519"/>
          <cell r="L519" t="str">
            <v>nvt</v>
          </cell>
          <cell r="M519">
            <v>0</v>
          </cell>
          <cell r="N519"/>
          <cell r="O519">
            <v>0</v>
          </cell>
          <cell r="P519">
            <v>1</v>
          </cell>
          <cell r="Q519">
            <v>0</v>
          </cell>
          <cell r="R519">
            <v>0</v>
          </cell>
          <cell r="S519">
            <v>0</v>
          </cell>
        </row>
        <row r="520">
          <cell r="D520" t="str">
            <v>Horizon Prisma Atlantis 1 gebouw C</v>
          </cell>
          <cell r="E520" t="str">
            <v>1e</v>
          </cell>
          <cell r="F520" t="str">
            <v>C1.112</v>
          </cell>
          <cell r="G520" t="str">
            <v>zit- slaapkamer</v>
          </cell>
          <cell r="H520" t="str">
            <v>niet van toepassing</v>
          </cell>
          <cell r="I520"/>
          <cell r="J520"/>
          <cell r="K520"/>
          <cell r="L520" t="str">
            <v>nvt</v>
          </cell>
          <cell r="M520">
            <v>0</v>
          </cell>
          <cell r="N520"/>
          <cell r="O520">
            <v>0</v>
          </cell>
          <cell r="P520">
            <v>1</v>
          </cell>
          <cell r="Q520">
            <v>0</v>
          </cell>
          <cell r="R520">
            <v>0</v>
          </cell>
          <cell r="S520">
            <v>0</v>
          </cell>
        </row>
        <row r="521">
          <cell r="D521" t="str">
            <v>Horizon Prisma Atlantis 1 gebouw C</v>
          </cell>
          <cell r="E521" t="str">
            <v>1e</v>
          </cell>
          <cell r="F521" t="str">
            <v>C1.113</v>
          </cell>
          <cell r="G521" t="str">
            <v>zit- slaapkamer</v>
          </cell>
          <cell r="H521" t="str">
            <v>niet van toepassing</v>
          </cell>
          <cell r="I521"/>
          <cell r="J521"/>
          <cell r="K521"/>
          <cell r="L521" t="str">
            <v>nvt</v>
          </cell>
          <cell r="M521">
            <v>0</v>
          </cell>
          <cell r="N521"/>
          <cell r="O521">
            <v>0</v>
          </cell>
          <cell r="P521">
            <v>1</v>
          </cell>
          <cell r="Q521">
            <v>0</v>
          </cell>
          <cell r="R521">
            <v>0</v>
          </cell>
          <cell r="S521">
            <v>0</v>
          </cell>
        </row>
        <row r="522">
          <cell r="D522" t="str">
            <v>Horizon Prisma Atlantis 1 gebouw C</v>
          </cell>
          <cell r="E522" t="str">
            <v>1e</v>
          </cell>
          <cell r="F522" t="str">
            <v>C1.114</v>
          </cell>
          <cell r="G522" t="str">
            <v>zit- slaapkamer</v>
          </cell>
          <cell r="H522" t="str">
            <v>niet van toepassing</v>
          </cell>
          <cell r="I522"/>
          <cell r="J522"/>
          <cell r="K522"/>
          <cell r="L522" t="str">
            <v>nvt</v>
          </cell>
          <cell r="M522">
            <v>0</v>
          </cell>
          <cell r="N522"/>
          <cell r="O522">
            <v>0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D523" t="str">
            <v>Horizon Prisma Atlantis 1 gebouw C</v>
          </cell>
          <cell r="E523" t="str">
            <v>1e</v>
          </cell>
          <cell r="F523" t="str">
            <v>C1.115</v>
          </cell>
          <cell r="G523" t="str">
            <v>zit- slaapkamer</v>
          </cell>
          <cell r="H523" t="str">
            <v>niet van toepassing</v>
          </cell>
          <cell r="I523"/>
          <cell r="J523"/>
          <cell r="K523"/>
          <cell r="L523" t="str">
            <v>nvt</v>
          </cell>
          <cell r="M523">
            <v>0</v>
          </cell>
          <cell r="N523"/>
          <cell r="O523">
            <v>0</v>
          </cell>
          <cell r="P523">
            <v>1</v>
          </cell>
          <cell r="Q523">
            <v>0</v>
          </cell>
          <cell r="R523">
            <v>0</v>
          </cell>
          <cell r="S523">
            <v>0</v>
          </cell>
        </row>
        <row r="524">
          <cell r="D524" t="str">
            <v>Horizon Prisma Atlantis 1 gebouw C</v>
          </cell>
          <cell r="E524" t="str">
            <v>1e</v>
          </cell>
          <cell r="F524" t="str">
            <v>C1.116</v>
          </cell>
          <cell r="G524" t="str">
            <v>zit- slaapkamer</v>
          </cell>
          <cell r="H524" t="str">
            <v>niet van toepassing</v>
          </cell>
          <cell r="I524"/>
          <cell r="J524"/>
          <cell r="K524"/>
          <cell r="L524" t="str">
            <v>nvt</v>
          </cell>
          <cell r="M524">
            <v>0</v>
          </cell>
          <cell r="N524"/>
          <cell r="O524">
            <v>0</v>
          </cell>
          <cell r="P524">
            <v>1</v>
          </cell>
          <cell r="Q524">
            <v>0</v>
          </cell>
          <cell r="R524">
            <v>0</v>
          </cell>
          <cell r="S524">
            <v>0</v>
          </cell>
        </row>
        <row r="525">
          <cell r="D525" t="str">
            <v>Horizon Prisma Atlantis 1 gebouw C</v>
          </cell>
          <cell r="E525" t="str">
            <v>1e</v>
          </cell>
          <cell r="F525" t="str">
            <v>C1.117</v>
          </cell>
          <cell r="G525" t="str">
            <v>zit- slaapkamer</v>
          </cell>
          <cell r="H525" t="str">
            <v>niet van toepassing</v>
          </cell>
          <cell r="I525"/>
          <cell r="J525"/>
          <cell r="K525"/>
          <cell r="L525" t="str">
            <v>nvt</v>
          </cell>
          <cell r="M525">
            <v>0</v>
          </cell>
          <cell r="N525"/>
          <cell r="O525">
            <v>0</v>
          </cell>
          <cell r="P525">
            <v>1</v>
          </cell>
          <cell r="Q525">
            <v>0</v>
          </cell>
          <cell r="R525">
            <v>0</v>
          </cell>
          <cell r="S525">
            <v>0</v>
          </cell>
        </row>
        <row r="526">
          <cell r="D526" t="str">
            <v>Horizon Prisma Atlantis 1 gebouw C</v>
          </cell>
          <cell r="E526" t="str">
            <v>1e</v>
          </cell>
          <cell r="F526" t="str">
            <v>C1.118</v>
          </cell>
          <cell r="G526" t="str">
            <v>zit- slaapkamer</v>
          </cell>
          <cell r="H526" t="str">
            <v>niet van toepassing</v>
          </cell>
          <cell r="I526"/>
          <cell r="J526"/>
          <cell r="K526"/>
          <cell r="L526" t="str">
            <v>nvt</v>
          </cell>
          <cell r="M526">
            <v>0</v>
          </cell>
          <cell r="N526"/>
          <cell r="O526">
            <v>0</v>
          </cell>
          <cell r="P526">
            <v>1</v>
          </cell>
          <cell r="Q526">
            <v>0</v>
          </cell>
          <cell r="R526">
            <v>0</v>
          </cell>
          <cell r="S526">
            <v>0</v>
          </cell>
        </row>
        <row r="527">
          <cell r="D527" t="str">
            <v>Horizon Prisma Atlantis 1 gebouw C</v>
          </cell>
          <cell r="E527" t="str">
            <v>1e</v>
          </cell>
          <cell r="F527" t="str">
            <v>C1.119</v>
          </cell>
          <cell r="G527" t="str">
            <v>zit- slaapkamer</v>
          </cell>
          <cell r="H527" t="str">
            <v>niet van toepassing</v>
          </cell>
          <cell r="I527"/>
          <cell r="J527"/>
          <cell r="K527"/>
          <cell r="L527" t="str">
            <v>nvt</v>
          </cell>
          <cell r="M527">
            <v>0</v>
          </cell>
          <cell r="N527"/>
          <cell r="O527">
            <v>0</v>
          </cell>
          <cell r="P527">
            <v>1</v>
          </cell>
          <cell r="Q527">
            <v>0</v>
          </cell>
          <cell r="R527">
            <v>0</v>
          </cell>
          <cell r="S527">
            <v>0</v>
          </cell>
        </row>
        <row r="528">
          <cell r="D528" t="str">
            <v>Horizon Prisma Atlantis 1 gebouw C</v>
          </cell>
          <cell r="E528" t="str">
            <v>1e</v>
          </cell>
          <cell r="F528" t="str">
            <v>C1.120</v>
          </cell>
          <cell r="G528" t="str">
            <v>wisseldienstkamer</v>
          </cell>
          <cell r="H528" t="str">
            <v>niet van toepassing</v>
          </cell>
          <cell r="I528"/>
          <cell r="J528"/>
          <cell r="K528"/>
          <cell r="L528" t="str">
            <v>nvt</v>
          </cell>
          <cell r="M528">
            <v>0</v>
          </cell>
          <cell r="N528"/>
          <cell r="O528">
            <v>0</v>
          </cell>
          <cell r="P528">
            <v>1</v>
          </cell>
          <cell r="Q528">
            <v>0</v>
          </cell>
          <cell r="R528">
            <v>0</v>
          </cell>
          <cell r="S528">
            <v>0</v>
          </cell>
        </row>
        <row r="529">
          <cell r="D529" t="str">
            <v>Horizon Prisma Delta gebouw B</v>
          </cell>
          <cell r="E529" t="str">
            <v>bgg</v>
          </cell>
          <cell r="F529" t="str">
            <v>B0.03</v>
          </cell>
          <cell r="G529" t="str">
            <v>gangzone</v>
          </cell>
          <cell r="H529" t="str">
            <v>entree, gang, hal, repro, kopieer, was/droogruimte</v>
          </cell>
          <cell r="I529" t="str">
            <v>tapijt</v>
          </cell>
          <cell r="J529">
            <v>35.5</v>
          </cell>
          <cell r="K529"/>
          <cell r="L529">
            <v>3153</v>
          </cell>
          <cell r="M529">
            <v>103</v>
          </cell>
          <cell r="N529"/>
          <cell r="O529">
            <v>153</v>
          </cell>
          <cell r="P529">
            <v>1</v>
          </cell>
          <cell r="Q529">
            <v>0</v>
          </cell>
          <cell r="R529">
            <v>0</v>
          </cell>
          <cell r="S529">
            <v>0</v>
          </cell>
        </row>
        <row r="530">
          <cell r="D530" t="str">
            <v>Horizon Prisma Delta gebouw B</v>
          </cell>
          <cell r="E530" t="str">
            <v>bgg</v>
          </cell>
          <cell r="F530" t="str">
            <v>B0.07</v>
          </cell>
          <cell r="G530" t="str">
            <v>kantoor</v>
          </cell>
          <cell r="H530" t="str">
            <v>administratieve -, personeels- en vergaderruimte</v>
          </cell>
          <cell r="I530" t="str">
            <v>tapijt</v>
          </cell>
          <cell r="J530">
            <v>55.1</v>
          </cell>
          <cell r="K530"/>
          <cell r="L530">
            <v>1102</v>
          </cell>
          <cell r="M530">
            <v>101</v>
          </cell>
          <cell r="N530"/>
          <cell r="O530">
            <v>102</v>
          </cell>
          <cell r="P530">
            <v>1</v>
          </cell>
          <cell r="Q530">
            <v>0</v>
          </cell>
          <cell r="R530">
            <v>0</v>
          </cell>
          <cell r="S530">
            <v>0</v>
          </cell>
        </row>
        <row r="531">
          <cell r="D531" t="str">
            <v>Horizon Prisma Delta gebouw B</v>
          </cell>
          <cell r="E531" t="str">
            <v>1e</v>
          </cell>
          <cell r="F531" t="str">
            <v>B1.02</v>
          </cell>
          <cell r="G531" t="str">
            <v>trap</v>
          </cell>
          <cell r="H531" t="str">
            <v>trappenhuis</v>
          </cell>
          <cell r="I531" t="str">
            <v>tapijt</v>
          </cell>
          <cell r="J531">
            <v>10</v>
          </cell>
          <cell r="K531"/>
          <cell r="L531">
            <v>9153</v>
          </cell>
          <cell r="M531">
            <v>109</v>
          </cell>
          <cell r="N531"/>
          <cell r="O531">
            <v>153</v>
          </cell>
          <cell r="P531">
            <v>1</v>
          </cell>
          <cell r="Q531">
            <v>0</v>
          </cell>
          <cell r="R531">
            <v>0</v>
          </cell>
          <cell r="S531">
            <v>0</v>
          </cell>
        </row>
        <row r="532">
          <cell r="D532" t="str">
            <v>Horizon Prisma Delta gebouw B</v>
          </cell>
          <cell r="E532" t="str">
            <v>1e</v>
          </cell>
          <cell r="F532" t="str">
            <v>B1.04</v>
          </cell>
          <cell r="G532" t="str">
            <v>kantoor</v>
          </cell>
          <cell r="H532" t="str">
            <v>administratieve -, personeels- en vergaderruimte</v>
          </cell>
          <cell r="I532" t="str">
            <v>tapijt</v>
          </cell>
          <cell r="J532">
            <v>23.06</v>
          </cell>
          <cell r="K532"/>
          <cell r="L532">
            <v>1102</v>
          </cell>
          <cell r="M532">
            <v>101</v>
          </cell>
          <cell r="N532"/>
          <cell r="O532">
            <v>102</v>
          </cell>
          <cell r="P532">
            <v>1</v>
          </cell>
          <cell r="Q532">
            <v>0</v>
          </cell>
          <cell r="R532">
            <v>0</v>
          </cell>
          <cell r="S532">
            <v>0</v>
          </cell>
        </row>
        <row r="533">
          <cell r="D533" t="str">
            <v>Horizon Prisma Delta gebouw B</v>
          </cell>
          <cell r="E533" t="str">
            <v>1e</v>
          </cell>
          <cell r="F533" t="str">
            <v>B1.05</v>
          </cell>
          <cell r="G533" t="str">
            <v>kantoor</v>
          </cell>
          <cell r="H533" t="str">
            <v>administratieve -, personeels- en vergaderruimte</v>
          </cell>
          <cell r="I533" t="str">
            <v>tapijt</v>
          </cell>
          <cell r="J533">
            <v>20.100000000000001</v>
          </cell>
          <cell r="K533"/>
          <cell r="L533">
            <v>1102</v>
          </cell>
          <cell r="M533">
            <v>101</v>
          </cell>
          <cell r="N533"/>
          <cell r="O533">
            <v>102</v>
          </cell>
          <cell r="P533">
            <v>1</v>
          </cell>
          <cell r="Q533">
            <v>0</v>
          </cell>
          <cell r="R533">
            <v>0</v>
          </cell>
          <cell r="S533">
            <v>0</v>
          </cell>
        </row>
        <row r="534">
          <cell r="D534" t="str">
            <v>Horizon Prisma Delta gebouw B</v>
          </cell>
          <cell r="E534" t="str">
            <v>1e</v>
          </cell>
          <cell r="F534" t="str">
            <v>B1.06</v>
          </cell>
          <cell r="G534" t="str">
            <v>Vergaderruimte</v>
          </cell>
          <cell r="H534" t="str">
            <v>administratieve -, personeels- en vergaderruimte</v>
          </cell>
          <cell r="I534" t="str">
            <v>tapijt</v>
          </cell>
          <cell r="J534">
            <v>31.08</v>
          </cell>
          <cell r="K534"/>
          <cell r="L534">
            <v>1153</v>
          </cell>
          <cell r="M534">
            <v>101</v>
          </cell>
          <cell r="N534"/>
          <cell r="O534">
            <v>153</v>
          </cell>
          <cell r="P534">
            <v>1</v>
          </cell>
          <cell r="Q534">
            <v>0</v>
          </cell>
          <cell r="R534">
            <v>0</v>
          </cell>
          <cell r="S534">
            <v>0</v>
          </cell>
        </row>
        <row r="535">
          <cell r="D535" t="str">
            <v>Horizon Prisma Delta gebouw B</v>
          </cell>
          <cell r="E535" t="str">
            <v>bgg</v>
          </cell>
          <cell r="F535" t="str">
            <v>B0.01</v>
          </cell>
          <cell r="G535" t="str">
            <v>Entree</v>
          </cell>
          <cell r="H535" t="str">
            <v>niet van toepassing</v>
          </cell>
          <cell r="I535" t="str">
            <v>inloopmat</v>
          </cell>
          <cell r="J535"/>
          <cell r="K535">
            <v>7.6</v>
          </cell>
          <cell r="L535" t="str">
            <v>nvt</v>
          </cell>
          <cell r="M535">
            <v>0</v>
          </cell>
          <cell r="N535"/>
          <cell r="O535">
            <v>0</v>
          </cell>
          <cell r="P535">
            <v>1</v>
          </cell>
          <cell r="Q535">
            <v>0</v>
          </cell>
          <cell r="R535">
            <v>0</v>
          </cell>
          <cell r="S535">
            <v>0</v>
          </cell>
        </row>
        <row r="536">
          <cell r="D536" t="str">
            <v>Horizon Prisma Delta gebouw B</v>
          </cell>
          <cell r="E536" t="str">
            <v>bgg</v>
          </cell>
          <cell r="F536" t="str">
            <v>B0.02</v>
          </cell>
          <cell r="G536" t="str">
            <v>Trap</v>
          </cell>
          <cell r="H536" t="str">
            <v>niet van toepassing</v>
          </cell>
          <cell r="I536" t="str">
            <v>hout</v>
          </cell>
          <cell r="J536"/>
          <cell r="K536">
            <v>2.2999999999999998</v>
          </cell>
          <cell r="L536" t="str">
            <v>nvt</v>
          </cell>
          <cell r="M536">
            <v>0</v>
          </cell>
          <cell r="N536"/>
          <cell r="O536">
            <v>0</v>
          </cell>
          <cell r="P536">
            <v>1</v>
          </cell>
          <cell r="Q536">
            <v>0</v>
          </cell>
          <cell r="R536">
            <v>0</v>
          </cell>
          <cell r="S536">
            <v>0</v>
          </cell>
        </row>
        <row r="537">
          <cell r="D537" t="str">
            <v>Horizon Prisma Delta gebouw B</v>
          </cell>
          <cell r="E537" t="str">
            <v>bgg</v>
          </cell>
          <cell r="F537" t="str">
            <v>B0.03</v>
          </cell>
          <cell r="G537" t="str">
            <v>gangzone</v>
          </cell>
          <cell r="H537" t="str">
            <v>niet van toepassing</v>
          </cell>
          <cell r="I537" t="str">
            <v>tapijt</v>
          </cell>
          <cell r="J537"/>
          <cell r="K537">
            <v>125.1</v>
          </cell>
          <cell r="L537" t="str">
            <v>nvt</v>
          </cell>
          <cell r="M537">
            <v>0</v>
          </cell>
          <cell r="N537"/>
          <cell r="O537">
            <v>0</v>
          </cell>
          <cell r="P537">
            <v>1</v>
          </cell>
          <cell r="Q537">
            <v>0</v>
          </cell>
          <cell r="R537">
            <v>0</v>
          </cell>
          <cell r="S537">
            <v>0</v>
          </cell>
        </row>
        <row r="538">
          <cell r="D538" t="str">
            <v>Horizon Prisma Delta gebouw B</v>
          </cell>
          <cell r="E538" t="str">
            <v>bgg</v>
          </cell>
          <cell r="F538" t="str">
            <v>B0.04</v>
          </cell>
          <cell r="G538" t="str">
            <v>wachtruimte</v>
          </cell>
          <cell r="H538" t="str">
            <v>niet van toepassing</v>
          </cell>
          <cell r="I538" t="str">
            <v>tapijt</v>
          </cell>
          <cell r="J538"/>
          <cell r="K538">
            <v>18.8</v>
          </cell>
          <cell r="L538" t="str">
            <v>nvt</v>
          </cell>
          <cell r="M538">
            <v>0</v>
          </cell>
          <cell r="N538"/>
          <cell r="O538">
            <v>0</v>
          </cell>
          <cell r="P538">
            <v>1</v>
          </cell>
          <cell r="Q538">
            <v>0</v>
          </cell>
          <cell r="R538">
            <v>0</v>
          </cell>
          <cell r="S538">
            <v>0</v>
          </cell>
        </row>
        <row r="539">
          <cell r="D539" t="str">
            <v>Horizon Prisma Delta gebouw B</v>
          </cell>
          <cell r="E539" t="str">
            <v>bgg</v>
          </cell>
          <cell r="F539" t="str">
            <v>B0.06</v>
          </cell>
          <cell r="G539" t="str">
            <v>kantoor</v>
          </cell>
          <cell r="H539" t="str">
            <v>niet van toepassing</v>
          </cell>
          <cell r="I539" t="str">
            <v>tapijt</v>
          </cell>
          <cell r="J539"/>
          <cell r="K539">
            <v>21.9</v>
          </cell>
          <cell r="L539" t="str">
            <v>nvt</v>
          </cell>
          <cell r="M539">
            <v>0</v>
          </cell>
          <cell r="N539"/>
          <cell r="O539">
            <v>0</v>
          </cell>
          <cell r="P539">
            <v>1</v>
          </cell>
          <cell r="Q539">
            <v>0</v>
          </cell>
          <cell r="R539">
            <v>0</v>
          </cell>
          <cell r="S539">
            <v>0</v>
          </cell>
        </row>
        <row r="540">
          <cell r="D540" t="str">
            <v>Horizon Prisma Delta gebouw B</v>
          </cell>
          <cell r="E540" t="str">
            <v>bgg</v>
          </cell>
          <cell r="F540" t="str">
            <v>B0.07</v>
          </cell>
          <cell r="G540" t="str">
            <v>kantoor</v>
          </cell>
          <cell r="H540" t="str">
            <v>niet van toepassing</v>
          </cell>
          <cell r="I540" t="str">
            <v>tapijt</v>
          </cell>
          <cell r="J540"/>
          <cell r="K540">
            <v>55.1</v>
          </cell>
          <cell r="L540" t="str">
            <v>nvt</v>
          </cell>
          <cell r="M540">
            <v>0</v>
          </cell>
          <cell r="N540"/>
          <cell r="O540">
            <v>0</v>
          </cell>
          <cell r="P540">
            <v>1</v>
          </cell>
          <cell r="Q540">
            <v>0</v>
          </cell>
          <cell r="R540">
            <v>0</v>
          </cell>
          <cell r="S540">
            <v>0</v>
          </cell>
        </row>
        <row r="541">
          <cell r="D541" t="str">
            <v>Horizon Prisma Delta gebouw B</v>
          </cell>
          <cell r="E541" t="str">
            <v>bgg</v>
          </cell>
          <cell r="F541" t="str">
            <v>B0.09</v>
          </cell>
          <cell r="G541" t="str">
            <v>damestoilet</v>
          </cell>
          <cell r="H541" t="str">
            <v>sanitaire ruimte (toilet-/doucheruimte)</v>
          </cell>
          <cell r="I541" t="str">
            <v>tegel</v>
          </cell>
          <cell r="J541">
            <v>1.2</v>
          </cell>
          <cell r="K541"/>
          <cell r="L541">
            <v>4153</v>
          </cell>
          <cell r="M541">
            <v>104</v>
          </cell>
          <cell r="N541"/>
          <cell r="O541">
            <v>153</v>
          </cell>
          <cell r="P541">
            <v>1</v>
          </cell>
          <cell r="Q541">
            <v>0</v>
          </cell>
          <cell r="R541">
            <v>0</v>
          </cell>
          <cell r="S541">
            <v>0</v>
          </cell>
        </row>
        <row r="542">
          <cell r="D542" t="str">
            <v>Horizon Prisma Delta gebouw B</v>
          </cell>
          <cell r="E542" t="str">
            <v>bgg</v>
          </cell>
          <cell r="F542" t="str">
            <v>B0.10</v>
          </cell>
          <cell r="G542" t="str">
            <v>voorruimte damestoilet</v>
          </cell>
          <cell r="H542" t="str">
            <v>sanitaire ruimte (toilet-/doucheruimte)</v>
          </cell>
          <cell r="I542" t="str">
            <v>steen</v>
          </cell>
          <cell r="J542">
            <v>3.6</v>
          </cell>
          <cell r="K542"/>
          <cell r="L542">
            <v>4153</v>
          </cell>
          <cell r="M542">
            <v>104</v>
          </cell>
          <cell r="N542"/>
          <cell r="O542">
            <v>153</v>
          </cell>
          <cell r="P542">
            <v>1</v>
          </cell>
          <cell r="Q542">
            <v>0</v>
          </cell>
          <cell r="R542">
            <v>0</v>
          </cell>
          <cell r="S542">
            <v>0</v>
          </cell>
        </row>
        <row r="543">
          <cell r="D543" t="str">
            <v>Horizon Prisma Delta gebouw B</v>
          </cell>
          <cell r="E543" t="str">
            <v>bgg</v>
          </cell>
          <cell r="F543" t="str">
            <v>B0.11</v>
          </cell>
          <cell r="G543" t="str">
            <v>damestoilet</v>
          </cell>
          <cell r="H543" t="str">
            <v>sanitaire ruimte (toilet-/doucheruimte)</v>
          </cell>
          <cell r="I543" t="str">
            <v>steen</v>
          </cell>
          <cell r="J543">
            <v>1.2</v>
          </cell>
          <cell r="K543"/>
          <cell r="L543">
            <v>4153</v>
          </cell>
          <cell r="M543">
            <v>104</v>
          </cell>
          <cell r="N543"/>
          <cell r="O543">
            <v>153</v>
          </cell>
          <cell r="P543">
            <v>1</v>
          </cell>
          <cell r="Q543">
            <v>0</v>
          </cell>
          <cell r="R543">
            <v>0</v>
          </cell>
          <cell r="S543">
            <v>0</v>
          </cell>
        </row>
        <row r="544">
          <cell r="D544" t="str">
            <v>Horizon Prisma Delta gebouw B</v>
          </cell>
          <cell r="E544" t="str">
            <v>bgg</v>
          </cell>
          <cell r="F544" t="str">
            <v>B0.12</v>
          </cell>
          <cell r="G544" t="str">
            <v>techniek computer</v>
          </cell>
          <cell r="H544" t="str">
            <v>niet van toepassing</v>
          </cell>
          <cell r="I544" t="str">
            <v>tapijt</v>
          </cell>
          <cell r="J544"/>
          <cell r="K544">
            <v>20.6</v>
          </cell>
          <cell r="L544" t="str">
            <v>nvt</v>
          </cell>
          <cell r="M544">
            <v>0</v>
          </cell>
          <cell r="N544"/>
          <cell r="O544">
            <v>0</v>
          </cell>
          <cell r="P544">
            <v>1</v>
          </cell>
          <cell r="Q544">
            <v>0</v>
          </cell>
          <cell r="R544">
            <v>0</v>
          </cell>
          <cell r="S544">
            <v>0</v>
          </cell>
        </row>
        <row r="545">
          <cell r="D545" t="str">
            <v>Horizon Prisma Delta gebouw B</v>
          </cell>
          <cell r="E545" t="str">
            <v>bgg</v>
          </cell>
          <cell r="F545" t="str">
            <v>B0.13</v>
          </cell>
          <cell r="G545" t="str">
            <v>systeembeheer</v>
          </cell>
          <cell r="H545" t="str">
            <v>niet van toepassing</v>
          </cell>
          <cell r="I545" t="str">
            <v>tapijt</v>
          </cell>
          <cell r="J545"/>
          <cell r="K545">
            <v>48.4</v>
          </cell>
          <cell r="L545" t="str">
            <v>nvt</v>
          </cell>
          <cell r="M545">
            <v>0</v>
          </cell>
          <cell r="N545"/>
          <cell r="O545">
            <v>0</v>
          </cell>
          <cell r="P545">
            <v>1</v>
          </cell>
          <cell r="Q545">
            <v>0</v>
          </cell>
          <cell r="R545">
            <v>0</v>
          </cell>
          <cell r="S545">
            <v>0</v>
          </cell>
        </row>
        <row r="546">
          <cell r="D546" t="str">
            <v>Horizon Prisma Delta gebouw B</v>
          </cell>
          <cell r="E546" t="str">
            <v>bgg</v>
          </cell>
          <cell r="F546" t="str">
            <v>B0.14</v>
          </cell>
          <cell r="G546" t="str">
            <v>Berging/winkeltje</v>
          </cell>
          <cell r="H546" t="str">
            <v>niet van toepassing</v>
          </cell>
          <cell r="I546"/>
          <cell r="J546"/>
          <cell r="K546"/>
          <cell r="L546" t="str">
            <v>nvt</v>
          </cell>
          <cell r="M546">
            <v>0</v>
          </cell>
          <cell r="N546"/>
          <cell r="O546">
            <v>0</v>
          </cell>
          <cell r="P546">
            <v>1</v>
          </cell>
          <cell r="Q546">
            <v>0</v>
          </cell>
          <cell r="R546">
            <v>0</v>
          </cell>
          <cell r="S546">
            <v>0</v>
          </cell>
        </row>
        <row r="547">
          <cell r="D547" t="str">
            <v>Horizon Prisma Delta gebouw B</v>
          </cell>
          <cell r="E547" t="str">
            <v>bgg</v>
          </cell>
          <cell r="F547" t="str">
            <v>B0.15</v>
          </cell>
          <cell r="G547" t="str">
            <v>Berging</v>
          </cell>
          <cell r="H547" t="str">
            <v>niet van toepassing</v>
          </cell>
          <cell r="I547"/>
          <cell r="J547"/>
          <cell r="K547"/>
          <cell r="L547" t="str">
            <v>nvt</v>
          </cell>
          <cell r="M547">
            <v>0</v>
          </cell>
          <cell r="N547"/>
          <cell r="O547">
            <v>0</v>
          </cell>
          <cell r="P547">
            <v>1</v>
          </cell>
          <cell r="Q547">
            <v>0</v>
          </cell>
          <cell r="R547">
            <v>0</v>
          </cell>
          <cell r="S547">
            <v>0</v>
          </cell>
        </row>
        <row r="548">
          <cell r="D548" t="str">
            <v>Horizon Prisma Delta gebouw B</v>
          </cell>
          <cell r="E548" t="str">
            <v>bgg</v>
          </cell>
          <cell r="F548" t="str">
            <v>B0.16</v>
          </cell>
          <cell r="G548" t="str">
            <v>Sluis</v>
          </cell>
          <cell r="H548" t="str">
            <v>niet van toepassing</v>
          </cell>
          <cell r="I548" t="str">
            <v>tapijt</v>
          </cell>
          <cell r="J548"/>
          <cell r="K548">
            <v>1.7</v>
          </cell>
          <cell r="L548" t="str">
            <v>nvt</v>
          </cell>
          <cell r="M548">
            <v>0</v>
          </cell>
          <cell r="N548"/>
          <cell r="O548">
            <v>0</v>
          </cell>
          <cell r="P548">
            <v>1</v>
          </cell>
          <cell r="Q548">
            <v>0</v>
          </cell>
          <cell r="R548">
            <v>0</v>
          </cell>
          <cell r="S548">
            <v>0</v>
          </cell>
        </row>
        <row r="549">
          <cell r="D549" t="str">
            <v>Horizon Prisma Delta gebouw B</v>
          </cell>
          <cell r="E549" t="str">
            <v>bgg</v>
          </cell>
          <cell r="F549" t="str">
            <v>B0.17</v>
          </cell>
          <cell r="G549" t="str">
            <v>kantoor</v>
          </cell>
          <cell r="H549" t="str">
            <v>niet van toepassing</v>
          </cell>
          <cell r="I549" t="str">
            <v>tapijt</v>
          </cell>
          <cell r="J549"/>
          <cell r="K549">
            <v>19.600000000000001</v>
          </cell>
          <cell r="L549" t="str">
            <v>nvt</v>
          </cell>
          <cell r="M549">
            <v>0</v>
          </cell>
          <cell r="N549"/>
          <cell r="O549">
            <v>0</v>
          </cell>
          <cell r="P549">
            <v>1</v>
          </cell>
          <cell r="Q549">
            <v>0</v>
          </cell>
          <cell r="R549">
            <v>0</v>
          </cell>
          <cell r="S549">
            <v>0</v>
          </cell>
        </row>
        <row r="550">
          <cell r="D550" t="str">
            <v>Horizon Prisma Delta gebouw B</v>
          </cell>
          <cell r="E550" t="str">
            <v>bgg</v>
          </cell>
          <cell r="F550" t="str">
            <v>B0.18</v>
          </cell>
          <cell r="G550" t="str">
            <v>kantoor</v>
          </cell>
          <cell r="H550" t="str">
            <v>niet van toepassing</v>
          </cell>
          <cell r="I550" t="str">
            <v>tapijt</v>
          </cell>
          <cell r="J550"/>
          <cell r="K550">
            <v>22.2</v>
          </cell>
          <cell r="L550" t="str">
            <v>nvt</v>
          </cell>
          <cell r="M550">
            <v>0</v>
          </cell>
          <cell r="N550"/>
          <cell r="O550">
            <v>0</v>
          </cell>
          <cell r="P550">
            <v>1</v>
          </cell>
          <cell r="Q550">
            <v>0</v>
          </cell>
          <cell r="R550">
            <v>0</v>
          </cell>
          <cell r="S550">
            <v>0</v>
          </cell>
        </row>
        <row r="551">
          <cell r="D551" t="str">
            <v>Horizon Prisma Delta gebouw B</v>
          </cell>
          <cell r="E551" t="str">
            <v>bgg</v>
          </cell>
          <cell r="F551" t="str">
            <v>B0.19</v>
          </cell>
          <cell r="G551" t="str">
            <v>Berging/Magazijn</v>
          </cell>
          <cell r="H551" t="str">
            <v>niet van toepassing</v>
          </cell>
          <cell r="I551"/>
          <cell r="J551"/>
          <cell r="K551"/>
          <cell r="L551" t="str">
            <v>nvt</v>
          </cell>
          <cell r="M551">
            <v>0</v>
          </cell>
          <cell r="N551"/>
          <cell r="O551">
            <v>0</v>
          </cell>
          <cell r="P551">
            <v>1</v>
          </cell>
          <cell r="Q551">
            <v>0</v>
          </cell>
          <cell r="R551">
            <v>0</v>
          </cell>
          <cell r="S551">
            <v>0</v>
          </cell>
        </row>
        <row r="552">
          <cell r="D552" t="str">
            <v>Horizon Prisma Delta gebouw B</v>
          </cell>
          <cell r="E552" t="str">
            <v>bgg</v>
          </cell>
          <cell r="F552" t="str">
            <v>B0.20</v>
          </cell>
          <cell r="G552" t="str">
            <v>Kantine</v>
          </cell>
          <cell r="H552" t="str">
            <v>niet van toepassing</v>
          </cell>
          <cell r="I552"/>
          <cell r="J552"/>
          <cell r="K552"/>
          <cell r="L552" t="str">
            <v>nvt</v>
          </cell>
          <cell r="M552">
            <v>0</v>
          </cell>
          <cell r="N552"/>
          <cell r="O552">
            <v>0</v>
          </cell>
          <cell r="P552">
            <v>1</v>
          </cell>
          <cell r="Q552">
            <v>0</v>
          </cell>
          <cell r="R552">
            <v>0</v>
          </cell>
          <cell r="S552">
            <v>0</v>
          </cell>
        </row>
        <row r="553">
          <cell r="D553" t="str">
            <v>Horizon Prisma Delta gebouw B</v>
          </cell>
          <cell r="E553" t="str">
            <v>bgg</v>
          </cell>
          <cell r="F553" t="str">
            <v>B0.21</v>
          </cell>
          <cell r="G553" t="str">
            <v>Ketelhuis</v>
          </cell>
          <cell r="H553" t="str">
            <v>niet van toepassing</v>
          </cell>
          <cell r="I553"/>
          <cell r="J553"/>
          <cell r="K553"/>
          <cell r="L553" t="str">
            <v>nvt</v>
          </cell>
          <cell r="M553">
            <v>0</v>
          </cell>
          <cell r="N553"/>
          <cell r="O553">
            <v>0</v>
          </cell>
          <cell r="P553">
            <v>1</v>
          </cell>
          <cell r="Q553">
            <v>0</v>
          </cell>
          <cell r="R553">
            <v>0</v>
          </cell>
          <cell r="S553">
            <v>0</v>
          </cell>
        </row>
        <row r="554">
          <cell r="D554" t="str">
            <v>Horizon Prisma Delta gebouw B</v>
          </cell>
          <cell r="E554" t="str">
            <v>bgg</v>
          </cell>
          <cell r="F554" t="str">
            <v>B0.22</v>
          </cell>
          <cell r="G554" t="str">
            <v>kantoor</v>
          </cell>
          <cell r="H554" t="str">
            <v>niet van toepassing</v>
          </cell>
          <cell r="I554" t="str">
            <v>tapijt</v>
          </cell>
          <cell r="J554"/>
          <cell r="K554">
            <v>12.3</v>
          </cell>
          <cell r="L554" t="str">
            <v>nvt</v>
          </cell>
          <cell r="M554">
            <v>0</v>
          </cell>
          <cell r="N554"/>
          <cell r="O554">
            <v>0</v>
          </cell>
          <cell r="P554">
            <v>1</v>
          </cell>
          <cell r="Q554">
            <v>0</v>
          </cell>
          <cell r="R554">
            <v>0</v>
          </cell>
          <cell r="S554">
            <v>0</v>
          </cell>
        </row>
        <row r="555">
          <cell r="D555" t="str">
            <v>Horizon Prisma Delta gebouw B</v>
          </cell>
          <cell r="E555" t="str">
            <v>bgg</v>
          </cell>
          <cell r="F555" t="str">
            <v>B0.23</v>
          </cell>
          <cell r="G555" t="str">
            <v>kantoor</v>
          </cell>
          <cell r="H555" t="str">
            <v>niet van toepassing</v>
          </cell>
          <cell r="I555" t="str">
            <v>tapijt</v>
          </cell>
          <cell r="J555"/>
          <cell r="K555">
            <v>33.299999999999997</v>
          </cell>
          <cell r="L555" t="str">
            <v>nvt</v>
          </cell>
          <cell r="M555">
            <v>0</v>
          </cell>
          <cell r="N555"/>
          <cell r="O555">
            <v>0</v>
          </cell>
          <cell r="P555">
            <v>1</v>
          </cell>
          <cell r="Q555">
            <v>0</v>
          </cell>
          <cell r="R555">
            <v>0</v>
          </cell>
          <cell r="S555">
            <v>0</v>
          </cell>
        </row>
        <row r="556">
          <cell r="D556" t="str">
            <v>Horizon Prisma Delta gebouw B</v>
          </cell>
          <cell r="E556" t="str">
            <v>bgg</v>
          </cell>
          <cell r="F556" t="str">
            <v>B0.24</v>
          </cell>
          <cell r="G556" t="str">
            <v>Archief</v>
          </cell>
          <cell r="H556" t="str">
            <v>niet van toepassing</v>
          </cell>
          <cell r="I556"/>
          <cell r="J556"/>
          <cell r="K556"/>
          <cell r="L556" t="str">
            <v>nvt</v>
          </cell>
          <cell r="M556">
            <v>0</v>
          </cell>
          <cell r="N556"/>
          <cell r="O556">
            <v>0</v>
          </cell>
          <cell r="P556">
            <v>1</v>
          </cell>
          <cell r="Q556">
            <v>0</v>
          </cell>
          <cell r="R556">
            <v>0</v>
          </cell>
          <cell r="S556">
            <v>0</v>
          </cell>
        </row>
        <row r="557">
          <cell r="D557" t="str">
            <v>Horizon Prisma Delta gebouw B</v>
          </cell>
          <cell r="E557" t="str">
            <v>bgg</v>
          </cell>
          <cell r="F557" t="str">
            <v>B0.25</v>
          </cell>
          <cell r="G557" t="str">
            <v>kantoor</v>
          </cell>
          <cell r="H557" t="str">
            <v>niet van toepassing</v>
          </cell>
          <cell r="I557" t="str">
            <v>tapijt</v>
          </cell>
          <cell r="J557"/>
          <cell r="K557">
            <v>41.7</v>
          </cell>
          <cell r="L557" t="str">
            <v>nvt</v>
          </cell>
          <cell r="M557">
            <v>0</v>
          </cell>
          <cell r="N557"/>
          <cell r="O557">
            <v>0</v>
          </cell>
          <cell r="P557">
            <v>1</v>
          </cell>
          <cell r="Q557">
            <v>0</v>
          </cell>
          <cell r="R557">
            <v>0</v>
          </cell>
          <cell r="S557">
            <v>0</v>
          </cell>
        </row>
        <row r="558">
          <cell r="D558" t="str">
            <v>Horizon Prisma Delta gebouw B</v>
          </cell>
          <cell r="E558" t="str">
            <v>bgg</v>
          </cell>
          <cell r="F558" t="str">
            <v>B0.26</v>
          </cell>
          <cell r="G558" t="str">
            <v>Archief</v>
          </cell>
          <cell r="H558" t="str">
            <v>niet van toepassing</v>
          </cell>
          <cell r="I558"/>
          <cell r="J558"/>
          <cell r="K558"/>
          <cell r="L558" t="str">
            <v>nvt</v>
          </cell>
          <cell r="M558">
            <v>0</v>
          </cell>
          <cell r="N558"/>
          <cell r="O558">
            <v>0</v>
          </cell>
          <cell r="P558">
            <v>1</v>
          </cell>
          <cell r="Q558">
            <v>0</v>
          </cell>
          <cell r="R558">
            <v>0</v>
          </cell>
          <cell r="S558">
            <v>0</v>
          </cell>
        </row>
        <row r="559">
          <cell r="D559" t="str">
            <v>Horizon Prisma Delta gebouw B</v>
          </cell>
          <cell r="E559" t="str">
            <v>bgg</v>
          </cell>
          <cell r="F559" t="str">
            <v>B0.27</v>
          </cell>
          <cell r="G559" t="str">
            <v>gangzone</v>
          </cell>
          <cell r="H559" t="str">
            <v>niet van toepassing</v>
          </cell>
          <cell r="I559" t="str">
            <v>tapijt</v>
          </cell>
          <cell r="J559"/>
          <cell r="K559">
            <v>55.1</v>
          </cell>
          <cell r="L559" t="str">
            <v>nvt</v>
          </cell>
          <cell r="M559">
            <v>0</v>
          </cell>
          <cell r="N559"/>
          <cell r="O559">
            <v>0</v>
          </cell>
          <cell r="P559">
            <v>1</v>
          </cell>
          <cell r="Q559">
            <v>0</v>
          </cell>
          <cell r="R559">
            <v>0</v>
          </cell>
          <cell r="S559">
            <v>0</v>
          </cell>
        </row>
        <row r="560">
          <cell r="D560" t="str">
            <v>Horizon Prisma Delta gebouw B</v>
          </cell>
          <cell r="E560" t="str">
            <v>bgg</v>
          </cell>
          <cell r="F560" t="str">
            <v>B0.28</v>
          </cell>
          <cell r="G560" t="str">
            <v>Berging</v>
          </cell>
          <cell r="H560" t="str">
            <v>niet van toepassing</v>
          </cell>
          <cell r="I560"/>
          <cell r="J560"/>
          <cell r="K560"/>
          <cell r="L560" t="str">
            <v>nvt</v>
          </cell>
          <cell r="M560">
            <v>0</v>
          </cell>
          <cell r="N560"/>
          <cell r="O560">
            <v>0</v>
          </cell>
          <cell r="P560">
            <v>1</v>
          </cell>
          <cell r="Q560">
            <v>0</v>
          </cell>
          <cell r="R560">
            <v>0</v>
          </cell>
          <cell r="S560">
            <v>0</v>
          </cell>
        </row>
        <row r="561">
          <cell r="D561" t="str">
            <v>Horizon Prisma Delta gebouw B</v>
          </cell>
          <cell r="E561" t="str">
            <v>bgg</v>
          </cell>
          <cell r="F561" t="str">
            <v>B0.29</v>
          </cell>
          <cell r="G561" t="str">
            <v>kantoor</v>
          </cell>
          <cell r="H561" t="str">
            <v>niet van toepassing</v>
          </cell>
          <cell r="I561" t="str">
            <v>tapijt</v>
          </cell>
          <cell r="J561"/>
          <cell r="K561">
            <v>12.8</v>
          </cell>
          <cell r="L561" t="str">
            <v>nvt</v>
          </cell>
          <cell r="M561">
            <v>0</v>
          </cell>
          <cell r="N561"/>
          <cell r="O561">
            <v>0</v>
          </cell>
          <cell r="P561">
            <v>1</v>
          </cell>
          <cell r="Q561">
            <v>0</v>
          </cell>
          <cell r="R561">
            <v>0</v>
          </cell>
          <cell r="S561">
            <v>0</v>
          </cell>
        </row>
        <row r="562">
          <cell r="D562" t="str">
            <v>Horizon Prisma Delta gebouw B</v>
          </cell>
          <cell r="E562" t="str">
            <v>bgg</v>
          </cell>
          <cell r="F562" t="str">
            <v>B0.30</v>
          </cell>
          <cell r="G562" t="str">
            <v>toilet</v>
          </cell>
          <cell r="H562" t="str">
            <v>sanitaire ruimte (toilet-/doucheruimte)</v>
          </cell>
          <cell r="I562" t="str">
            <v>tegel</v>
          </cell>
          <cell r="J562">
            <v>1.8</v>
          </cell>
          <cell r="K562"/>
          <cell r="L562">
            <v>4153</v>
          </cell>
          <cell r="M562">
            <v>104</v>
          </cell>
          <cell r="N562"/>
          <cell r="O562">
            <v>153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D563" t="str">
            <v>Horizon Prisma Delta gebouw B</v>
          </cell>
          <cell r="E563" t="str">
            <v>bgg</v>
          </cell>
          <cell r="F563" t="str">
            <v>B0.31</v>
          </cell>
          <cell r="G563" t="str">
            <v>toilet</v>
          </cell>
          <cell r="H563" t="str">
            <v>sanitaire ruimte (toilet-/doucheruimte)</v>
          </cell>
          <cell r="I563" t="str">
            <v>tegel</v>
          </cell>
          <cell r="J563">
            <v>1.8</v>
          </cell>
          <cell r="K563"/>
          <cell r="L563">
            <v>4153</v>
          </cell>
          <cell r="M563">
            <v>104</v>
          </cell>
          <cell r="N563"/>
          <cell r="O563">
            <v>153</v>
          </cell>
          <cell r="P563">
            <v>1</v>
          </cell>
          <cell r="Q563">
            <v>0</v>
          </cell>
          <cell r="R563">
            <v>0</v>
          </cell>
          <cell r="S563">
            <v>0</v>
          </cell>
        </row>
        <row r="564">
          <cell r="D564" t="str">
            <v>Horizon Prisma Delta gebouw B</v>
          </cell>
          <cell r="E564" t="str">
            <v>bgg</v>
          </cell>
          <cell r="F564" t="str">
            <v>B0.32/B0.33</v>
          </cell>
          <cell r="G564" t="str">
            <v>kantoor</v>
          </cell>
          <cell r="H564" t="str">
            <v>niet van toepassing</v>
          </cell>
          <cell r="I564" t="str">
            <v>tapijt</v>
          </cell>
          <cell r="J564"/>
          <cell r="K564">
            <v>18.7</v>
          </cell>
          <cell r="L564" t="str">
            <v>nvt</v>
          </cell>
          <cell r="M564">
            <v>0</v>
          </cell>
          <cell r="N564"/>
          <cell r="O564">
            <v>0</v>
          </cell>
          <cell r="P564">
            <v>1</v>
          </cell>
          <cell r="Q564">
            <v>0</v>
          </cell>
          <cell r="R564">
            <v>0</v>
          </cell>
          <cell r="S564">
            <v>0</v>
          </cell>
        </row>
        <row r="565">
          <cell r="D565" t="str">
            <v>Horizon Prisma Delta gebouw B</v>
          </cell>
          <cell r="E565" t="str">
            <v>bgg</v>
          </cell>
          <cell r="F565" t="str">
            <v>B0.34</v>
          </cell>
          <cell r="G565" t="str">
            <v>Berging</v>
          </cell>
          <cell r="H565" t="str">
            <v>niet van toepassing</v>
          </cell>
          <cell r="I565"/>
          <cell r="J565"/>
          <cell r="K565"/>
          <cell r="L565" t="str">
            <v>nvt</v>
          </cell>
          <cell r="M565">
            <v>0</v>
          </cell>
          <cell r="N565"/>
          <cell r="O565">
            <v>0</v>
          </cell>
          <cell r="P565">
            <v>1</v>
          </cell>
          <cell r="Q565">
            <v>0</v>
          </cell>
          <cell r="R565">
            <v>0</v>
          </cell>
          <cell r="S565">
            <v>0</v>
          </cell>
        </row>
        <row r="566">
          <cell r="D566" t="str">
            <v>Horizon Prisma Delta gebouw B</v>
          </cell>
          <cell r="E566" t="str">
            <v>bgg</v>
          </cell>
          <cell r="F566" t="str">
            <v>B0.35</v>
          </cell>
          <cell r="G566" t="str">
            <v>kantoor</v>
          </cell>
          <cell r="H566" t="str">
            <v>niet van toepassing</v>
          </cell>
          <cell r="I566" t="str">
            <v>tapijt</v>
          </cell>
          <cell r="J566"/>
          <cell r="K566">
            <v>12.9</v>
          </cell>
          <cell r="L566" t="str">
            <v>nvt</v>
          </cell>
          <cell r="M566">
            <v>0</v>
          </cell>
          <cell r="N566"/>
          <cell r="O566">
            <v>0</v>
          </cell>
          <cell r="P566">
            <v>1</v>
          </cell>
          <cell r="Q566">
            <v>0</v>
          </cell>
          <cell r="R566">
            <v>0</v>
          </cell>
          <cell r="S566">
            <v>0</v>
          </cell>
        </row>
        <row r="567">
          <cell r="D567" t="str">
            <v>Horizon Prisma Delta gebouw B</v>
          </cell>
          <cell r="E567" t="str">
            <v>bgg</v>
          </cell>
          <cell r="F567" t="str">
            <v>B0.36</v>
          </cell>
          <cell r="G567" t="str">
            <v>Washok</v>
          </cell>
          <cell r="H567" t="str">
            <v>niet van toepassing</v>
          </cell>
          <cell r="I567"/>
          <cell r="J567"/>
          <cell r="K567"/>
          <cell r="L567" t="str">
            <v>nvt</v>
          </cell>
          <cell r="M567">
            <v>0</v>
          </cell>
          <cell r="N567"/>
          <cell r="O567">
            <v>0</v>
          </cell>
          <cell r="P567">
            <v>1</v>
          </cell>
          <cell r="Q567">
            <v>0</v>
          </cell>
          <cell r="R567">
            <v>0</v>
          </cell>
          <cell r="S567">
            <v>0</v>
          </cell>
        </row>
        <row r="568">
          <cell r="D568" t="str">
            <v>Horizon Prisma Delta gebouw B</v>
          </cell>
          <cell r="E568" t="str">
            <v>bgg</v>
          </cell>
          <cell r="F568" t="str">
            <v>B0.37</v>
          </cell>
          <cell r="G568" t="str">
            <v>herentoilet</v>
          </cell>
          <cell r="H568" t="str">
            <v>sanitaire ruimte (toilet-/doucheruimte)</v>
          </cell>
          <cell r="I568" t="str">
            <v>tegel</v>
          </cell>
          <cell r="J568">
            <v>1.2</v>
          </cell>
          <cell r="K568"/>
          <cell r="L568">
            <v>4153</v>
          </cell>
          <cell r="M568">
            <v>104</v>
          </cell>
          <cell r="N568"/>
          <cell r="O568">
            <v>153</v>
          </cell>
          <cell r="P568">
            <v>1</v>
          </cell>
          <cell r="Q568">
            <v>0</v>
          </cell>
          <cell r="R568">
            <v>0</v>
          </cell>
          <cell r="S568">
            <v>0</v>
          </cell>
        </row>
        <row r="569">
          <cell r="D569" t="str">
            <v>Horizon Prisma Delta gebouw B</v>
          </cell>
          <cell r="E569" t="str">
            <v>bgg</v>
          </cell>
          <cell r="F569" t="str">
            <v>B0.38</v>
          </cell>
          <cell r="G569" t="str">
            <v>voorruimte herentoilet</v>
          </cell>
          <cell r="H569" t="str">
            <v>sanitaire ruimte (toilet-/doucheruimte)</v>
          </cell>
          <cell r="I569" t="str">
            <v>steen</v>
          </cell>
          <cell r="J569">
            <v>3.6</v>
          </cell>
          <cell r="K569"/>
          <cell r="L569">
            <v>4153</v>
          </cell>
          <cell r="M569">
            <v>104</v>
          </cell>
          <cell r="N569"/>
          <cell r="O569">
            <v>153</v>
          </cell>
          <cell r="P569">
            <v>1</v>
          </cell>
          <cell r="Q569">
            <v>0</v>
          </cell>
          <cell r="R569">
            <v>0</v>
          </cell>
          <cell r="S569">
            <v>0</v>
          </cell>
        </row>
        <row r="570">
          <cell r="D570" t="str">
            <v>Horizon Prisma Delta gebouw B</v>
          </cell>
          <cell r="E570" t="str">
            <v>bgg</v>
          </cell>
          <cell r="F570" t="str">
            <v>B0.39</v>
          </cell>
          <cell r="G570" t="str">
            <v>herentoilet</v>
          </cell>
          <cell r="H570" t="str">
            <v>sanitaire ruimte (toilet-/doucheruimte)</v>
          </cell>
          <cell r="I570" t="str">
            <v>steen</v>
          </cell>
          <cell r="J570">
            <v>1.2</v>
          </cell>
          <cell r="K570"/>
          <cell r="L570">
            <v>4153</v>
          </cell>
          <cell r="M570">
            <v>104</v>
          </cell>
          <cell r="N570"/>
          <cell r="O570">
            <v>153</v>
          </cell>
          <cell r="P570">
            <v>1</v>
          </cell>
          <cell r="Q570">
            <v>0</v>
          </cell>
          <cell r="R570">
            <v>0</v>
          </cell>
          <cell r="S570">
            <v>0</v>
          </cell>
        </row>
        <row r="571">
          <cell r="D571" t="str">
            <v>Horizon Prisma Delta gebouw B</v>
          </cell>
          <cell r="E571" t="str">
            <v>bgg</v>
          </cell>
          <cell r="F571" t="str">
            <v>B0.40</v>
          </cell>
          <cell r="G571" t="str">
            <v>kantoor</v>
          </cell>
          <cell r="H571" t="str">
            <v>niet van toepassing</v>
          </cell>
          <cell r="I571" t="str">
            <v>tapijt</v>
          </cell>
          <cell r="J571"/>
          <cell r="K571">
            <v>20.100000000000001</v>
          </cell>
          <cell r="L571" t="str">
            <v>nvt</v>
          </cell>
          <cell r="M571">
            <v>0</v>
          </cell>
          <cell r="N571"/>
          <cell r="O571">
            <v>0</v>
          </cell>
          <cell r="P571">
            <v>1</v>
          </cell>
          <cell r="Q571">
            <v>0</v>
          </cell>
          <cell r="R571">
            <v>0</v>
          </cell>
          <cell r="S571">
            <v>0</v>
          </cell>
        </row>
        <row r="572">
          <cell r="D572" t="str">
            <v>Horizon Prisma Delta gebouw B</v>
          </cell>
          <cell r="E572" t="str">
            <v>bgg</v>
          </cell>
          <cell r="F572" t="str">
            <v>B0.41</v>
          </cell>
          <cell r="G572" t="str">
            <v>kantoor</v>
          </cell>
          <cell r="H572" t="str">
            <v>niet van toepassing</v>
          </cell>
          <cell r="I572" t="str">
            <v>tapijt</v>
          </cell>
          <cell r="J572"/>
          <cell r="K572">
            <v>20.100000000000001</v>
          </cell>
          <cell r="L572" t="str">
            <v>nvt</v>
          </cell>
          <cell r="M572">
            <v>0</v>
          </cell>
          <cell r="N572"/>
          <cell r="O572">
            <v>0</v>
          </cell>
          <cell r="P572">
            <v>1</v>
          </cell>
          <cell r="Q572">
            <v>0</v>
          </cell>
          <cell r="R572">
            <v>0</v>
          </cell>
          <cell r="S572">
            <v>0</v>
          </cell>
        </row>
        <row r="573">
          <cell r="D573" t="str">
            <v>Horizon Prisma Delta gebouw B</v>
          </cell>
          <cell r="E573" t="str">
            <v>bgg</v>
          </cell>
          <cell r="F573" t="str">
            <v>B0.42</v>
          </cell>
          <cell r="G573" t="str">
            <v>kantoor</v>
          </cell>
          <cell r="H573" t="str">
            <v>niet van toepassing</v>
          </cell>
          <cell r="I573" t="str">
            <v>tapijt</v>
          </cell>
          <cell r="J573"/>
          <cell r="K573">
            <v>20.100000000000001</v>
          </cell>
          <cell r="L573" t="str">
            <v>nvt</v>
          </cell>
          <cell r="M573">
            <v>0</v>
          </cell>
          <cell r="N573"/>
          <cell r="O573">
            <v>0</v>
          </cell>
          <cell r="P573">
            <v>1</v>
          </cell>
          <cell r="Q573">
            <v>0</v>
          </cell>
          <cell r="R573">
            <v>0</v>
          </cell>
          <cell r="S573">
            <v>0</v>
          </cell>
        </row>
        <row r="574">
          <cell r="D574" t="str">
            <v>Horizon Prisma Delta gebouw B</v>
          </cell>
          <cell r="E574" t="str">
            <v>bgg</v>
          </cell>
          <cell r="F574" t="str">
            <v>B0.43</v>
          </cell>
          <cell r="G574" t="str">
            <v>kantoor</v>
          </cell>
          <cell r="H574" t="str">
            <v>niet van toepassing</v>
          </cell>
          <cell r="I574" t="str">
            <v>tapijt</v>
          </cell>
          <cell r="J574"/>
          <cell r="K574">
            <v>25.2</v>
          </cell>
          <cell r="L574" t="str">
            <v>nvt</v>
          </cell>
          <cell r="M574">
            <v>0</v>
          </cell>
          <cell r="N574"/>
          <cell r="O574">
            <v>0</v>
          </cell>
          <cell r="P574">
            <v>1</v>
          </cell>
          <cell r="Q574">
            <v>0</v>
          </cell>
          <cell r="R574">
            <v>0</v>
          </cell>
          <cell r="S574">
            <v>0</v>
          </cell>
        </row>
        <row r="575">
          <cell r="D575" t="str">
            <v>Horizon Prisma Delta gebouw B</v>
          </cell>
          <cell r="E575" t="str">
            <v>bgg</v>
          </cell>
          <cell r="F575" t="str">
            <v>B0.44</v>
          </cell>
          <cell r="G575" t="str">
            <v>receptie</v>
          </cell>
          <cell r="H575" t="str">
            <v>niet van toepassing</v>
          </cell>
          <cell r="I575" t="str">
            <v>tapijt</v>
          </cell>
          <cell r="J575"/>
          <cell r="K575">
            <v>9</v>
          </cell>
          <cell r="L575" t="str">
            <v>nvt</v>
          </cell>
          <cell r="M575">
            <v>0</v>
          </cell>
          <cell r="N575"/>
          <cell r="O575">
            <v>0</v>
          </cell>
          <cell r="P575">
            <v>1</v>
          </cell>
          <cell r="Q575">
            <v>0</v>
          </cell>
          <cell r="R575">
            <v>0</v>
          </cell>
          <cell r="S575">
            <v>0</v>
          </cell>
        </row>
        <row r="576">
          <cell r="D576" t="str">
            <v>Horizon Prisma Delta gebouw B</v>
          </cell>
          <cell r="E576" t="str">
            <v>1e</v>
          </cell>
          <cell r="F576" t="str">
            <v>B1.01</v>
          </cell>
          <cell r="G576" t="str">
            <v>gangzone</v>
          </cell>
          <cell r="H576" t="str">
            <v>niet van toepassing</v>
          </cell>
          <cell r="I576" t="str">
            <v>tapijt</v>
          </cell>
          <cell r="J576"/>
          <cell r="K576">
            <v>57.1</v>
          </cell>
          <cell r="L576" t="str">
            <v>nvt</v>
          </cell>
          <cell r="M576">
            <v>0</v>
          </cell>
          <cell r="N576"/>
          <cell r="O576">
            <v>0</v>
          </cell>
          <cell r="P576">
            <v>1</v>
          </cell>
          <cell r="Q576">
            <v>0</v>
          </cell>
          <cell r="R576">
            <v>0</v>
          </cell>
          <cell r="S576">
            <v>0</v>
          </cell>
        </row>
        <row r="577">
          <cell r="D577" t="str">
            <v>Horizon Prisma Delta gebouw B</v>
          </cell>
          <cell r="E577" t="str">
            <v>1e</v>
          </cell>
          <cell r="F577" t="str">
            <v>B1.02</v>
          </cell>
          <cell r="G577" t="str">
            <v>trap</v>
          </cell>
          <cell r="H577" t="str">
            <v>niet van toepassing</v>
          </cell>
          <cell r="I577" t="str">
            <v>tapijt</v>
          </cell>
          <cell r="J577"/>
          <cell r="K577">
            <v>6.2</v>
          </cell>
          <cell r="L577" t="str">
            <v>nvt</v>
          </cell>
          <cell r="M577">
            <v>0</v>
          </cell>
          <cell r="N577"/>
          <cell r="O577">
            <v>0</v>
          </cell>
          <cell r="P577">
            <v>1</v>
          </cell>
          <cell r="Q577">
            <v>0</v>
          </cell>
          <cell r="R577">
            <v>0</v>
          </cell>
          <cell r="S577">
            <v>0</v>
          </cell>
        </row>
        <row r="578">
          <cell r="D578" t="str">
            <v>Horizon Prisma Delta gebouw B</v>
          </cell>
          <cell r="E578" t="str">
            <v>1e</v>
          </cell>
          <cell r="F578" t="str">
            <v>B1.03</v>
          </cell>
          <cell r="G578" t="str">
            <v>kantoor</v>
          </cell>
          <cell r="H578" t="str">
            <v>niet van toepassing</v>
          </cell>
          <cell r="I578" t="str">
            <v>tapijt</v>
          </cell>
          <cell r="J578"/>
          <cell r="K578">
            <v>20.8</v>
          </cell>
          <cell r="L578" t="str">
            <v>nvt</v>
          </cell>
          <cell r="M578">
            <v>0</v>
          </cell>
          <cell r="N578"/>
          <cell r="O578">
            <v>0</v>
          </cell>
          <cell r="P578">
            <v>1</v>
          </cell>
          <cell r="Q578">
            <v>0</v>
          </cell>
          <cell r="R578">
            <v>0</v>
          </cell>
          <cell r="S578">
            <v>0</v>
          </cell>
        </row>
        <row r="579">
          <cell r="D579" t="str">
            <v>Horizon Prisma Delta gebouw B</v>
          </cell>
          <cell r="E579" t="str">
            <v>1e</v>
          </cell>
          <cell r="F579" t="str">
            <v>B1.04</v>
          </cell>
          <cell r="G579" t="str">
            <v>kantoor</v>
          </cell>
          <cell r="H579" t="str">
            <v>niet van toepassing</v>
          </cell>
          <cell r="I579" t="str">
            <v>tapijt</v>
          </cell>
          <cell r="J579"/>
          <cell r="K579">
            <v>43.5</v>
          </cell>
          <cell r="L579" t="str">
            <v>nvt</v>
          </cell>
          <cell r="M579">
            <v>0</v>
          </cell>
          <cell r="N579"/>
          <cell r="O579">
            <v>0</v>
          </cell>
          <cell r="P579">
            <v>1</v>
          </cell>
          <cell r="Q579">
            <v>0</v>
          </cell>
          <cell r="R579">
            <v>0</v>
          </cell>
          <cell r="S579">
            <v>0</v>
          </cell>
        </row>
        <row r="580">
          <cell r="D580" t="str">
            <v>Horizon Prisma Delta gebouw B</v>
          </cell>
          <cell r="E580" t="str">
            <v>1e</v>
          </cell>
          <cell r="F580" t="str">
            <v>B1.05</v>
          </cell>
          <cell r="G580" t="str">
            <v>kantoor</v>
          </cell>
          <cell r="H580" t="str">
            <v>niet van toepassing</v>
          </cell>
          <cell r="I580" t="str">
            <v>tapijt</v>
          </cell>
          <cell r="J580"/>
          <cell r="K580">
            <v>20.100000000000001</v>
          </cell>
          <cell r="L580" t="str">
            <v>nvt</v>
          </cell>
          <cell r="M580">
            <v>0</v>
          </cell>
          <cell r="N580"/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</row>
        <row r="581">
          <cell r="D581" t="str">
            <v>Horizon Prisma Delta gebouw B</v>
          </cell>
          <cell r="E581" t="str">
            <v>1e</v>
          </cell>
          <cell r="F581" t="str">
            <v>B1.06</v>
          </cell>
          <cell r="G581" t="str">
            <v>Vergaderruimte</v>
          </cell>
          <cell r="H581" t="str">
            <v>niet van toepassing</v>
          </cell>
          <cell r="I581" t="str">
            <v>tapijt</v>
          </cell>
          <cell r="J581"/>
          <cell r="K581">
            <v>41.3</v>
          </cell>
          <cell r="L581" t="str">
            <v>nvt</v>
          </cell>
          <cell r="M581">
            <v>0</v>
          </cell>
          <cell r="N581"/>
          <cell r="O581">
            <v>0</v>
          </cell>
          <cell r="P581">
            <v>1</v>
          </cell>
          <cell r="Q581">
            <v>0</v>
          </cell>
          <cell r="R581">
            <v>0</v>
          </cell>
          <cell r="S581">
            <v>0</v>
          </cell>
        </row>
        <row r="582">
          <cell r="D582" t="str">
            <v>Horizon Prisma Delta gebouw B</v>
          </cell>
          <cell r="E582" t="str">
            <v>1e</v>
          </cell>
          <cell r="F582" t="str">
            <v>B1.07</v>
          </cell>
          <cell r="G582" t="str">
            <v>gangzone</v>
          </cell>
          <cell r="H582" t="str">
            <v>niet van toepassing</v>
          </cell>
          <cell r="I582" t="str">
            <v>tapijt</v>
          </cell>
          <cell r="J582"/>
          <cell r="K582">
            <v>39.1</v>
          </cell>
          <cell r="L582" t="str">
            <v>nvt</v>
          </cell>
          <cell r="M582">
            <v>0</v>
          </cell>
          <cell r="N582"/>
          <cell r="O582">
            <v>0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D583" t="str">
            <v>Horizon Prisma Delta gebouw B</v>
          </cell>
          <cell r="E583" t="str">
            <v>1e</v>
          </cell>
          <cell r="F583" t="str">
            <v>B1.08</v>
          </cell>
          <cell r="G583" t="str">
            <v>kantoor</v>
          </cell>
          <cell r="H583" t="str">
            <v>niet van toepassing</v>
          </cell>
          <cell r="I583" t="str">
            <v>tapijt</v>
          </cell>
          <cell r="J583"/>
          <cell r="K583">
            <v>74.5</v>
          </cell>
          <cell r="L583" t="str">
            <v>nvt</v>
          </cell>
          <cell r="M583">
            <v>0</v>
          </cell>
          <cell r="N583"/>
          <cell r="O583">
            <v>0</v>
          </cell>
          <cell r="P583">
            <v>1</v>
          </cell>
          <cell r="Q583">
            <v>0</v>
          </cell>
          <cell r="R583">
            <v>0</v>
          </cell>
          <cell r="S583">
            <v>0</v>
          </cell>
        </row>
        <row r="584">
          <cell r="D584" t="str">
            <v>Horizon Prisma Delta gebouw B</v>
          </cell>
          <cell r="E584" t="str">
            <v>1e</v>
          </cell>
          <cell r="F584" t="str">
            <v>B1.09</v>
          </cell>
          <cell r="G584" t="str">
            <v>Archief</v>
          </cell>
          <cell r="H584" t="str">
            <v>niet van toepassing</v>
          </cell>
          <cell r="I584"/>
          <cell r="J584"/>
          <cell r="K584"/>
          <cell r="L584" t="str">
            <v>nvt</v>
          </cell>
          <cell r="M584">
            <v>0</v>
          </cell>
          <cell r="N584"/>
          <cell r="O584">
            <v>0</v>
          </cell>
          <cell r="P584">
            <v>1</v>
          </cell>
          <cell r="Q584">
            <v>0</v>
          </cell>
          <cell r="R584">
            <v>0</v>
          </cell>
          <cell r="S584">
            <v>0</v>
          </cell>
        </row>
        <row r="585">
          <cell r="D585" t="str">
            <v>Horizon Prisma Delta gebouw B</v>
          </cell>
          <cell r="E585" t="str">
            <v>1e</v>
          </cell>
          <cell r="F585" t="str">
            <v>B1.10</v>
          </cell>
          <cell r="G585" t="str">
            <v>Kantoor</v>
          </cell>
          <cell r="H585" t="str">
            <v>niet van toepassing</v>
          </cell>
          <cell r="I585" t="str">
            <v>tapijt</v>
          </cell>
          <cell r="J585"/>
          <cell r="K585">
            <v>14.9</v>
          </cell>
          <cell r="L585" t="str">
            <v>nvt</v>
          </cell>
          <cell r="M585">
            <v>0</v>
          </cell>
          <cell r="N585"/>
          <cell r="O585">
            <v>0</v>
          </cell>
          <cell r="P585">
            <v>1</v>
          </cell>
          <cell r="Q585">
            <v>0</v>
          </cell>
          <cell r="R585">
            <v>0</v>
          </cell>
          <cell r="S585">
            <v>0</v>
          </cell>
        </row>
        <row r="586">
          <cell r="D586" t="str">
            <v>Horizon Prisma Delta gebouw B</v>
          </cell>
          <cell r="E586" t="str">
            <v>1e</v>
          </cell>
          <cell r="F586" t="str">
            <v>B1.11</v>
          </cell>
          <cell r="G586" t="str">
            <v>kantoor AHPZ</v>
          </cell>
          <cell r="H586" t="str">
            <v>niet van toepassing</v>
          </cell>
          <cell r="I586" t="str">
            <v>tapijt</v>
          </cell>
          <cell r="J586"/>
          <cell r="K586">
            <v>13.5</v>
          </cell>
          <cell r="L586" t="str">
            <v>nvt</v>
          </cell>
          <cell r="M586">
            <v>0</v>
          </cell>
          <cell r="N586"/>
          <cell r="O586">
            <v>0</v>
          </cell>
          <cell r="P586">
            <v>1</v>
          </cell>
          <cell r="Q586">
            <v>0</v>
          </cell>
          <cell r="R586">
            <v>0</v>
          </cell>
          <cell r="S586">
            <v>0</v>
          </cell>
        </row>
        <row r="587">
          <cell r="D587" t="str">
            <v>Horizon Prisma Delta gebouw B</v>
          </cell>
          <cell r="E587" t="str">
            <v>1e</v>
          </cell>
          <cell r="F587" t="str">
            <v>B1.12</v>
          </cell>
          <cell r="G587" t="str">
            <v>kantoor PZ</v>
          </cell>
          <cell r="H587" t="str">
            <v>niet van toepassing</v>
          </cell>
          <cell r="I587" t="str">
            <v>tapijt</v>
          </cell>
          <cell r="J587"/>
          <cell r="K587">
            <v>49.03</v>
          </cell>
          <cell r="L587" t="str">
            <v>nvt</v>
          </cell>
          <cell r="M587">
            <v>0</v>
          </cell>
          <cell r="N587"/>
          <cell r="O587">
            <v>0</v>
          </cell>
          <cell r="P587">
            <v>1</v>
          </cell>
          <cell r="Q587">
            <v>0</v>
          </cell>
          <cell r="R587">
            <v>0</v>
          </cell>
          <cell r="S587">
            <v>0</v>
          </cell>
        </row>
        <row r="588">
          <cell r="D588" t="str">
            <v>Horizon Prisma Delta gebouw B</v>
          </cell>
          <cell r="E588" t="str">
            <v>1e</v>
          </cell>
          <cell r="F588" t="str">
            <v>B1.13</v>
          </cell>
          <cell r="G588" t="str">
            <v>Werkkast</v>
          </cell>
          <cell r="H588" t="str">
            <v>niet van toepassing</v>
          </cell>
          <cell r="I588"/>
          <cell r="J588"/>
          <cell r="K588"/>
          <cell r="L588" t="str">
            <v>nvt</v>
          </cell>
          <cell r="M588">
            <v>0</v>
          </cell>
          <cell r="N588"/>
          <cell r="O588">
            <v>0</v>
          </cell>
          <cell r="P588">
            <v>1</v>
          </cell>
          <cell r="Q588">
            <v>0</v>
          </cell>
          <cell r="R588">
            <v>0</v>
          </cell>
          <cell r="S588">
            <v>0</v>
          </cell>
        </row>
        <row r="589">
          <cell r="D589" t="str">
            <v>Horizon Prisma Delta gebouw B</v>
          </cell>
          <cell r="E589" t="str">
            <v>1e</v>
          </cell>
          <cell r="F589" t="str">
            <v>B1.14</v>
          </cell>
          <cell r="G589" t="str">
            <v>Vergaderruimte</v>
          </cell>
          <cell r="H589" t="str">
            <v>niet van toepassing</v>
          </cell>
          <cell r="I589" t="str">
            <v>tapijt</v>
          </cell>
          <cell r="J589"/>
          <cell r="K589">
            <v>58.2</v>
          </cell>
          <cell r="L589" t="str">
            <v>nvt</v>
          </cell>
          <cell r="M589">
            <v>0</v>
          </cell>
          <cell r="N589"/>
          <cell r="O589">
            <v>0</v>
          </cell>
          <cell r="P589">
            <v>1</v>
          </cell>
          <cell r="Q589">
            <v>0</v>
          </cell>
          <cell r="R589">
            <v>0</v>
          </cell>
          <cell r="S589">
            <v>0</v>
          </cell>
        </row>
        <row r="590">
          <cell r="D590" t="str">
            <v>Horizon Prisma Delta gebouw B</v>
          </cell>
          <cell r="E590" t="str">
            <v>1e</v>
          </cell>
          <cell r="F590" t="str">
            <v>B1.15</v>
          </cell>
          <cell r="G590" t="str">
            <v>Opslag</v>
          </cell>
          <cell r="H590" t="str">
            <v>niet van toepassing</v>
          </cell>
          <cell r="I590" t="str">
            <v>tapijt</v>
          </cell>
          <cell r="J590"/>
          <cell r="K590"/>
          <cell r="L590" t="str">
            <v>nvt</v>
          </cell>
          <cell r="M590">
            <v>0</v>
          </cell>
          <cell r="N590"/>
          <cell r="O590">
            <v>0</v>
          </cell>
          <cell r="P590">
            <v>1</v>
          </cell>
          <cell r="Q590">
            <v>0</v>
          </cell>
          <cell r="R590">
            <v>0</v>
          </cell>
          <cell r="S590">
            <v>0</v>
          </cell>
        </row>
        <row r="591">
          <cell r="D591" t="str">
            <v>Horizon Prisma Delta gebouw B</v>
          </cell>
          <cell r="E591" t="str">
            <v>1e</v>
          </cell>
          <cell r="F591" t="str">
            <v>B1.16</v>
          </cell>
          <cell r="G591" t="str">
            <v>herentoilet</v>
          </cell>
          <cell r="H591" t="str">
            <v>sanitaire ruimte (toilet-/doucheruimte)</v>
          </cell>
          <cell r="I591" t="str">
            <v>steen</v>
          </cell>
          <cell r="J591">
            <v>1.3</v>
          </cell>
          <cell r="K591"/>
          <cell r="L591">
            <v>4153</v>
          </cell>
          <cell r="M591">
            <v>104</v>
          </cell>
          <cell r="N591"/>
          <cell r="O591">
            <v>153</v>
          </cell>
          <cell r="P591">
            <v>1</v>
          </cell>
          <cell r="Q591">
            <v>0</v>
          </cell>
          <cell r="R591">
            <v>0</v>
          </cell>
          <cell r="S591">
            <v>0</v>
          </cell>
        </row>
        <row r="592">
          <cell r="D592" t="str">
            <v>Horizon Prisma Delta gebouw B</v>
          </cell>
          <cell r="E592" t="str">
            <v>1e</v>
          </cell>
          <cell r="F592" t="str">
            <v>B1.17</v>
          </cell>
          <cell r="G592" t="str">
            <v>voorruimte herentoilet</v>
          </cell>
          <cell r="H592" t="str">
            <v>sanitaire ruimte (toilet-/doucheruimte)</v>
          </cell>
          <cell r="I592" t="str">
            <v>steen</v>
          </cell>
          <cell r="J592">
            <v>1.6</v>
          </cell>
          <cell r="K592"/>
          <cell r="L592">
            <v>4153</v>
          </cell>
          <cell r="M592">
            <v>104</v>
          </cell>
          <cell r="N592"/>
          <cell r="O592">
            <v>153</v>
          </cell>
          <cell r="P592">
            <v>1</v>
          </cell>
          <cell r="Q592">
            <v>0</v>
          </cell>
          <cell r="R592">
            <v>0</v>
          </cell>
          <cell r="S592">
            <v>0</v>
          </cell>
        </row>
        <row r="593">
          <cell r="D593" t="str">
            <v>Horizon Prisma Delta gebouw B</v>
          </cell>
          <cell r="E593" t="str">
            <v>1e</v>
          </cell>
          <cell r="F593" t="str">
            <v>B1.18</v>
          </cell>
          <cell r="G593" t="str">
            <v>damestoilet</v>
          </cell>
          <cell r="H593" t="str">
            <v>sanitaire ruimte (toilet-/doucheruimte)</v>
          </cell>
          <cell r="I593" t="str">
            <v>steen</v>
          </cell>
          <cell r="J593">
            <v>1.3</v>
          </cell>
          <cell r="K593"/>
          <cell r="L593">
            <v>4153</v>
          </cell>
          <cell r="M593">
            <v>104</v>
          </cell>
          <cell r="N593"/>
          <cell r="O593">
            <v>153</v>
          </cell>
          <cell r="P593">
            <v>1</v>
          </cell>
          <cell r="Q593">
            <v>0</v>
          </cell>
          <cell r="R593">
            <v>0</v>
          </cell>
          <cell r="S593">
            <v>0</v>
          </cell>
        </row>
        <row r="594">
          <cell r="D594" t="str">
            <v>Horizon Prisma Delta gebouw B</v>
          </cell>
          <cell r="E594" t="str">
            <v>1e</v>
          </cell>
          <cell r="F594" t="str">
            <v>B1.19</v>
          </cell>
          <cell r="G594" t="str">
            <v>voorruimte damestoilet</v>
          </cell>
          <cell r="H594" t="str">
            <v>sanitaire ruimte (toilet-/doucheruimte)</v>
          </cell>
          <cell r="I594" t="str">
            <v>steen</v>
          </cell>
          <cell r="J594">
            <v>1.6</v>
          </cell>
          <cell r="K594"/>
          <cell r="L594">
            <v>4153</v>
          </cell>
          <cell r="M594">
            <v>104</v>
          </cell>
          <cell r="N594"/>
          <cell r="O594">
            <v>153</v>
          </cell>
          <cell r="P594">
            <v>1</v>
          </cell>
          <cell r="Q594">
            <v>0</v>
          </cell>
          <cell r="R594">
            <v>0</v>
          </cell>
          <cell r="S594">
            <v>0</v>
          </cell>
        </row>
        <row r="595">
          <cell r="D595" t="str">
            <v>Horizon Prisma Delta gebouw B</v>
          </cell>
          <cell r="E595" t="str">
            <v>1e</v>
          </cell>
          <cell r="F595" t="str">
            <v>B1.20</v>
          </cell>
          <cell r="G595" t="str">
            <v>kantoor</v>
          </cell>
          <cell r="H595" t="str">
            <v>niet van toepassing</v>
          </cell>
          <cell r="I595" t="str">
            <v>tapijt</v>
          </cell>
          <cell r="J595"/>
          <cell r="K595">
            <v>27.3</v>
          </cell>
          <cell r="L595" t="str">
            <v>nvt</v>
          </cell>
          <cell r="M595">
            <v>0</v>
          </cell>
          <cell r="N595"/>
          <cell r="O595">
            <v>0</v>
          </cell>
          <cell r="P595">
            <v>1</v>
          </cell>
          <cell r="Q595">
            <v>0</v>
          </cell>
          <cell r="R595">
            <v>0</v>
          </cell>
          <cell r="S595">
            <v>0</v>
          </cell>
        </row>
        <row r="596">
          <cell r="D596" t="str">
            <v>Horizon Prisma Delta gebouw B</v>
          </cell>
          <cell r="E596" t="str">
            <v>1e</v>
          </cell>
          <cell r="F596" t="str">
            <v>B1.21</v>
          </cell>
          <cell r="G596" t="str">
            <v>kantoor</v>
          </cell>
          <cell r="H596" t="str">
            <v>niet van toepassing</v>
          </cell>
          <cell r="I596" t="str">
            <v>tapijt</v>
          </cell>
          <cell r="J596"/>
          <cell r="K596">
            <v>20.100000000000001</v>
          </cell>
          <cell r="L596" t="str">
            <v>nvt</v>
          </cell>
          <cell r="M596">
            <v>0</v>
          </cell>
          <cell r="N596"/>
          <cell r="O596">
            <v>0</v>
          </cell>
          <cell r="P596">
            <v>1</v>
          </cell>
          <cell r="Q596">
            <v>0</v>
          </cell>
          <cell r="R596">
            <v>0</v>
          </cell>
          <cell r="S596">
            <v>0</v>
          </cell>
        </row>
        <row r="597">
          <cell r="D597" t="str">
            <v>Horizon Prisma Delta gebouw B</v>
          </cell>
          <cell r="E597" t="str">
            <v>1e</v>
          </cell>
          <cell r="F597" t="str">
            <v>B1.22</v>
          </cell>
          <cell r="G597" t="str">
            <v>kantoor</v>
          </cell>
          <cell r="H597" t="str">
            <v>niet van toepassing</v>
          </cell>
          <cell r="I597" t="str">
            <v>tapijt</v>
          </cell>
          <cell r="J597"/>
          <cell r="K597">
            <v>41.2</v>
          </cell>
          <cell r="L597" t="str">
            <v>nvt</v>
          </cell>
          <cell r="M597">
            <v>0</v>
          </cell>
          <cell r="N597"/>
          <cell r="O597">
            <v>0</v>
          </cell>
          <cell r="P597">
            <v>1</v>
          </cell>
          <cell r="Q597">
            <v>0</v>
          </cell>
          <cell r="R597">
            <v>0</v>
          </cell>
          <cell r="S597">
            <v>0</v>
          </cell>
        </row>
        <row r="598">
          <cell r="D598" t="str">
            <v>Horizon Prisma Delta gebouw B</v>
          </cell>
          <cell r="E598" t="str">
            <v>1e</v>
          </cell>
          <cell r="F598" t="str">
            <v>B1.23</v>
          </cell>
          <cell r="G598" t="str">
            <v>kantoor</v>
          </cell>
          <cell r="H598" t="str">
            <v>niet van toepassing</v>
          </cell>
          <cell r="I598" t="str">
            <v>tapijt</v>
          </cell>
          <cell r="J598"/>
          <cell r="K598">
            <v>25.7</v>
          </cell>
          <cell r="L598" t="str">
            <v>nvt</v>
          </cell>
          <cell r="M598">
            <v>0</v>
          </cell>
          <cell r="N598"/>
          <cell r="O598">
            <v>0</v>
          </cell>
          <cell r="P598">
            <v>1</v>
          </cell>
          <cell r="Q598">
            <v>0</v>
          </cell>
          <cell r="R598">
            <v>0</v>
          </cell>
          <cell r="S598">
            <v>0</v>
          </cell>
        </row>
        <row r="599">
          <cell r="D599" t="str">
            <v>Horizon Prisma Delta gebouw B</v>
          </cell>
          <cell r="E599" t="str">
            <v>1e</v>
          </cell>
          <cell r="F599" t="str">
            <v>B1.24</v>
          </cell>
          <cell r="G599" t="str">
            <v>berging</v>
          </cell>
          <cell r="H599" t="str">
            <v>niet van toepassing</v>
          </cell>
          <cell r="I599" t="str">
            <v>linoleum</v>
          </cell>
          <cell r="J599"/>
          <cell r="K599"/>
          <cell r="L599" t="str">
            <v>nvt</v>
          </cell>
          <cell r="M599">
            <v>0</v>
          </cell>
          <cell r="N599"/>
          <cell r="O599">
            <v>0</v>
          </cell>
          <cell r="P599">
            <v>1</v>
          </cell>
          <cell r="Q599">
            <v>0</v>
          </cell>
          <cell r="R599">
            <v>0</v>
          </cell>
          <cell r="S599">
            <v>0</v>
          </cell>
        </row>
        <row r="600">
          <cell r="D600" t="str">
            <v>Horizon Prisma Lichtboei gebouw E</v>
          </cell>
          <cell r="E600" t="str">
            <v>bgg</v>
          </cell>
          <cell r="F600" t="str">
            <v>E0.01</v>
          </cell>
          <cell r="G600" t="str">
            <v>entree</v>
          </cell>
          <cell r="H600" t="str">
            <v>entree, gang, hal, repro, kopieer, was/droogruimte</v>
          </cell>
          <cell r="I600" t="str">
            <v>tapijt/schoonloop</v>
          </cell>
          <cell r="J600">
            <v>6</v>
          </cell>
          <cell r="K600"/>
          <cell r="L600">
            <v>3153</v>
          </cell>
          <cell r="M600">
            <v>103</v>
          </cell>
          <cell r="N600"/>
          <cell r="O600">
            <v>153</v>
          </cell>
          <cell r="P600">
            <v>1</v>
          </cell>
          <cell r="Q600">
            <v>0</v>
          </cell>
          <cell r="R600">
            <v>0</v>
          </cell>
          <cell r="S600">
            <v>0</v>
          </cell>
        </row>
        <row r="601">
          <cell r="D601" t="str">
            <v>Horizon Prisma Lichtboei gebouw E</v>
          </cell>
          <cell r="E601" t="str">
            <v>bgg</v>
          </cell>
          <cell r="F601" t="str">
            <v>E0.02</v>
          </cell>
          <cell r="G601" t="str">
            <v>Keuken (keuken)</v>
          </cell>
          <cell r="H601" t="str">
            <v>Keuken</v>
          </cell>
          <cell r="I601" t="str">
            <v>Tarket</v>
          </cell>
          <cell r="J601">
            <v>9.1</v>
          </cell>
          <cell r="K601"/>
          <cell r="L601">
            <v>18255</v>
          </cell>
          <cell r="M601" t="str">
            <v>nvt</v>
          </cell>
          <cell r="N601"/>
          <cell r="O601">
            <v>255</v>
          </cell>
          <cell r="P601">
            <v>1</v>
          </cell>
          <cell r="Q601">
            <v>0</v>
          </cell>
          <cell r="R601">
            <v>0</v>
          </cell>
          <cell r="S601">
            <v>0</v>
          </cell>
        </row>
        <row r="602">
          <cell r="D602" t="str">
            <v>Horizon Prisma Lichtboei gebouw E</v>
          </cell>
          <cell r="E602" t="str">
            <v>bgg</v>
          </cell>
          <cell r="F602" t="str">
            <v>E0.02A</v>
          </cell>
          <cell r="G602" t="str">
            <v>kast</v>
          </cell>
          <cell r="H602" t="str">
            <v>niet van toepassing</v>
          </cell>
          <cell r="I602"/>
          <cell r="J602"/>
          <cell r="K602"/>
          <cell r="L602" t="str">
            <v>nvt</v>
          </cell>
          <cell r="M602">
            <v>0</v>
          </cell>
          <cell r="N602"/>
          <cell r="O602">
            <v>0</v>
          </cell>
          <cell r="P602">
            <v>1</v>
          </cell>
          <cell r="Q602">
            <v>0</v>
          </cell>
          <cell r="R602">
            <v>0</v>
          </cell>
          <cell r="S602">
            <v>0</v>
          </cell>
        </row>
        <row r="603">
          <cell r="D603" t="str">
            <v>Horizon Prisma Lichtboei gebouw E</v>
          </cell>
          <cell r="E603" t="str">
            <v>bgg</v>
          </cell>
          <cell r="F603" t="str">
            <v>E0.03</v>
          </cell>
          <cell r="G603" t="str">
            <v>Hal</v>
          </cell>
          <cell r="H603" t="str">
            <v>entree, gang, hal, repro, kopieer, was/droogruimte</v>
          </cell>
          <cell r="I603" t="str">
            <v>Tarket</v>
          </cell>
          <cell r="J603">
            <v>69.400000000000006</v>
          </cell>
          <cell r="K603"/>
          <cell r="L603">
            <v>3153</v>
          </cell>
          <cell r="M603">
            <v>103</v>
          </cell>
          <cell r="N603"/>
          <cell r="O603">
            <v>153</v>
          </cell>
          <cell r="P603">
            <v>1</v>
          </cell>
          <cell r="Q603">
            <v>0</v>
          </cell>
          <cell r="R603">
            <v>0</v>
          </cell>
          <cell r="S603">
            <v>0</v>
          </cell>
        </row>
        <row r="604">
          <cell r="D604" t="str">
            <v>Horizon Prisma Lichtboei gebouw E</v>
          </cell>
          <cell r="E604" t="str">
            <v>bgg</v>
          </cell>
          <cell r="F604" t="str">
            <v>E0.3a</v>
          </cell>
          <cell r="G604" t="str">
            <v>kast</v>
          </cell>
          <cell r="H604" t="str">
            <v>niet van toepassing</v>
          </cell>
          <cell r="I604"/>
          <cell r="J604"/>
          <cell r="K604"/>
          <cell r="L604" t="str">
            <v>nvt</v>
          </cell>
          <cell r="M604">
            <v>0</v>
          </cell>
          <cell r="N604"/>
          <cell r="O604">
            <v>0</v>
          </cell>
          <cell r="P604">
            <v>1</v>
          </cell>
          <cell r="Q604">
            <v>0</v>
          </cell>
          <cell r="R604">
            <v>0</v>
          </cell>
          <cell r="S604">
            <v>0</v>
          </cell>
        </row>
        <row r="605">
          <cell r="D605" t="str">
            <v>Horizon Prisma Lichtboei gebouw E</v>
          </cell>
          <cell r="E605" t="str">
            <v>bgg</v>
          </cell>
          <cell r="F605" t="str">
            <v>E0.3b</v>
          </cell>
          <cell r="G605" t="str">
            <v>Kast</v>
          </cell>
          <cell r="H605" t="str">
            <v>niet van toepassing</v>
          </cell>
          <cell r="I605"/>
          <cell r="J605"/>
          <cell r="K605"/>
          <cell r="L605" t="str">
            <v>nvt</v>
          </cell>
          <cell r="M605">
            <v>0</v>
          </cell>
          <cell r="N605"/>
          <cell r="O605">
            <v>0</v>
          </cell>
          <cell r="P605">
            <v>1</v>
          </cell>
          <cell r="Q605">
            <v>0</v>
          </cell>
          <cell r="R605">
            <v>0</v>
          </cell>
          <cell r="S605">
            <v>0</v>
          </cell>
        </row>
        <row r="606">
          <cell r="D606" t="str">
            <v>Horizon Prisma Lichtboei gebouw E</v>
          </cell>
          <cell r="E606" t="str">
            <v>bgg</v>
          </cell>
          <cell r="F606" t="str">
            <v>E0.04</v>
          </cell>
          <cell r="G606" t="str">
            <v>Woonkamer</v>
          </cell>
          <cell r="H606" t="str">
            <v>aula, gemeenschappelijke ruimte, bibliotheek</v>
          </cell>
          <cell r="I606" t="str">
            <v>Tarket</v>
          </cell>
          <cell r="J606">
            <v>55.5</v>
          </cell>
          <cell r="K606"/>
          <cell r="L606">
            <v>2153</v>
          </cell>
          <cell r="M606">
            <v>102</v>
          </cell>
          <cell r="N606"/>
          <cell r="O606">
            <v>153</v>
          </cell>
          <cell r="P606">
            <v>1</v>
          </cell>
          <cell r="Q606">
            <v>0</v>
          </cell>
          <cell r="R606">
            <v>0</v>
          </cell>
          <cell r="S606">
            <v>0</v>
          </cell>
        </row>
        <row r="607">
          <cell r="D607" t="str">
            <v>Horizon Prisma Lichtboei gebouw E</v>
          </cell>
          <cell r="E607" t="str">
            <v>bgg</v>
          </cell>
          <cell r="F607" t="str">
            <v>E0.05</v>
          </cell>
          <cell r="G607" t="str">
            <v>Hal</v>
          </cell>
          <cell r="H607" t="str">
            <v>entree, gang, hal, repro, kopieer, was/droogruimte</v>
          </cell>
          <cell r="I607" t="str">
            <v>Tarket</v>
          </cell>
          <cell r="J607">
            <v>15.7</v>
          </cell>
          <cell r="K607"/>
          <cell r="L607">
            <v>3153</v>
          </cell>
          <cell r="M607">
            <v>103</v>
          </cell>
          <cell r="N607"/>
          <cell r="O607">
            <v>153</v>
          </cell>
          <cell r="P607">
            <v>1</v>
          </cell>
          <cell r="Q607">
            <v>0</v>
          </cell>
          <cell r="R607">
            <v>0</v>
          </cell>
          <cell r="S607">
            <v>0</v>
          </cell>
        </row>
        <row r="608">
          <cell r="D608" t="str">
            <v>Horizon Prisma Lichtboei gebouw E</v>
          </cell>
          <cell r="E608" t="str">
            <v>bgg</v>
          </cell>
          <cell r="F608" t="str">
            <v>E0.06</v>
          </cell>
          <cell r="G608" t="str">
            <v>Berging/bijkeuken</v>
          </cell>
          <cell r="H608" t="str">
            <v>niet van toepassing</v>
          </cell>
          <cell r="I608" t="str">
            <v>Tarket</v>
          </cell>
          <cell r="J608"/>
          <cell r="K608">
            <v>8.9</v>
          </cell>
          <cell r="L608" t="str">
            <v>nvt</v>
          </cell>
          <cell r="M608">
            <v>0</v>
          </cell>
          <cell r="N608"/>
          <cell r="O608">
            <v>0</v>
          </cell>
          <cell r="P608">
            <v>1</v>
          </cell>
          <cell r="Q608">
            <v>0</v>
          </cell>
          <cell r="R608">
            <v>0</v>
          </cell>
          <cell r="S608">
            <v>0</v>
          </cell>
        </row>
        <row r="609">
          <cell r="D609" t="str">
            <v>Horizon Prisma Lichtboei gebouw E</v>
          </cell>
          <cell r="E609" t="str">
            <v>bgg</v>
          </cell>
          <cell r="F609" t="str">
            <v>E0.07</v>
          </cell>
          <cell r="G609" t="str">
            <v>Kantoor</v>
          </cell>
          <cell r="H609" t="str">
            <v>administratieve -, personeels- en vergaderruimte</v>
          </cell>
          <cell r="I609" t="str">
            <v>Tarket</v>
          </cell>
          <cell r="J609">
            <v>8.6999999999999993</v>
          </cell>
          <cell r="K609"/>
          <cell r="L609">
            <v>1102</v>
          </cell>
          <cell r="M609">
            <v>101</v>
          </cell>
          <cell r="N609"/>
          <cell r="O609">
            <v>102</v>
          </cell>
          <cell r="P609">
            <v>1</v>
          </cell>
          <cell r="Q609">
            <v>0</v>
          </cell>
          <cell r="R609">
            <v>0</v>
          </cell>
          <cell r="S609">
            <v>0</v>
          </cell>
        </row>
        <row r="610">
          <cell r="D610" t="str">
            <v>Horizon Prisma Lichtboei gebouw E</v>
          </cell>
          <cell r="E610" t="str">
            <v>bgg</v>
          </cell>
          <cell r="F610" t="str">
            <v>E0.08A</v>
          </cell>
          <cell r="G610" t="str">
            <v>voorruimte sanitair</v>
          </cell>
          <cell r="H610" t="str">
            <v>sanitaire ruimte (toilet-/doucheruimte)</v>
          </cell>
          <cell r="I610" t="str">
            <v>steen</v>
          </cell>
          <cell r="J610">
            <v>7.1</v>
          </cell>
          <cell r="K610"/>
          <cell r="L610">
            <v>4153</v>
          </cell>
          <cell r="M610">
            <v>104</v>
          </cell>
          <cell r="N610"/>
          <cell r="O610">
            <v>153</v>
          </cell>
          <cell r="P610">
            <v>1</v>
          </cell>
          <cell r="Q610">
            <v>0</v>
          </cell>
          <cell r="R610">
            <v>0</v>
          </cell>
          <cell r="S610">
            <v>0</v>
          </cell>
        </row>
        <row r="611">
          <cell r="D611" t="str">
            <v>Horizon Prisma Lichtboei gebouw E</v>
          </cell>
          <cell r="E611" t="str">
            <v>bgg</v>
          </cell>
          <cell r="F611" t="str">
            <v>E0.08B</v>
          </cell>
          <cell r="G611" t="str">
            <v>douche</v>
          </cell>
          <cell r="H611" t="str">
            <v>sanitaire ruimte (toilet-/doucheruimte)</v>
          </cell>
          <cell r="I611" t="str">
            <v>steen</v>
          </cell>
          <cell r="J611">
            <v>1.1000000000000001</v>
          </cell>
          <cell r="K611"/>
          <cell r="L611">
            <v>4255</v>
          </cell>
          <cell r="M611">
            <v>104</v>
          </cell>
          <cell r="N611"/>
          <cell r="O611">
            <v>255</v>
          </cell>
          <cell r="P611">
            <v>1</v>
          </cell>
          <cell r="Q611">
            <v>0</v>
          </cell>
          <cell r="R611">
            <v>0</v>
          </cell>
          <cell r="S611">
            <v>0</v>
          </cell>
        </row>
        <row r="612">
          <cell r="D612" t="str">
            <v>Horizon Prisma Lichtboei gebouw E</v>
          </cell>
          <cell r="E612" t="str">
            <v>bgg</v>
          </cell>
          <cell r="F612" t="str">
            <v>E0.08C</v>
          </cell>
          <cell r="G612" t="str">
            <v>douche</v>
          </cell>
          <cell r="H612" t="str">
            <v>sanitaire ruimte (toilet-/doucheruimte)</v>
          </cell>
          <cell r="I612" t="str">
            <v>steen</v>
          </cell>
          <cell r="J612">
            <v>1.1000000000000001</v>
          </cell>
          <cell r="K612"/>
          <cell r="L612">
            <v>4255</v>
          </cell>
          <cell r="M612">
            <v>104</v>
          </cell>
          <cell r="N612"/>
          <cell r="O612">
            <v>255</v>
          </cell>
          <cell r="P612">
            <v>1</v>
          </cell>
          <cell r="Q612">
            <v>0</v>
          </cell>
          <cell r="R612">
            <v>0</v>
          </cell>
          <cell r="S612">
            <v>0</v>
          </cell>
        </row>
        <row r="613">
          <cell r="D613" t="str">
            <v>Horizon Prisma Lichtboei gebouw E</v>
          </cell>
          <cell r="E613" t="str">
            <v>bgg</v>
          </cell>
          <cell r="F613" t="str">
            <v>E0.08D</v>
          </cell>
          <cell r="G613" t="str">
            <v>douche</v>
          </cell>
          <cell r="H613" t="str">
            <v>sanitaire ruimte (toilet-/doucheruimte)</v>
          </cell>
          <cell r="I613" t="str">
            <v>steen</v>
          </cell>
          <cell r="J613">
            <v>1.1000000000000001</v>
          </cell>
          <cell r="K613"/>
          <cell r="L613">
            <v>4255</v>
          </cell>
          <cell r="M613">
            <v>104</v>
          </cell>
          <cell r="N613"/>
          <cell r="O613">
            <v>255</v>
          </cell>
          <cell r="P613">
            <v>1</v>
          </cell>
          <cell r="Q613">
            <v>0</v>
          </cell>
          <cell r="R613">
            <v>0</v>
          </cell>
          <cell r="S613">
            <v>0</v>
          </cell>
        </row>
        <row r="614">
          <cell r="D614" t="str">
            <v>Horizon Prisma Lichtboei gebouw E</v>
          </cell>
          <cell r="E614" t="str">
            <v>bgg</v>
          </cell>
          <cell r="F614" t="str">
            <v>E0.09</v>
          </cell>
          <cell r="G614" t="str">
            <v>toilet</v>
          </cell>
          <cell r="H614" t="str">
            <v>sanitaire ruimte (toilet-/doucheruimte)</v>
          </cell>
          <cell r="I614" t="str">
            <v>steen</v>
          </cell>
          <cell r="J614">
            <v>1</v>
          </cell>
          <cell r="K614"/>
          <cell r="L614">
            <v>4153</v>
          </cell>
          <cell r="M614">
            <v>104</v>
          </cell>
          <cell r="N614"/>
          <cell r="O614">
            <v>153</v>
          </cell>
          <cell r="P614">
            <v>1</v>
          </cell>
          <cell r="Q614">
            <v>0</v>
          </cell>
          <cell r="R614">
            <v>0</v>
          </cell>
          <cell r="S614">
            <v>0</v>
          </cell>
        </row>
        <row r="615">
          <cell r="D615" t="str">
            <v>Horizon Prisma Lichtboei gebouw E</v>
          </cell>
          <cell r="E615" t="str">
            <v>bgg</v>
          </cell>
          <cell r="F615" t="str">
            <v>E0.10</v>
          </cell>
          <cell r="G615" t="str">
            <v>toilet</v>
          </cell>
          <cell r="H615" t="str">
            <v>sanitaire ruimte (toilet-/doucheruimte)</v>
          </cell>
          <cell r="I615" t="str">
            <v>steen</v>
          </cell>
          <cell r="J615">
            <v>1</v>
          </cell>
          <cell r="K615"/>
          <cell r="L615">
            <v>4153</v>
          </cell>
          <cell r="M615">
            <v>104</v>
          </cell>
          <cell r="N615"/>
          <cell r="O615">
            <v>153</v>
          </cell>
          <cell r="P615">
            <v>1</v>
          </cell>
          <cell r="Q615">
            <v>0</v>
          </cell>
          <cell r="R615">
            <v>0</v>
          </cell>
          <cell r="S615">
            <v>0</v>
          </cell>
        </row>
        <row r="616">
          <cell r="D616" t="str">
            <v>Horizon Prisma Lichtboei gebouw E</v>
          </cell>
          <cell r="E616" t="str">
            <v>bgg</v>
          </cell>
          <cell r="F616" t="str">
            <v>E0.11</v>
          </cell>
          <cell r="G616" t="str">
            <v>Zit-Slaapkamer</v>
          </cell>
          <cell r="H616" t="str">
            <v>niet van toepassing</v>
          </cell>
          <cell r="I616" t="str">
            <v>Linoleum</v>
          </cell>
          <cell r="J616"/>
          <cell r="K616"/>
          <cell r="L616" t="str">
            <v>nvt</v>
          </cell>
          <cell r="M616">
            <v>0</v>
          </cell>
          <cell r="N616"/>
          <cell r="O616">
            <v>0</v>
          </cell>
          <cell r="P616">
            <v>1</v>
          </cell>
          <cell r="Q616">
            <v>0</v>
          </cell>
          <cell r="R616">
            <v>0</v>
          </cell>
          <cell r="S616">
            <v>0</v>
          </cell>
        </row>
        <row r="617">
          <cell r="D617" t="str">
            <v>Horizon Prisma Lichtboei gebouw E</v>
          </cell>
          <cell r="E617" t="str">
            <v>bgg</v>
          </cell>
          <cell r="F617" t="str">
            <v>E0.12</v>
          </cell>
          <cell r="G617" t="str">
            <v>Zit-Slaapkamer</v>
          </cell>
          <cell r="H617" t="str">
            <v>niet van toepassing</v>
          </cell>
          <cell r="I617" t="str">
            <v>Linoleum</v>
          </cell>
          <cell r="J617"/>
          <cell r="K617"/>
          <cell r="L617" t="str">
            <v>nvt</v>
          </cell>
          <cell r="M617">
            <v>0</v>
          </cell>
          <cell r="N617"/>
          <cell r="O617">
            <v>0</v>
          </cell>
          <cell r="P617">
            <v>1</v>
          </cell>
          <cell r="Q617">
            <v>0</v>
          </cell>
          <cell r="R617">
            <v>0</v>
          </cell>
          <cell r="S617">
            <v>0</v>
          </cell>
        </row>
        <row r="618">
          <cell r="D618" t="str">
            <v>Horizon Prisma Lichtboei gebouw E</v>
          </cell>
          <cell r="E618" t="str">
            <v>bgg</v>
          </cell>
          <cell r="F618" t="str">
            <v>E0.13</v>
          </cell>
          <cell r="G618" t="str">
            <v>Zit-Slaapkamer</v>
          </cell>
          <cell r="H618" t="str">
            <v>niet van toepassing</v>
          </cell>
          <cell r="I618" t="str">
            <v>Linoleum</v>
          </cell>
          <cell r="J618"/>
          <cell r="K618"/>
          <cell r="L618" t="str">
            <v>nvt</v>
          </cell>
          <cell r="M618">
            <v>0</v>
          </cell>
          <cell r="N618"/>
          <cell r="O618">
            <v>0</v>
          </cell>
          <cell r="P618">
            <v>1</v>
          </cell>
          <cell r="Q618">
            <v>0</v>
          </cell>
          <cell r="R618">
            <v>0</v>
          </cell>
          <cell r="S618">
            <v>0</v>
          </cell>
        </row>
        <row r="619">
          <cell r="D619" t="str">
            <v>Horizon Prisma Lichtboei gebouw E</v>
          </cell>
          <cell r="E619" t="str">
            <v>bgg</v>
          </cell>
          <cell r="F619" t="str">
            <v>E0.14</v>
          </cell>
          <cell r="G619" t="str">
            <v>Zit-Slaapkamer</v>
          </cell>
          <cell r="H619" t="str">
            <v>niet van toepassing</v>
          </cell>
          <cell r="I619" t="str">
            <v>Linoleum</v>
          </cell>
          <cell r="J619"/>
          <cell r="K619"/>
          <cell r="L619" t="str">
            <v>nvt</v>
          </cell>
          <cell r="M619">
            <v>0</v>
          </cell>
          <cell r="N619"/>
          <cell r="O619">
            <v>0</v>
          </cell>
          <cell r="P619">
            <v>1</v>
          </cell>
          <cell r="Q619">
            <v>0</v>
          </cell>
          <cell r="R619">
            <v>0</v>
          </cell>
          <cell r="S619">
            <v>0</v>
          </cell>
        </row>
        <row r="620">
          <cell r="D620" t="str">
            <v>Horizon Prisma Lichtboei gebouw E</v>
          </cell>
          <cell r="E620" t="str">
            <v>bgg</v>
          </cell>
          <cell r="F620" t="str">
            <v>E0.15</v>
          </cell>
          <cell r="G620" t="str">
            <v>Zit-Slaapkamer</v>
          </cell>
          <cell r="H620" t="str">
            <v>niet van toepassing</v>
          </cell>
          <cell r="I620" t="str">
            <v>Linoleum</v>
          </cell>
          <cell r="J620"/>
          <cell r="K620"/>
          <cell r="L620" t="str">
            <v>nvt</v>
          </cell>
          <cell r="M620">
            <v>0</v>
          </cell>
          <cell r="N620"/>
          <cell r="O620">
            <v>0</v>
          </cell>
          <cell r="P620">
            <v>1</v>
          </cell>
          <cell r="Q620">
            <v>0</v>
          </cell>
          <cell r="R620">
            <v>0</v>
          </cell>
          <cell r="S620">
            <v>0</v>
          </cell>
        </row>
        <row r="621">
          <cell r="D621" t="str">
            <v>Horizon Prisma Lichtboei gebouw E</v>
          </cell>
          <cell r="E621" t="str">
            <v>bgg</v>
          </cell>
          <cell r="F621" t="str">
            <v>E0.16</v>
          </cell>
          <cell r="G621" t="str">
            <v>spreekkamer</v>
          </cell>
          <cell r="H621" t="str">
            <v>administratieve -, personeels- en vergaderruimte</v>
          </cell>
          <cell r="I621" t="str">
            <v>Tarket</v>
          </cell>
          <cell r="J621">
            <v>8.4</v>
          </cell>
          <cell r="K621"/>
          <cell r="L621">
            <v>1102</v>
          </cell>
          <cell r="M621">
            <v>101</v>
          </cell>
          <cell r="N621"/>
          <cell r="O621">
            <v>102</v>
          </cell>
          <cell r="P621">
            <v>1</v>
          </cell>
          <cell r="Q621">
            <v>0</v>
          </cell>
          <cell r="R621">
            <v>0</v>
          </cell>
          <cell r="S621">
            <v>0</v>
          </cell>
        </row>
        <row r="622">
          <cell r="D622" t="str">
            <v>Horizon Prisma Lichtboei gebouw E</v>
          </cell>
          <cell r="E622" t="str">
            <v>bgg</v>
          </cell>
          <cell r="F622" t="str">
            <v>E0.17</v>
          </cell>
          <cell r="G622" t="str">
            <v>Time-out</v>
          </cell>
          <cell r="H622" t="str">
            <v>op afroep</v>
          </cell>
          <cell r="I622" t="str">
            <v>Linoleum</v>
          </cell>
          <cell r="J622">
            <v>8.4</v>
          </cell>
          <cell r="K622"/>
          <cell r="L622" t="str">
            <v>op afroep</v>
          </cell>
          <cell r="M622">
            <v>0</v>
          </cell>
          <cell r="N622"/>
          <cell r="O622">
            <v>0</v>
          </cell>
          <cell r="P622">
            <v>1</v>
          </cell>
          <cell r="Q622">
            <v>0</v>
          </cell>
          <cell r="R622">
            <v>0</v>
          </cell>
          <cell r="S622">
            <v>0</v>
          </cell>
        </row>
        <row r="623">
          <cell r="D623" t="str">
            <v>Horizon Prisma Lichtboei gebouw E</v>
          </cell>
          <cell r="E623" t="str">
            <v>bgg</v>
          </cell>
          <cell r="F623" t="str">
            <v>E0.18</v>
          </cell>
          <cell r="G623" t="str">
            <v>Zit-Slaapkamer</v>
          </cell>
          <cell r="H623" t="str">
            <v>niet van toepassing</v>
          </cell>
          <cell r="I623" t="str">
            <v>Linoleum</v>
          </cell>
          <cell r="J623"/>
          <cell r="K623"/>
          <cell r="L623" t="str">
            <v>nvt</v>
          </cell>
          <cell r="M623">
            <v>0</v>
          </cell>
          <cell r="N623"/>
          <cell r="O623">
            <v>0</v>
          </cell>
          <cell r="P623">
            <v>1</v>
          </cell>
          <cell r="Q623">
            <v>0</v>
          </cell>
          <cell r="R623">
            <v>0</v>
          </cell>
          <cell r="S623">
            <v>0</v>
          </cell>
        </row>
        <row r="624">
          <cell r="D624" t="str">
            <v>Horizon Prisma Lichtboei gebouw E</v>
          </cell>
          <cell r="E624" t="str">
            <v>bgg</v>
          </cell>
          <cell r="F624" t="str">
            <v>E0.19</v>
          </cell>
          <cell r="G624" t="str">
            <v>gang</v>
          </cell>
          <cell r="H624" t="str">
            <v>niet van toepassing</v>
          </cell>
          <cell r="I624" t="str">
            <v>tapijt</v>
          </cell>
          <cell r="J624"/>
          <cell r="K624"/>
          <cell r="L624" t="str">
            <v>nvt</v>
          </cell>
          <cell r="M624">
            <v>0</v>
          </cell>
          <cell r="N624"/>
          <cell r="O624">
            <v>0</v>
          </cell>
          <cell r="P624">
            <v>1</v>
          </cell>
          <cell r="Q624">
            <v>0</v>
          </cell>
          <cell r="R624">
            <v>0</v>
          </cell>
          <cell r="S624">
            <v>0</v>
          </cell>
        </row>
        <row r="625">
          <cell r="D625" t="str">
            <v>Horizon Prisma Lichtboei gebouw E</v>
          </cell>
          <cell r="E625" t="str">
            <v>bgg</v>
          </cell>
          <cell r="F625" t="str">
            <v>E0.20</v>
          </cell>
          <cell r="G625" t="str">
            <v>Zit-Slaapkamer</v>
          </cell>
          <cell r="H625" t="str">
            <v>niet van toepassing</v>
          </cell>
          <cell r="I625" t="str">
            <v>Linoleum</v>
          </cell>
          <cell r="J625"/>
          <cell r="K625"/>
          <cell r="L625" t="str">
            <v>nvt</v>
          </cell>
          <cell r="M625">
            <v>0</v>
          </cell>
          <cell r="N625"/>
          <cell r="O625">
            <v>0</v>
          </cell>
          <cell r="P625">
            <v>1</v>
          </cell>
          <cell r="Q625">
            <v>0</v>
          </cell>
          <cell r="R625">
            <v>0</v>
          </cell>
          <cell r="S625">
            <v>0</v>
          </cell>
        </row>
        <row r="626">
          <cell r="D626" t="str">
            <v>Horizon Prisma Lichtboei gebouw E</v>
          </cell>
          <cell r="E626" t="str">
            <v>bgg</v>
          </cell>
          <cell r="F626" t="str">
            <v>E0.21</v>
          </cell>
          <cell r="G626" t="str">
            <v>Zit-Slaapkamer</v>
          </cell>
          <cell r="H626" t="str">
            <v>niet van toepassing</v>
          </cell>
          <cell r="I626" t="str">
            <v>Linoleum</v>
          </cell>
          <cell r="J626"/>
          <cell r="K626"/>
          <cell r="L626" t="str">
            <v>nvt</v>
          </cell>
          <cell r="M626">
            <v>0</v>
          </cell>
          <cell r="N626"/>
          <cell r="O626">
            <v>0</v>
          </cell>
          <cell r="P626">
            <v>1</v>
          </cell>
          <cell r="Q626">
            <v>0</v>
          </cell>
          <cell r="R626">
            <v>0</v>
          </cell>
          <cell r="S626">
            <v>0</v>
          </cell>
        </row>
        <row r="627">
          <cell r="D627" t="str">
            <v>Horizon Prisma Lichtboei gebouw E</v>
          </cell>
          <cell r="E627" t="str">
            <v>bgg</v>
          </cell>
          <cell r="F627" t="str">
            <v>E0.22</v>
          </cell>
          <cell r="G627" t="str">
            <v>Zit-Slaapkamer</v>
          </cell>
          <cell r="H627" t="str">
            <v>niet van toepassing</v>
          </cell>
          <cell r="I627" t="str">
            <v>Linoleum</v>
          </cell>
          <cell r="J627"/>
          <cell r="K627"/>
          <cell r="L627" t="str">
            <v>nvt</v>
          </cell>
          <cell r="M627">
            <v>0</v>
          </cell>
          <cell r="N627"/>
          <cell r="O627">
            <v>0</v>
          </cell>
          <cell r="P627">
            <v>1</v>
          </cell>
          <cell r="Q627">
            <v>0</v>
          </cell>
          <cell r="R627">
            <v>0</v>
          </cell>
          <cell r="S627">
            <v>0</v>
          </cell>
        </row>
        <row r="628">
          <cell r="D628" t="str">
            <v>Horizon Prisma Lichtboei gebouw E</v>
          </cell>
          <cell r="E628" t="str">
            <v>bgg</v>
          </cell>
          <cell r="F628" t="str">
            <v>E0.23</v>
          </cell>
          <cell r="G628" t="str">
            <v>Zit-Slaapkamer</v>
          </cell>
          <cell r="H628" t="str">
            <v>niet van toepassing</v>
          </cell>
          <cell r="I628" t="str">
            <v>Linoleum</v>
          </cell>
          <cell r="J628"/>
          <cell r="K628"/>
          <cell r="L628" t="str">
            <v>nvt</v>
          </cell>
          <cell r="M628">
            <v>0</v>
          </cell>
          <cell r="N628"/>
          <cell r="O628">
            <v>0</v>
          </cell>
          <cell r="P628">
            <v>1</v>
          </cell>
          <cell r="Q628">
            <v>0</v>
          </cell>
          <cell r="R628">
            <v>0</v>
          </cell>
          <cell r="S628">
            <v>0</v>
          </cell>
        </row>
        <row r="629">
          <cell r="D629" t="str">
            <v>Horizon Prisma Lichtboei gebouw E</v>
          </cell>
          <cell r="E629" t="str">
            <v>bgg</v>
          </cell>
          <cell r="F629" t="str">
            <v>E0.24</v>
          </cell>
          <cell r="G629" t="str">
            <v>Zit-Slaapkamer</v>
          </cell>
          <cell r="H629" t="str">
            <v>niet van toepassing</v>
          </cell>
          <cell r="I629" t="str">
            <v>Linoleum</v>
          </cell>
          <cell r="J629"/>
          <cell r="K629"/>
          <cell r="L629" t="str">
            <v>nvt</v>
          </cell>
          <cell r="M629">
            <v>0</v>
          </cell>
          <cell r="N629"/>
          <cell r="O629">
            <v>0</v>
          </cell>
          <cell r="P629">
            <v>1</v>
          </cell>
          <cell r="Q629">
            <v>0</v>
          </cell>
          <cell r="R629">
            <v>0</v>
          </cell>
          <cell r="S629">
            <v>0</v>
          </cell>
        </row>
        <row r="630">
          <cell r="D630" t="str">
            <v>Horizon Prisma Lichtboei gebouw E</v>
          </cell>
          <cell r="E630" t="str">
            <v>bgg</v>
          </cell>
          <cell r="F630" t="str">
            <v>E0.25</v>
          </cell>
          <cell r="G630" t="str">
            <v>Zit-Slaapkamer</v>
          </cell>
          <cell r="H630" t="str">
            <v>niet van toepassing</v>
          </cell>
          <cell r="I630" t="str">
            <v>Linoleum</v>
          </cell>
          <cell r="J630"/>
          <cell r="K630"/>
          <cell r="L630" t="str">
            <v>nvt</v>
          </cell>
          <cell r="M630">
            <v>0</v>
          </cell>
          <cell r="N630"/>
          <cell r="O630">
            <v>0</v>
          </cell>
          <cell r="P630">
            <v>1</v>
          </cell>
          <cell r="Q630">
            <v>0</v>
          </cell>
          <cell r="R630">
            <v>0</v>
          </cell>
          <cell r="S630">
            <v>0</v>
          </cell>
        </row>
        <row r="631">
          <cell r="D631" t="str">
            <v>Horizon Prisma Lichtboei gebouw E</v>
          </cell>
          <cell r="E631" t="str">
            <v>bgg</v>
          </cell>
          <cell r="F631" t="str">
            <v>E0.26</v>
          </cell>
          <cell r="G631" t="str">
            <v>Zit-Slaapkamer</v>
          </cell>
          <cell r="H631" t="str">
            <v>niet van toepassing</v>
          </cell>
          <cell r="I631" t="str">
            <v>Linoleum</v>
          </cell>
          <cell r="J631"/>
          <cell r="K631"/>
          <cell r="L631" t="str">
            <v>nvt</v>
          </cell>
          <cell r="M631">
            <v>0</v>
          </cell>
          <cell r="N631"/>
          <cell r="O631">
            <v>0</v>
          </cell>
          <cell r="P631">
            <v>1</v>
          </cell>
          <cell r="Q631">
            <v>0</v>
          </cell>
          <cell r="R631">
            <v>0</v>
          </cell>
          <cell r="S631">
            <v>0</v>
          </cell>
        </row>
        <row r="632">
          <cell r="D632" t="str">
            <v>Horizon Prisma Lichtboei gebouw E</v>
          </cell>
          <cell r="E632" t="str">
            <v>bgg</v>
          </cell>
          <cell r="F632" t="str">
            <v>E0.27</v>
          </cell>
          <cell r="G632" t="str">
            <v xml:space="preserve">Berging </v>
          </cell>
          <cell r="H632" t="str">
            <v>niet van toepassing</v>
          </cell>
          <cell r="I632" t="str">
            <v>Linoleum</v>
          </cell>
          <cell r="J632"/>
          <cell r="K632"/>
          <cell r="L632" t="str">
            <v>nvt</v>
          </cell>
          <cell r="M632">
            <v>0</v>
          </cell>
          <cell r="N632"/>
          <cell r="O632">
            <v>0</v>
          </cell>
          <cell r="P632">
            <v>1</v>
          </cell>
          <cell r="Q632">
            <v>0</v>
          </cell>
          <cell r="R632">
            <v>0</v>
          </cell>
          <cell r="S632">
            <v>0</v>
          </cell>
        </row>
        <row r="633">
          <cell r="D633" t="str">
            <v>Horizon Prisma Lichtboei gebouw E</v>
          </cell>
          <cell r="E633" t="str">
            <v>bgg</v>
          </cell>
          <cell r="F633" t="str">
            <v>E0.28</v>
          </cell>
          <cell r="G633" t="str">
            <v>afdelingshoofd</v>
          </cell>
          <cell r="H633" t="str">
            <v>niet van toepassing</v>
          </cell>
          <cell r="I633" t="str">
            <v>Tarket</v>
          </cell>
          <cell r="J633"/>
          <cell r="K633"/>
          <cell r="L633" t="str">
            <v>nvt</v>
          </cell>
          <cell r="M633">
            <v>0</v>
          </cell>
          <cell r="N633"/>
          <cell r="O633">
            <v>0</v>
          </cell>
          <cell r="P633">
            <v>1</v>
          </cell>
          <cell r="Q633">
            <v>0</v>
          </cell>
          <cell r="R633">
            <v>0</v>
          </cell>
          <cell r="S633">
            <v>0</v>
          </cell>
        </row>
        <row r="634">
          <cell r="D634" t="str">
            <v>Horizon Prisma Lichtboei gebouw E</v>
          </cell>
          <cell r="E634" t="str">
            <v>bgg</v>
          </cell>
          <cell r="F634" t="str">
            <v>E0.29</v>
          </cell>
          <cell r="G634" t="str">
            <v>Berging</v>
          </cell>
          <cell r="H634" t="str">
            <v>niet van toepassing</v>
          </cell>
          <cell r="I634"/>
          <cell r="J634"/>
          <cell r="K634"/>
          <cell r="L634" t="str">
            <v>nvt</v>
          </cell>
          <cell r="M634">
            <v>0</v>
          </cell>
          <cell r="N634"/>
          <cell r="O634">
            <v>0</v>
          </cell>
          <cell r="P634">
            <v>1</v>
          </cell>
          <cell r="Q634">
            <v>0</v>
          </cell>
          <cell r="R634">
            <v>0</v>
          </cell>
          <cell r="S634">
            <v>0</v>
          </cell>
        </row>
        <row r="635">
          <cell r="D635" t="str">
            <v>Horizon Prisma Lichtboei gebouw E</v>
          </cell>
          <cell r="E635" t="str">
            <v>bgg</v>
          </cell>
          <cell r="F635" t="str">
            <v>E0.30</v>
          </cell>
          <cell r="G635" t="str">
            <v>Toilet</v>
          </cell>
          <cell r="H635" t="str">
            <v>niet van toepassing</v>
          </cell>
          <cell r="I635" t="str">
            <v>steen</v>
          </cell>
          <cell r="J635"/>
          <cell r="K635">
            <v>1</v>
          </cell>
          <cell r="L635" t="str">
            <v>nvt</v>
          </cell>
          <cell r="M635">
            <v>0</v>
          </cell>
          <cell r="N635"/>
          <cell r="O635">
            <v>0</v>
          </cell>
          <cell r="P635">
            <v>1</v>
          </cell>
          <cell r="Q635">
            <v>0</v>
          </cell>
          <cell r="R635">
            <v>0</v>
          </cell>
          <cell r="S635">
            <v>0</v>
          </cell>
        </row>
        <row r="636">
          <cell r="D636" t="str">
            <v>Horizon Prisma Lichtboei gebouw E</v>
          </cell>
          <cell r="E636" t="str">
            <v>bgg</v>
          </cell>
          <cell r="F636" t="str">
            <v>E0.31</v>
          </cell>
          <cell r="G636" t="str">
            <v xml:space="preserve">voorruimte </v>
          </cell>
          <cell r="H636" t="str">
            <v>niet van toepassing</v>
          </cell>
          <cell r="I636" t="str">
            <v>steen</v>
          </cell>
          <cell r="J636"/>
          <cell r="K636">
            <v>3</v>
          </cell>
          <cell r="L636" t="str">
            <v>nvt</v>
          </cell>
          <cell r="M636">
            <v>0</v>
          </cell>
          <cell r="N636"/>
          <cell r="O636">
            <v>0</v>
          </cell>
          <cell r="P636">
            <v>1</v>
          </cell>
          <cell r="Q636">
            <v>0</v>
          </cell>
          <cell r="R636">
            <v>0</v>
          </cell>
          <cell r="S636">
            <v>0</v>
          </cell>
        </row>
        <row r="637">
          <cell r="D637" t="str">
            <v>Horizon Prisma Lichtboei gebouw E</v>
          </cell>
          <cell r="E637" t="str">
            <v>bgg</v>
          </cell>
          <cell r="F637" t="str">
            <v>E0.31</v>
          </cell>
          <cell r="G637" t="str">
            <v>Toilet</v>
          </cell>
          <cell r="H637" t="str">
            <v>niet van toepassing</v>
          </cell>
          <cell r="I637" t="str">
            <v>steen</v>
          </cell>
          <cell r="J637"/>
          <cell r="K637">
            <v>1</v>
          </cell>
          <cell r="L637" t="str">
            <v>nvt</v>
          </cell>
          <cell r="M637">
            <v>0</v>
          </cell>
          <cell r="N637"/>
          <cell r="O637">
            <v>0</v>
          </cell>
          <cell r="P637">
            <v>1</v>
          </cell>
          <cell r="Q637">
            <v>0</v>
          </cell>
          <cell r="R637">
            <v>0</v>
          </cell>
          <cell r="S637">
            <v>0</v>
          </cell>
        </row>
        <row r="638">
          <cell r="D638" t="str">
            <v>Horizon Prisma Lichtboei gebouw E</v>
          </cell>
          <cell r="E638" t="str">
            <v>bgg</v>
          </cell>
          <cell r="F638" t="str">
            <v>E0.32</v>
          </cell>
          <cell r="G638" t="str">
            <v>Hobbyruimte</v>
          </cell>
          <cell r="H638" t="str">
            <v>niet van toepassing</v>
          </cell>
          <cell r="I638" t="str">
            <v>Tarket</v>
          </cell>
          <cell r="J638"/>
          <cell r="K638"/>
          <cell r="L638" t="str">
            <v>nvt</v>
          </cell>
          <cell r="M638">
            <v>0</v>
          </cell>
          <cell r="N638"/>
          <cell r="O638">
            <v>0</v>
          </cell>
          <cell r="P638">
            <v>1</v>
          </cell>
          <cell r="Q638">
            <v>0</v>
          </cell>
          <cell r="R638">
            <v>0</v>
          </cell>
          <cell r="S638">
            <v>0</v>
          </cell>
        </row>
        <row r="639">
          <cell r="D639" t="str">
            <v>Horizon Prisma Lichtboei gebouw E</v>
          </cell>
          <cell r="E639" t="str">
            <v>bgg</v>
          </cell>
          <cell r="F639" t="str">
            <v>E.032a</v>
          </cell>
          <cell r="G639" t="str">
            <v>kast</v>
          </cell>
          <cell r="H639" t="str">
            <v>niet van toepassing</v>
          </cell>
          <cell r="I639"/>
          <cell r="J639"/>
          <cell r="K639"/>
          <cell r="L639" t="str">
            <v>nvt</v>
          </cell>
          <cell r="M639">
            <v>0</v>
          </cell>
          <cell r="N639"/>
          <cell r="O639">
            <v>0</v>
          </cell>
          <cell r="P639">
            <v>1</v>
          </cell>
          <cell r="Q639">
            <v>0</v>
          </cell>
          <cell r="R639">
            <v>0</v>
          </cell>
          <cell r="S639">
            <v>0</v>
          </cell>
        </row>
        <row r="640">
          <cell r="D640" t="str">
            <v>Horizon Prisma Lichtboei gebouw E</v>
          </cell>
          <cell r="E640" t="str">
            <v>bgg</v>
          </cell>
          <cell r="F640" t="str">
            <v>E0.33</v>
          </cell>
          <cell r="G640" t="str">
            <v>slaapkamer</v>
          </cell>
          <cell r="H640" t="str">
            <v>niet van toepassing</v>
          </cell>
          <cell r="I640" t="str">
            <v>Tarket</v>
          </cell>
          <cell r="J640"/>
          <cell r="K640">
            <v>9</v>
          </cell>
          <cell r="L640" t="str">
            <v>nvt</v>
          </cell>
          <cell r="M640">
            <v>0</v>
          </cell>
          <cell r="N640"/>
          <cell r="O640">
            <v>0</v>
          </cell>
          <cell r="P640">
            <v>1</v>
          </cell>
          <cell r="Q640">
            <v>0</v>
          </cell>
          <cell r="R640">
            <v>0</v>
          </cell>
          <cell r="S640">
            <v>0</v>
          </cell>
        </row>
        <row r="641">
          <cell r="D641" t="str">
            <v>Horizon Prisma Lichtboei gebouw E</v>
          </cell>
          <cell r="E641" t="str">
            <v>bgg</v>
          </cell>
          <cell r="F641" t="str">
            <v>E0.34</v>
          </cell>
          <cell r="G641" t="str">
            <v>keuken (keuken)</v>
          </cell>
          <cell r="H641" t="str">
            <v>niet van toepassing</v>
          </cell>
          <cell r="I641" t="str">
            <v>Tarket</v>
          </cell>
          <cell r="J641"/>
          <cell r="K641">
            <v>9.6999999999999993</v>
          </cell>
          <cell r="L641" t="str">
            <v>nvt</v>
          </cell>
          <cell r="M641">
            <v>0</v>
          </cell>
          <cell r="N641"/>
          <cell r="O641">
            <v>0</v>
          </cell>
          <cell r="P641">
            <v>1</v>
          </cell>
          <cell r="Q641">
            <v>0</v>
          </cell>
          <cell r="R641">
            <v>0</v>
          </cell>
          <cell r="S641">
            <v>0</v>
          </cell>
        </row>
        <row r="642">
          <cell r="D642" t="str">
            <v>Horizon Prisma Lichtboei gebouw E</v>
          </cell>
          <cell r="E642" t="str">
            <v>bgg</v>
          </cell>
          <cell r="F642" t="str">
            <v>E0.35</v>
          </cell>
          <cell r="G642" t="str">
            <v>entree</v>
          </cell>
          <cell r="H642" t="str">
            <v>niet van toepassing</v>
          </cell>
          <cell r="I642" t="str">
            <v>Tarket</v>
          </cell>
          <cell r="J642"/>
          <cell r="K642">
            <v>5.5</v>
          </cell>
          <cell r="L642" t="str">
            <v>nvt</v>
          </cell>
          <cell r="M642">
            <v>0</v>
          </cell>
          <cell r="N642"/>
          <cell r="O642">
            <v>0</v>
          </cell>
          <cell r="P642">
            <v>1</v>
          </cell>
          <cell r="Q642">
            <v>0</v>
          </cell>
          <cell r="R642">
            <v>0</v>
          </cell>
          <cell r="S642">
            <v>0</v>
          </cell>
        </row>
        <row r="643">
          <cell r="D643" t="str">
            <v>Horizon Prisma Lichtboei gebouw E</v>
          </cell>
          <cell r="E643" t="str">
            <v>bgg</v>
          </cell>
          <cell r="F643" t="str">
            <v>E0.36</v>
          </cell>
          <cell r="G643" t="str">
            <v>hal</v>
          </cell>
          <cell r="H643" t="str">
            <v>niet van toepassing</v>
          </cell>
          <cell r="I643" t="str">
            <v>Tarket</v>
          </cell>
          <cell r="J643"/>
          <cell r="K643">
            <v>22.4</v>
          </cell>
          <cell r="L643" t="str">
            <v>nvt</v>
          </cell>
          <cell r="M643">
            <v>0</v>
          </cell>
          <cell r="N643"/>
          <cell r="O643">
            <v>0</v>
          </cell>
          <cell r="P643">
            <v>1</v>
          </cell>
          <cell r="Q643">
            <v>0</v>
          </cell>
          <cell r="R643">
            <v>0</v>
          </cell>
          <cell r="S643">
            <v>0</v>
          </cell>
        </row>
        <row r="644">
          <cell r="D644" t="str">
            <v>Horizon Prisma Lichtboei gebouw E</v>
          </cell>
          <cell r="E644" t="str">
            <v>bgg</v>
          </cell>
          <cell r="F644" t="str">
            <v>E0.37</v>
          </cell>
          <cell r="G644" t="str">
            <v>vergaderruimte</v>
          </cell>
          <cell r="H644" t="str">
            <v>niet van toepassing</v>
          </cell>
          <cell r="I644" t="str">
            <v>Tarket</v>
          </cell>
          <cell r="J644"/>
          <cell r="K644">
            <v>21.7</v>
          </cell>
          <cell r="L644" t="str">
            <v>nvt</v>
          </cell>
          <cell r="M644">
            <v>0</v>
          </cell>
          <cell r="N644"/>
          <cell r="O644">
            <v>0</v>
          </cell>
          <cell r="P644">
            <v>1</v>
          </cell>
          <cell r="Q644">
            <v>0</v>
          </cell>
          <cell r="R644">
            <v>0</v>
          </cell>
          <cell r="S644">
            <v>0</v>
          </cell>
        </row>
        <row r="645">
          <cell r="D645" t="str">
            <v>Horizon Prisma Lichtboei gebouw E</v>
          </cell>
          <cell r="E645" t="str">
            <v>bgg</v>
          </cell>
          <cell r="F645" t="str">
            <v>E0.38</v>
          </cell>
          <cell r="G645" t="str">
            <v>vergaderruimte</v>
          </cell>
          <cell r="H645" t="str">
            <v>niet van toepassing</v>
          </cell>
          <cell r="I645" t="str">
            <v>Tarket</v>
          </cell>
          <cell r="J645"/>
          <cell r="K645">
            <v>24.8</v>
          </cell>
          <cell r="L645" t="str">
            <v>nvt</v>
          </cell>
          <cell r="M645">
            <v>0</v>
          </cell>
          <cell r="N645"/>
          <cell r="O645">
            <v>0</v>
          </cell>
          <cell r="P645">
            <v>1</v>
          </cell>
          <cell r="Q645">
            <v>0</v>
          </cell>
          <cell r="R645">
            <v>0</v>
          </cell>
          <cell r="S645">
            <v>0</v>
          </cell>
        </row>
        <row r="646">
          <cell r="D646" t="str">
            <v>Horizon Prisma Boerderij gebouw D</v>
          </cell>
          <cell r="E646" t="str">
            <v>bgg</v>
          </cell>
          <cell r="F646" t="str">
            <v>D0.01A</v>
          </cell>
          <cell r="G646" t="str">
            <v>Entrée</v>
          </cell>
          <cell r="H646" t="str">
            <v>entree, gang, hal, repro, kopieer, was/droogruimte</v>
          </cell>
          <cell r="I646" t="str">
            <v>inloopmat</v>
          </cell>
          <cell r="J646">
            <v>12.3</v>
          </cell>
          <cell r="K646"/>
          <cell r="L646">
            <v>3153</v>
          </cell>
          <cell r="M646">
            <v>103</v>
          </cell>
          <cell r="N646"/>
          <cell r="O646">
            <v>153</v>
          </cell>
          <cell r="P646">
            <v>1</v>
          </cell>
          <cell r="Q646">
            <v>0</v>
          </cell>
          <cell r="R646">
            <v>0</v>
          </cell>
          <cell r="S646">
            <v>0</v>
          </cell>
        </row>
        <row r="647">
          <cell r="D647" t="str">
            <v>Horizon Prisma Boerderij gebouw D</v>
          </cell>
          <cell r="E647" t="str">
            <v>bgg</v>
          </cell>
          <cell r="F647" t="str">
            <v>D0.01B</v>
          </cell>
          <cell r="G647" t="str">
            <v>Entrée</v>
          </cell>
          <cell r="H647" t="str">
            <v>entree, gang, hal, repro, kopieer, was/droogruimte</v>
          </cell>
          <cell r="I647" t="str">
            <v>linoleum</v>
          </cell>
          <cell r="J647">
            <v>12</v>
          </cell>
          <cell r="K647"/>
          <cell r="L647">
            <v>3153</v>
          </cell>
          <cell r="M647">
            <v>103</v>
          </cell>
          <cell r="N647"/>
          <cell r="O647">
            <v>153</v>
          </cell>
          <cell r="P647">
            <v>1</v>
          </cell>
          <cell r="Q647">
            <v>0</v>
          </cell>
          <cell r="R647">
            <v>0</v>
          </cell>
          <cell r="S647">
            <v>0</v>
          </cell>
        </row>
        <row r="648">
          <cell r="D648" t="str">
            <v>Horizon Prisma Boerderij gebouw D</v>
          </cell>
          <cell r="E648" t="str">
            <v>bgg</v>
          </cell>
          <cell r="F648" t="str">
            <v>D0.02A</v>
          </cell>
          <cell r="G648" t="str">
            <v>gang</v>
          </cell>
          <cell r="H648" t="str">
            <v>entree, gang, hal, repro, kopieer, was/droogruimte</v>
          </cell>
          <cell r="I648" t="str">
            <v>linoleum</v>
          </cell>
          <cell r="J648">
            <v>7.7</v>
          </cell>
          <cell r="K648"/>
          <cell r="L648">
            <v>3153</v>
          </cell>
          <cell r="M648">
            <v>103</v>
          </cell>
          <cell r="N648"/>
          <cell r="O648">
            <v>153</v>
          </cell>
          <cell r="P648">
            <v>1</v>
          </cell>
          <cell r="Q648">
            <v>0</v>
          </cell>
          <cell r="R648">
            <v>0</v>
          </cell>
          <cell r="S648">
            <v>0</v>
          </cell>
        </row>
        <row r="649">
          <cell r="D649" t="str">
            <v>Horizon Prisma Boerderij gebouw D</v>
          </cell>
          <cell r="E649" t="str">
            <v>bgg</v>
          </cell>
          <cell r="F649" t="str">
            <v>D0.02B</v>
          </cell>
          <cell r="G649" t="str">
            <v>gang</v>
          </cell>
          <cell r="H649" t="str">
            <v>entree, gang, hal, repro, kopieer, was/droogruimte</v>
          </cell>
          <cell r="I649" t="str">
            <v>linoleum</v>
          </cell>
          <cell r="J649">
            <v>60.4</v>
          </cell>
          <cell r="K649"/>
          <cell r="L649">
            <v>3153</v>
          </cell>
          <cell r="M649">
            <v>103</v>
          </cell>
          <cell r="N649"/>
          <cell r="O649">
            <v>153</v>
          </cell>
          <cell r="P649">
            <v>1</v>
          </cell>
          <cell r="Q649">
            <v>0</v>
          </cell>
          <cell r="R649">
            <v>0</v>
          </cell>
          <cell r="S649">
            <v>0</v>
          </cell>
        </row>
        <row r="650">
          <cell r="D650" t="str">
            <v>Horizon Prisma Boerderij gebouw D</v>
          </cell>
          <cell r="E650" t="str">
            <v>bgg</v>
          </cell>
          <cell r="F650" t="str">
            <v>D0.03</v>
          </cell>
          <cell r="G650" t="str">
            <v>Groepsverblijf</v>
          </cell>
          <cell r="H650" t="str">
            <v>leslokaal</v>
          </cell>
          <cell r="I650" t="str">
            <v>Linoleum</v>
          </cell>
          <cell r="J650">
            <v>44</v>
          </cell>
          <cell r="K650"/>
          <cell r="L650">
            <v>7153</v>
          </cell>
          <cell r="M650">
            <v>107</v>
          </cell>
          <cell r="N650"/>
          <cell r="O650">
            <v>153</v>
          </cell>
          <cell r="P650">
            <v>1</v>
          </cell>
          <cell r="Q650">
            <v>0</v>
          </cell>
          <cell r="R650">
            <v>0</v>
          </cell>
          <cell r="S650">
            <v>0</v>
          </cell>
        </row>
        <row r="651">
          <cell r="D651" t="str">
            <v>Horizon Prisma Boerderij gebouw D</v>
          </cell>
          <cell r="E651" t="str">
            <v>bgg</v>
          </cell>
          <cell r="F651" t="str">
            <v>D0.04A</v>
          </cell>
          <cell r="G651" t="str">
            <v>slaapkamer</v>
          </cell>
          <cell r="H651" t="str">
            <v>niet van toepassing</v>
          </cell>
          <cell r="I651" t="str">
            <v>linoleum</v>
          </cell>
          <cell r="J651"/>
          <cell r="K651">
            <v>7.7</v>
          </cell>
          <cell r="L651" t="str">
            <v>nvt</v>
          </cell>
          <cell r="M651">
            <v>0</v>
          </cell>
          <cell r="N651"/>
          <cell r="O651">
            <v>0</v>
          </cell>
          <cell r="P651">
            <v>1</v>
          </cell>
          <cell r="Q651">
            <v>0</v>
          </cell>
          <cell r="R651">
            <v>0</v>
          </cell>
          <cell r="S651">
            <v>0</v>
          </cell>
        </row>
        <row r="652">
          <cell r="D652" t="str">
            <v>Horizon Prisma Boerderij gebouw D</v>
          </cell>
          <cell r="E652" t="str">
            <v>bgg</v>
          </cell>
          <cell r="F652" t="str">
            <v>D0.04B</v>
          </cell>
          <cell r="G652" t="str">
            <v>keuken (keuken)</v>
          </cell>
          <cell r="H652" t="str">
            <v>Keuken</v>
          </cell>
          <cell r="I652" t="str">
            <v>linoleum</v>
          </cell>
          <cell r="J652">
            <v>10.4</v>
          </cell>
          <cell r="K652"/>
          <cell r="L652">
            <v>18255</v>
          </cell>
          <cell r="M652" t="str">
            <v>nvt</v>
          </cell>
          <cell r="N652"/>
          <cell r="O652">
            <v>255</v>
          </cell>
          <cell r="P652">
            <v>1</v>
          </cell>
          <cell r="Q652">
            <v>0</v>
          </cell>
          <cell r="R652">
            <v>0</v>
          </cell>
          <cell r="S652">
            <v>0</v>
          </cell>
        </row>
        <row r="653">
          <cell r="D653" t="str">
            <v>Horizon Prisma Boerderij gebouw D</v>
          </cell>
          <cell r="E653" t="str">
            <v>bgg</v>
          </cell>
          <cell r="F653" t="str">
            <v>D0.05</v>
          </cell>
          <cell r="G653" t="str">
            <v>bijkeuken</v>
          </cell>
          <cell r="H653" t="str">
            <v>Keuken</v>
          </cell>
          <cell r="I653" t="str">
            <v>linoleum</v>
          </cell>
          <cell r="J653">
            <v>7</v>
          </cell>
          <cell r="K653"/>
          <cell r="L653">
            <v>18153</v>
          </cell>
          <cell r="M653" t="str">
            <v>nvt</v>
          </cell>
          <cell r="N653"/>
          <cell r="O653">
            <v>153</v>
          </cell>
          <cell r="P653">
            <v>1</v>
          </cell>
          <cell r="Q653">
            <v>0</v>
          </cell>
          <cell r="R653">
            <v>0</v>
          </cell>
          <cell r="S653">
            <v>0</v>
          </cell>
        </row>
        <row r="654">
          <cell r="D654" t="str">
            <v>Horizon Prisma Boerderij gebouw D</v>
          </cell>
          <cell r="E654" t="str">
            <v>bgg</v>
          </cell>
          <cell r="F654" t="str">
            <v>D0.06</v>
          </cell>
          <cell r="G654" t="str">
            <v>kantoor</v>
          </cell>
          <cell r="H654" t="str">
            <v>administratieve -, personeels- en vergaderruimte</v>
          </cell>
          <cell r="I654" t="str">
            <v>tapijt</v>
          </cell>
          <cell r="J654">
            <v>11.4</v>
          </cell>
          <cell r="K654"/>
          <cell r="L654">
            <v>1102</v>
          </cell>
          <cell r="M654">
            <v>101</v>
          </cell>
          <cell r="N654"/>
          <cell r="O654">
            <v>102</v>
          </cell>
          <cell r="P654">
            <v>1</v>
          </cell>
          <cell r="Q654">
            <v>0</v>
          </cell>
          <cell r="R654">
            <v>0</v>
          </cell>
          <cell r="S654">
            <v>0</v>
          </cell>
        </row>
        <row r="655">
          <cell r="D655" t="str">
            <v>Horizon Prisma Boerderij gebouw D</v>
          </cell>
          <cell r="E655" t="str">
            <v>bgg</v>
          </cell>
          <cell r="F655" t="str">
            <v>D0.07</v>
          </cell>
          <cell r="G655" t="str">
            <v>kantoor</v>
          </cell>
          <cell r="H655" t="str">
            <v>administratieve -, personeels- en vergaderruimte</v>
          </cell>
          <cell r="I655" t="str">
            <v>tapijt</v>
          </cell>
          <cell r="J655">
            <v>20.2</v>
          </cell>
          <cell r="K655"/>
          <cell r="L655">
            <v>1102</v>
          </cell>
          <cell r="M655">
            <v>101</v>
          </cell>
          <cell r="N655"/>
          <cell r="O655">
            <v>102</v>
          </cell>
          <cell r="P655">
            <v>1</v>
          </cell>
          <cell r="Q655">
            <v>0</v>
          </cell>
          <cell r="R655">
            <v>0</v>
          </cell>
          <cell r="S655">
            <v>0</v>
          </cell>
        </row>
        <row r="656">
          <cell r="D656" t="str">
            <v>Horizon Prisma Boerderij gebouw D</v>
          </cell>
          <cell r="E656" t="str">
            <v>bgg</v>
          </cell>
          <cell r="F656" t="str">
            <v>D0.07a</v>
          </cell>
          <cell r="G656" t="str">
            <v>kast</v>
          </cell>
          <cell r="H656" t="str">
            <v>niet van toepassing</v>
          </cell>
          <cell r="I656"/>
          <cell r="J656"/>
          <cell r="K656"/>
          <cell r="L656" t="str">
            <v>nvt</v>
          </cell>
          <cell r="M656">
            <v>0</v>
          </cell>
          <cell r="N656"/>
          <cell r="O656">
            <v>0</v>
          </cell>
          <cell r="P656">
            <v>1</v>
          </cell>
          <cell r="Q656">
            <v>0</v>
          </cell>
          <cell r="R656">
            <v>0</v>
          </cell>
          <cell r="S656">
            <v>0</v>
          </cell>
        </row>
        <row r="657">
          <cell r="D657" t="str">
            <v>Horizon Prisma Boerderij gebouw D</v>
          </cell>
          <cell r="E657" t="str">
            <v>bgg</v>
          </cell>
          <cell r="F657" t="str">
            <v>D0.08</v>
          </cell>
          <cell r="G657" t="str">
            <v>was/droogruimte</v>
          </cell>
          <cell r="H657" t="str">
            <v>sanitaire ruimte (toilet-/doucheruimte)</v>
          </cell>
          <cell r="I657" t="str">
            <v>linoleum</v>
          </cell>
          <cell r="J657">
            <v>7.8</v>
          </cell>
          <cell r="K657"/>
          <cell r="L657">
            <v>4102</v>
          </cell>
          <cell r="M657">
            <v>104</v>
          </cell>
          <cell r="N657"/>
          <cell r="O657">
            <v>102</v>
          </cell>
          <cell r="P657">
            <v>1</v>
          </cell>
          <cell r="Q657">
            <v>0</v>
          </cell>
          <cell r="R657">
            <v>0</v>
          </cell>
          <cell r="S657">
            <v>0</v>
          </cell>
        </row>
        <row r="658">
          <cell r="D658" t="str">
            <v>Horizon Prisma Boerderij gebouw D</v>
          </cell>
          <cell r="E658" t="str">
            <v>bgg</v>
          </cell>
          <cell r="F658" t="str">
            <v>D0.10</v>
          </cell>
          <cell r="G658" t="str">
            <v>Slaapkamer</v>
          </cell>
          <cell r="H658" t="str">
            <v>niet van toepassing</v>
          </cell>
          <cell r="I658" t="str">
            <v>linoleum</v>
          </cell>
          <cell r="J658"/>
          <cell r="K658"/>
          <cell r="L658" t="str">
            <v>nvt</v>
          </cell>
          <cell r="M658">
            <v>0</v>
          </cell>
          <cell r="N658"/>
          <cell r="O658">
            <v>0</v>
          </cell>
          <cell r="P658">
            <v>1</v>
          </cell>
          <cell r="Q658">
            <v>0</v>
          </cell>
          <cell r="R658">
            <v>0</v>
          </cell>
          <cell r="S658">
            <v>0</v>
          </cell>
        </row>
        <row r="659">
          <cell r="D659" t="str">
            <v>Horizon Prisma Boerderij gebouw D</v>
          </cell>
          <cell r="E659" t="str">
            <v>bgg</v>
          </cell>
          <cell r="F659" t="str">
            <v>D0.11</v>
          </cell>
          <cell r="G659" t="str">
            <v>Slaapkamer</v>
          </cell>
          <cell r="H659" t="str">
            <v>niet van toepassing</v>
          </cell>
          <cell r="I659" t="str">
            <v>linoleum</v>
          </cell>
          <cell r="J659"/>
          <cell r="K659"/>
          <cell r="L659" t="str">
            <v>nvt</v>
          </cell>
          <cell r="M659">
            <v>0</v>
          </cell>
          <cell r="N659"/>
          <cell r="O659">
            <v>0</v>
          </cell>
          <cell r="P659">
            <v>1</v>
          </cell>
          <cell r="Q659">
            <v>0</v>
          </cell>
          <cell r="R659">
            <v>0</v>
          </cell>
          <cell r="S659">
            <v>0</v>
          </cell>
        </row>
        <row r="660">
          <cell r="D660" t="str">
            <v>Horizon Prisma Boerderij gebouw D</v>
          </cell>
          <cell r="E660" t="str">
            <v>bgg</v>
          </cell>
          <cell r="F660" t="str">
            <v>D0.12</v>
          </cell>
          <cell r="G660" t="str">
            <v>Slaapkamer</v>
          </cell>
          <cell r="H660" t="str">
            <v>niet van toepassing</v>
          </cell>
          <cell r="I660" t="str">
            <v>linoleum</v>
          </cell>
          <cell r="J660"/>
          <cell r="K660"/>
          <cell r="L660" t="str">
            <v>nvt</v>
          </cell>
          <cell r="M660">
            <v>0</v>
          </cell>
          <cell r="N660"/>
          <cell r="O660">
            <v>0</v>
          </cell>
          <cell r="P660">
            <v>1</v>
          </cell>
          <cell r="Q660">
            <v>0</v>
          </cell>
          <cell r="R660">
            <v>0</v>
          </cell>
          <cell r="S660">
            <v>0</v>
          </cell>
        </row>
        <row r="661">
          <cell r="D661" t="str">
            <v>Horizon Prisma Boerderij gebouw D</v>
          </cell>
          <cell r="E661" t="str">
            <v>bgg</v>
          </cell>
          <cell r="F661" t="str">
            <v>D0.13</v>
          </cell>
          <cell r="G661" t="str">
            <v>Slaapkamer</v>
          </cell>
          <cell r="H661" t="str">
            <v>niet van toepassing</v>
          </cell>
          <cell r="I661" t="str">
            <v>linoleum</v>
          </cell>
          <cell r="J661"/>
          <cell r="K661"/>
          <cell r="L661" t="str">
            <v>nvt</v>
          </cell>
          <cell r="M661">
            <v>0</v>
          </cell>
          <cell r="N661"/>
          <cell r="O661">
            <v>0</v>
          </cell>
          <cell r="P661">
            <v>1</v>
          </cell>
          <cell r="Q661">
            <v>0</v>
          </cell>
          <cell r="R661">
            <v>0</v>
          </cell>
          <cell r="S661">
            <v>0</v>
          </cell>
        </row>
        <row r="662">
          <cell r="D662" t="str">
            <v>Horizon Prisma Boerderij gebouw D</v>
          </cell>
          <cell r="E662" t="str">
            <v>bgg</v>
          </cell>
          <cell r="F662" t="str">
            <v>D0.14</v>
          </cell>
          <cell r="G662" t="str">
            <v>Slaapkamer</v>
          </cell>
          <cell r="H662" t="str">
            <v>niet van toepassing</v>
          </cell>
          <cell r="I662" t="str">
            <v>linoleum</v>
          </cell>
          <cell r="J662"/>
          <cell r="K662"/>
          <cell r="L662" t="str">
            <v>nvt</v>
          </cell>
          <cell r="M662">
            <v>0</v>
          </cell>
          <cell r="N662"/>
          <cell r="O662">
            <v>0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D663" t="str">
            <v>Horizon Prisma Boerderij gebouw D</v>
          </cell>
          <cell r="E663" t="str">
            <v>bgg</v>
          </cell>
          <cell r="F663" t="str">
            <v>D0.15</v>
          </cell>
          <cell r="G663" t="str">
            <v>Slaapkamer</v>
          </cell>
          <cell r="H663" t="str">
            <v>niet van toepassing</v>
          </cell>
          <cell r="I663" t="str">
            <v>linoleum</v>
          </cell>
          <cell r="J663"/>
          <cell r="K663"/>
          <cell r="L663" t="str">
            <v>nvt</v>
          </cell>
          <cell r="M663">
            <v>0</v>
          </cell>
          <cell r="N663"/>
          <cell r="O663">
            <v>0</v>
          </cell>
          <cell r="P663">
            <v>1</v>
          </cell>
          <cell r="Q663">
            <v>0</v>
          </cell>
          <cell r="R663">
            <v>0</v>
          </cell>
          <cell r="S663">
            <v>0</v>
          </cell>
        </row>
        <row r="664">
          <cell r="D664" t="str">
            <v>Horizon Prisma Boerderij gebouw D</v>
          </cell>
          <cell r="E664" t="str">
            <v>bgg</v>
          </cell>
          <cell r="F664" t="str">
            <v>D0.16</v>
          </cell>
          <cell r="G664" t="str">
            <v>Slaapkamer</v>
          </cell>
          <cell r="H664" t="str">
            <v>niet van toepassing</v>
          </cell>
          <cell r="I664" t="str">
            <v>linoleum</v>
          </cell>
          <cell r="J664"/>
          <cell r="K664"/>
          <cell r="L664" t="str">
            <v>nvt</v>
          </cell>
          <cell r="M664">
            <v>0</v>
          </cell>
          <cell r="N664"/>
          <cell r="O664">
            <v>0</v>
          </cell>
          <cell r="P664">
            <v>1</v>
          </cell>
          <cell r="Q664">
            <v>0</v>
          </cell>
          <cell r="R664">
            <v>0</v>
          </cell>
          <cell r="S664">
            <v>0</v>
          </cell>
        </row>
        <row r="665">
          <cell r="D665" t="str">
            <v>Horizon Prisma Boerderij gebouw D</v>
          </cell>
          <cell r="E665" t="str">
            <v>bgg</v>
          </cell>
          <cell r="F665" t="str">
            <v>D0.17</v>
          </cell>
          <cell r="G665" t="str">
            <v>Slaapkamer</v>
          </cell>
          <cell r="H665" t="str">
            <v>niet van toepassing</v>
          </cell>
          <cell r="I665" t="str">
            <v>linoleum</v>
          </cell>
          <cell r="J665"/>
          <cell r="K665"/>
          <cell r="L665" t="str">
            <v>nvt</v>
          </cell>
          <cell r="M665">
            <v>0</v>
          </cell>
          <cell r="N665"/>
          <cell r="O665">
            <v>0</v>
          </cell>
          <cell r="P665">
            <v>1</v>
          </cell>
          <cell r="Q665">
            <v>0</v>
          </cell>
          <cell r="R665">
            <v>0</v>
          </cell>
          <cell r="S665">
            <v>0</v>
          </cell>
        </row>
        <row r="666">
          <cell r="D666" t="str">
            <v>Horizon Prisma Boerderij gebouw D</v>
          </cell>
          <cell r="E666" t="str">
            <v>bgg</v>
          </cell>
          <cell r="F666" t="str">
            <v>D0.18</v>
          </cell>
          <cell r="G666" t="str">
            <v>CV ruimte</v>
          </cell>
          <cell r="H666" t="str">
            <v>niet van toepassing</v>
          </cell>
          <cell r="I666"/>
          <cell r="J666"/>
          <cell r="K666">
            <v>3.4</v>
          </cell>
          <cell r="L666" t="str">
            <v>nvt</v>
          </cell>
          <cell r="M666">
            <v>0</v>
          </cell>
          <cell r="N666"/>
          <cell r="O666">
            <v>0</v>
          </cell>
          <cell r="P666">
            <v>1</v>
          </cell>
          <cell r="Q666">
            <v>0</v>
          </cell>
          <cell r="R666">
            <v>0</v>
          </cell>
          <cell r="S666">
            <v>0</v>
          </cell>
        </row>
        <row r="667">
          <cell r="D667" t="str">
            <v>Horizon Prisma Boerderij gebouw D</v>
          </cell>
          <cell r="E667" t="str">
            <v>bgg</v>
          </cell>
          <cell r="F667" t="str">
            <v>D0.18A</v>
          </cell>
          <cell r="G667" t="str">
            <v>toilet</v>
          </cell>
          <cell r="H667" t="str">
            <v>sanitaire ruimte (toilet-/doucheruimte)</v>
          </cell>
          <cell r="I667" t="str">
            <v>steen</v>
          </cell>
          <cell r="J667">
            <v>0.8</v>
          </cell>
          <cell r="K667"/>
          <cell r="L667">
            <v>4153</v>
          </cell>
          <cell r="M667">
            <v>104</v>
          </cell>
          <cell r="N667"/>
          <cell r="O667">
            <v>153</v>
          </cell>
          <cell r="P667">
            <v>1</v>
          </cell>
          <cell r="Q667">
            <v>0</v>
          </cell>
          <cell r="R667">
            <v>0</v>
          </cell>
          <cell r="S667">
            <v>0</v>
          </cell>
        </row>
        <row r="668">
          <cell r="D668" t="str">
            <v>Horizon Prisma Boerderij gebouw D</v>
          </cell>
          <cell r="E668" t="str">
            <v>bgg</v>
          </cell>
          <cell r="F668" t="str">
            <v>D0.18B</v>
          </cell>
          <cell r="G668" t="str">
            <v>toilet</v>
          </cell>
          <cell r="H668" t="str">
            <v>sanitaire ruimte (toilet-/doucheruimte)</v>
          </cell>
          <cell r="I668" t="str">
            <v>steen</v>
          </cell>
          <cell r="J668">
            <v>0.8</v>
          </cell>
          <cell r="K668"/>
          <cell r="L668">
            <v>4153</v>
          </cell>
          <cell r="M668">
            <v>104</v>
          </cell>
          <cell r="N668"/>
          <cell r="O668">
            <v>153</v>
          </cell>
          <cell r="P668">
            <v>1</v>
          </cell>
          <cell r="Q668">
            <v>0</v>
          </cell>
          <cell r="R668">
            <v>0</v>
          </cell>
          <cell r="S668">
            <v>0</v>
          </cell>
        </row>
        <row r="669">
          <cell r="D669" t="str">
            <v>Horizon Prisma Boerderij gebouw D</v>
          </cell>
          <cell r="E669" t="str">
            <v>bgg</v>
          </cell>
          <cell r="F669" t="str">
            <v>D0.18C</v>
          </cell>
          <cell r="G669" t="str">
            <v>voorruimte</v>
          </cell>
          <cell r="H669" t="str">
            <v>sanitaire ruimte (toilet-/doucheruimte)</v>
          </cell>
          <cell r="I669" t="str">
            <v>steen</v>
          </cell>
          <cell r="J669">
            <v>2.1</v>
          </cell>
          <cell r="K669"/>
          <cell r="L669">
            <v>4153</v>
          </cell>
          <cell r="M669">
            <v>104</v>
          </cell>
          <cell r="N669"/>
          <cell r="O669">
            <v>153</v>
          </cell>
          <cell r="P669">
            <v>1</v>
          </cell>
          <cell r="Q669">
            <v>0</v>
          </cell>
          <cell r="R669">
            <v>0</v>
          </cell>
          <cell r="S669">
            <v>0</v>
          </cell>
        </row>
        <row r="670">
          <cell r="D670" t="str">
            <v>Horizon Prisma Boerderij gebouw D</v>
          </cell>
          <cell r="E670" t="str">
            <v>bgg</v>
          </cell>
          <cell r="F670" t="str">
            <v>D0.19</v>
          </cell>
          <cell r="G670" t="str">
            <v>slaapkamer</v>
          </cell>
          <cell r="H670" t="str">
            <v>niet van toepassing</v>
          </cell>
          <cell r="I670" t="str">
            <v>tapijt</v>
          </cell>
          <cell r="J670"/>
          <cell r="K670">
            <v>13.6</v>
          </cell>
          <cell r="L670" t="str">
            <v>nvt</v>
          </cell>
          <cell r="M670">
            <v>0</v>
          </cell>
          <cell r="N670"/>
          <cell r="O670">
            <v>0</v>
          </cell>
          <cell r="P670">
            <v>1</v>
          </cell>
          <cell r="Q670">
            <v>0</v>
          </cell>
          <cell r="R670">
            <v>0</v>
          </cell>
          <cell r="S670">
            <v>0</v>
          </cell>
        </row>
        <row r="671">
          <cell r="D671" t="str">
            <v>Horizon Prisma Boerderij gebouw D</v>
          </cell>
          <cell r="E671" t="str">
            <v>bgg</v>
          </cell>
          <cell r="F671" t="str">
            <v>D0.20</v>
          </cell>
          <cell r="G671" t="str">
            <v>keuken</v>
          </cell>
          <cell r="H671" t="str">
            <v>niet van toepassing</v>
          </cell>
          <cell r="I671" t="str">
            <v>tapijt</v>
          </cell>
          <cell r="J671"/>
          <cell r="K671">
            <v>25.5</v>
          </cell>
          <cell r="L671" t="str">
            <v>nvt</v>
          </cell>
          <cell r="M671">
            <v>0</v>
          </cell>
          <cell r="N671"/>
          <cell r="O671">
            <v>0</v>
          </cell>
          <cell r="P671">
            <v>1</v>
          </cell>
          <cell r="Q671">
            <v>0</v>
          </cell>
          <cell r="R671">
            <v>0</v>
          </cell>
          <cell r="S671">
            <v>0</v>
          </cell>
        </row>
        <row r="672">
          <cell r="D672" t="str">
            <v>Horizon Prisma Boerderij gebouw D</v>
          </cell>
          <cell r="E672" t="str">
            <v>bgg</v>
          </cell>
          <cell r="F672" t="str">
            <v>D0.21</v>
          </cell>
          <cell r="G672" t="str">
            <v>woonkamer</v>
          </cell>
          <cell r="H672" t="str">
            <v>niet van toepassing</v>
          </cell>
          <cell r="I672" t="str">
            <v>tapijt</v>
          </cell>
          <cell r="J672"/>
          <cell r="K672">
            <v>16</v>
          </cell>
          <cell r="L672" t="str">
            <v>nvt</v>
          </cell>
          <cell r="M672">
            <v>0</v>
          </cell>
          <cell r="N672"/>
          <cell r="O672">
            <v>0</v>
          </cell>
          <cell r="P672">
            <v>1</v>
          </cell>
          <cell r="Q672">
            <v>0</v>
          </cell>
          <cell r="R672">
            <v>0</v>
          </cell>
          <cell r="S672">
            <v>0</v>
          </cell>
        </row>
        <row r="673">
          <cell r="D673" t="str">
            <v>Horizon Prisma Boerderij gebouw D</v>
          </cell>
          <cell r="E673" t="str">
            <v>bgg</v>
          </cell>
          <cell r="F673" t="str">
            <v>D0.22</v>
          </cell>
          <cell r="G673" t="str">
            <v>voorruimte</v>
          </cell>
          <cell r="H673" t="str">
            <v>sanitaire ruimte (toilet-/doucheruimte)</v>
          </cell>
          <cell r="I673" t="str">
            <v>steen</v>
          </cell>
          <cell r="J673">
            <v>4.4000000000000004</v>
          </cell>
          <cell r="K673"/>
          <cell r="L673">
            <v>4153</v>
          </cell>
          <cell r="M673">
            <v>104</v>
          </cell>
          <cell r="N673"/>
          <cell r="O673">
            <v>153</v>
          </cell>
          <cell r="P673">
            <v>1</v>
          </cell>
          <cell r="Q673">
            <v>0</v>
          </cell>
          <cell r="R673">
            <v>0</v>
          </cell>
          <cell r="S673">
            <v>0</v>
          </cell>
        </row>
        <row r="674">
          <cell r="D674" t="str">
            <v>Horizon Prisma Boerderij gebouw D</v>
          </cell>
          <cell r="E674" t="str">
            <v>bgg</v>
          </cell>
          <cell r="F674" t="str">
            <v>D0.22A</v>
          </cell>
          <cell r="G674" t="str">
            <v>toilet</v>
          </cell>
          <cell r="H674" t="str">
            <v>sanitaire ruimte (toilet-/doucheruimte)</v>
          </cell>
          <cell r="I674" t="str">
            <v>steen</v>
          </cell>
          <cell r="J674">
            <v>0.7</v>
          </cell>
          <cell r="K674"/>
          <cell r="L674">
            <v>4255</v>
          </cell>
          <cell r="M674">
            <v>104</v>
          </cell>
          <cell r="N674"/>
          <cell r="O674">
            <v>255</v>
          </cell>
          <cell r="P674">
            <v>1</v>
          </cell>
          <cell r="Q674">
            <v>0</v>
          </cell>
          <cell r="R674">
            <v>0</v>
          </cell>
          <cell r="S674">
            <v>0</v>
          </cell>
        </row>
        <row r="675">
          <cell r="D675" t="str">
            <v>Horizon Prisma Boerderij gebouw D</v>
          </cell>
          <cell r="E675" t="str">
            <v>bgg</v>
          </cell>
          <cell r="F675" t="str">
            <v>D0.22B</v>
          </cell>
          <cell r="G675" t="str">
            <v>toilet</v>
          </cell>
          <cell r="H675" t="str">
            <v>sanitaire ruimte (toilet-/doucheruimte)</v>
          </cell>
          <cell r="I675" t="str">
            <v>steen</v>
          </cell>
          <cell r="J675">
            <v>0.7</v>
          </cell>
          <cell r="K675"/>
          <cell r="L675">
            <v>4255</v>
          </cell>
          <cell r="M675">
            <v>104</v>
          </cell>
          <cell r="N675"/>
          <cell r="O675">
            <v>255</v>
          </cell>
          <cell r="P675">
            <v>1</v>
          </cell>
          <cell r="Q675">
            <v>0</v>
          </cell>
          <cell r="R675">
            <v>0</v>
          </cell>
          <cell r="S675">
            <v>0</v>
          </cell>
        </row>
        <row r="676">
          <cell r="D676" t="str">
            <v>Horizon Prisma Boerderij gebouw D</v>
          </cell>
          <cell r="E676" t="str">
            <v>bgg</v>
          </cell>
          <cell r="F676" t="str">
            <v>D0.22C</v>
          </cell>
          <cell r="G676" t="str">
            <v>douche</v>
          </cell>
          <cell r="H676" t="str">
            <v>sanitaire ruimte (toilet-/doucheruimte)</v>
          </cell>
          <cell r="I676" t="str">
            <v>steen</v>
          </cell>
          <cell r="J676">
            <v>0.7</v>
          </cell>
          <cell r="K676"/>
          <cell r="L676">
            <v>4255</v>
          </cell>
          <cell r="M676">
            <v>104</v>
          </cell>
          <cell r="N676"/>
          <cell r="O676">
            <v>255</v>
          </cell>
          <cell r="P676">
            <v>1</v>
          </cell>
          <cell r="Q676">
            <v>0</v>
          </cell>
          <cell r="R676">
            <v>0</v>
          </cell>
          <cell r="S676">
            <v>0</v>
          </cell>
        </row>
        <row r="677">
          <cell r="D677" t="str">
            <v>Horizon Prisma Boerderij gebouw D</v>
          </cell>
          <cell r="E677" t="str">
            <v>bgg</v>
          </cell>
          <cell r="F677" t="str">
            <v>D0.22D</v>
          </cell>
          <cell r="G677" t="str">
            <v>douche</v>
          </cell>
          <cell r="H677" t="str">
            <v>sanitaire ruimte (toilet-/doucheruimte)</v>
          </cell>
          <cell r="I677" t="str">
            <v>steen</v>
          </cell>
          <cell r="J677">
            <v>0.7</v>
          </cell>
          <cell r="K677"/>
          <cell r="L677">
            <v>4255</v>
          </cell>
          <cell r="M677">
            <v>104</v>
          </cell>
          <cell r="N677"/>
          <cell r="O677">
            <v>255</v>
          </cell>
          <cell r="P677">
            <v>1</v>
          </cell>
          <cell r="Q677">
            <v>0</v>
          </cell>
          <cell r="R677">
            <v>0</v>
          </cell>
          <cell r="S677">
            <v>0</v>
          </cell>
        </row>
        <row r="678">
          <cell r="D678" t="str">
            <v>Horizon Prisma Boerderij gebouw D</v>
          </cell>
          <cell r="E678" t="str">
            <v>bgg</v>
          </cell>
          <cell r="F678" t="str">
            <v>D0.22E</v>
          </cell>
          <cell r="G678" t="str">
            <v>douche</v>
          </cell>
          <cell r="H678" t="str">
            <v>sanitaire ruimte (toilet-/doucheruimte)</v>
          </cell>
          <cell r="I678" t="str">
            <v>steen</v>
          </cell>
          <cell r="J678">
            <v>0.7</v>
          </cell>
          <cell r="K678"/>
          <cell r="L678">
            <v>4255</v>
          </cell>
          <cell r="M678">
            <v>104</v>
          </cell>
          <cell r="N678"/>
          <cell r="O678">
            <v>255</v>
          </cell>
          <cell r="P678">
            <v>1</v>
          </cell>
          <cell r="Q678">
            <v>0</v>
          </cell>
          <cell r="R678">
            <v>0</v>
          </cell>
          <cell r="S678">
            <v>0</v>
          </cell>
        </row>
        <row r="679">
          <cell r="D679" t="str">
            <v>Horizon Prisma Boerderij gebouw D</v>
          </cell>
          <cell r="E679" t="str">
            <v>bgg</v>
          </cell>
          <cell r="F679" t="str">
            <v>D0.23</v>
          </cell>
          <cell r="G679" t="str">
            <v>Entrée</v>
          </cell>
          <cell r="H679" t="str">
            <v>entree, gang, hal, repro, kopieer, was/droogruimte</v>
          </cell>
          <cell r="I679" t="str">
            <v>linoleum</v>
          </cell>
          <cell r="J679">
            <v>0.3</v>
          </cell>
          <cell r="K679"/>
          <cell r="L679">
            <v>3153</v>
          </cell>
          <cell r="M679">
            <v>103</v>
          </cell>
          <cell r="N679"/>
          <cell r="O679">
            <v>153</v>
          </cell>
          <cell r="P679">
            <v>1</v>
          </cell>
          <cell r="Q679">
            <v>0</v>
          </cell>
          <cell r="R679">
            <v>0</v>
          </cell>
          <cell r="S679">
            <v>0</v>
          </cell>
        </row>
        <row r="680">
          <cell r="D680" t="str">
            <v>Horizon Prisma Boerderij gebouw D</v>
          </cell>
          <cell r="E680" t="str">
            <v>1e</v>
          </cell>
          <cell r="F680" t="str">
            <v>D1.</v>
          </cell>
          <cell r="G680" t="str">
            <v>toilet</v>
          </cell>
          <cell r="H680" t="str">
            <v>sanitaire ruimte (toilet-/doucheruimte)</v>
          </cell>
          <cell r="I680" t="str">
            <v>steen</v>
          </cell>
          <cell r="J680">
            <v>0.9</v>
          </cell>
          <cell r="K680"/>
          <cell r="L680">
            <v>4102</v>
          </cell>
          <cell r="M680">
            <v>104</v>
          </cell>
          <cell r="N680"/>
          <cell r="O680">
            <v>102</v>
          </cell>
          <cell r="P680">
            <v>1</v>
          </cell>
          <cell r="Q680">
            <v>0</v>
          </cell>
          <cell r="R680">
            <v>0</v>
          </cell>
          <cell r="S680">
            <v>0</v>
          </cell>
        </row>
        <row r="681">
          <cell r="D681" t="str">
            <v>Horizon Prisma Boerderij gebouw D</v>
          </cell>
          <cell r="E681" t="str">
            <v>1e</v>
          </cell>
          <cell r="F681" t="str">
            <v>D1.01</v>
          </cell>
          <cell r="G681" t="str">
            <v>gang</v>
          </cell>
          <cell r="H681" t="str">
            <v>niet van toepassing</v>
          </cell>
          <cell r="I681" t="str">
            <v>tapijt</v>
          </cell>
          <cell r="J681">
            <v>0</v>
          </cell>
          <cell r="K681"/>
          <cell r="L681" t="str">
            <v>nvt</v>
          </cell>
          <cell r="M681">
            <v>0</v>
          </cell>
          <cell r="N681"/>
          <cell r="O681">
            <v>0</v>
          </cell>
          <cell r="P681">
            <v>1</v>
          </cell>
          <cell r="Q681">
            <v>0</v>
          </cell>
          <cell r="R681">
            <v>0</v>
          </cell>
          <cell r="S681">
            <v>0</v>
          </cell>
        </row>
        <row r="682">
          <cell r="D682" t="str">
            <v>Horizon Prisma Boerderij gebouw D</v>
          </cell>
          <cell r="E682" t="str">
            <v>1e</v>
          </cell>
          <cell r="F682" t="str">
            <v>D1.01A</v>
          </cell>
          <cell r="G682" t="str">
            <v>trap</v>
          </cell>
          <cell r="H682" t="str">
            <v>trappenhuis</v>
          </cell>
          <cell r="I682" t="str">
            <v>tapijt</v>
          </cell>
          <cell r="J682">
            <v>0.8</v>
          </cell>
          <cell r="K682"/>
          <cell r="L682">
            <v>9153</v>
          </cell>
          <cell r="M682">
            <v>109</v>
          </cell>
          <cell r="N682"/>
          <cell r="O682">
            <v>153</v>
          </cell>
          <cell r="P682">
            <v>1</v>
          </cell>
          <cell r="Q682">
            <v>0</v>
          </cell>
          <cell r="R682">
            <v>0</v>
          </cell>
          <cell r="S682">
            <v>0</v>
          </cell>
        </row>
        <row r="683">
          <cell r="D683" t="str">
            <v>Horizon Prisma Boerderij gebouw D</v>
          </cell>
          <cell r="E683" t="str">
            <v>1e</v>
          </cell>
          <cell r="F683" t="str">
            <v>D1.04</v>
          </cell>
          <cell r="G683" t="str">
            <v>voorruimte</v>
          </cell>
          <cell r="H683" t="str">
            <v>sanitaire ruimte (toilet-/doucheruimte)</v>
          </cell>
          <cell r="I683" t="str">
            <v>tegel</v>
          </cell>
          <cell r="J683">
            <v>6.8</v>
          </cell>
          <cell r="K683"/>
          <cell r="L683">
            <v>4102</v>
          </cell>
          <cell r="M683">
            <v>104</v>
          </cell>
          <cell r="N683"/>
          <cell r="O683">
            <v>102</v>
          </cell>
          <cell r="P683">
            <v>1</v>
          </cell>
          <cell r="Q683">
            <v>0</v>
          </cell>
          <cell r="R683">
            <v>0</v>
          </cell>
          <cell r="S683">
            <v>0</v>
          </cell>
        </row>
        <row r="684">
          <cell r="D684" t="str">
            <v>Horizon Prisma Boerderij gebouw D</v>
          </cell>
          <cell r="E684" t="str">
            <v>1e</v>
          </cell>
          <cell r="F684" t="str">
            <v>D1.04A</v>
          </cell>
          <cell r="G684" t="str">
            <v>toilet</v>
          </cell>
          <cell r="H684" t="str">
            <v>sanitaire ruimte (toilet-/doucheruimte)</v>
          </cell>
          <cell r="I684" t="str">
            <v>steen</v>
          </cell>
          <cell r="J684">
            <v>0.9</v>
          </cell>
          <cell r="K684"/>
          <cell r="L684">
            <v>4102</v>
          </cell>
          <cell r="M684">
            <v>104</v>
          </cell>
          <cell r="N684"/>
          <cell r="O684">
            <v>102</v>
          </cell>
          <cell r="P684">
            <v>1</v>
          </cell>
          <cell r="Q684">
            <v>0</v>
          </cell>
          <cell r="R684">
            <v>0</v>
          </cell>
          <cell r="S684">
            <v>0</v>
          </cell>
        </row>
        <row r="685">
          <cell r="D685" t="str">
            <v>Horizon Prisma Boerderij gebouw D</v>
          </cell>
          <cell r="E685" t="str">
            <v>1e</v>
          </cell>
          <cell r="F685" t="str">
            <v>D1.04B</v>
          </cell>
          <cell r="G685" t="str">
            <v>toilet</v>
          </cell>
          <cell r="H685" t="str">
            <v>sanitaire ruimte (toilet-/doucheruimte)</v>
          </cell>
          <cell r="I685" t="str">
            <v>steen</v>
          </cell>
          <cell r="J685">
            <v>0.9</v>
          </cell>
          <cell r="K685"/>
          <cell r="L685">
            <v>4102</v>
          </cell>
          <cell r="M685">
            <v>104</v>
          </cell>
          <cell r="N685"/>
          <cell r="O685">
            <v>102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</row>
        <row r="686">
          <cell r="D686" t="str">
            <v>Horizon Prisma Boerderij gebouw D</v>
          </cell>
          <cell r="E686" t="str">
            <v>1e</v>
          </cell>
          <cell r="F686" t="str">
            <v>D1.05</v>
          </cell>
          <cell r="G686" t="str">
            <v>kantoor</v>
          </cell>
          <cell r="H686" t="str">
            <v>niet van toepassing</v>
          </cell>
          <cell r="I686" t="str">
            <v>tapijt</v>
          </cell>
          <cell r="J686"/>
          <cell r="K686">
            <v>18.2</v>
          </cell>
          <cell r="L686" t="str">
            <v>nvt</v>
          </cell>
          <cell r="M686">
            <v>0</v>
          </cell>
          <cell r="N686"/>
          <cell r="O686">
            <v>0</v>
          </cell>
          <cell r="P686">
            <v>1</v>
          </cell>
          <cell r="Q686">
            <v>0</v>
          </cell>
          <cell r="R686">
            <v>0</v>
          </cell>
          <cell r="S686">
            <v>0</v>
          </cell>
        </row>
        <row r="687">
          <cell r="D687" t="str">
            <v>Horizon Prisma Boerderij gebouw D</v>
          </cell>
          <cell r="E687" t="str">
            <v>1e</v>
          </cell>
          <cell r="F687" t="str">
            <v>D1.06</v>
          </cell>
          <cell r="G687" t="str">
            <v>kantoor</v>
          </cell>
          <cell r="H687" t="str">
            <v>niet van toepassing</v>
          </cell>
          <cell r="I687" t="str">
            <v>tapijt</v>
          </cell>
          <cell r="J687"/>
          <cell r="K687">
            <v>30.3</v>
          </cell>
          <cell r="L687" t="str">
            <v>nvt</v>
          </cell>
          <cell r="M687">
            <v>0</v>
          </cell>
          <cell r="N687"/>
          <cell r="O687">
            <v>0</v>
          </cell>
          <cell r="P687">
            <v>1</v>
          </cell>
          <cell r="Q687">
            <v>0</v>
          </cell>
          <cell r="R687">
            <v>0</v>
          </cell>
          <cell r="S687">
            <v>0</v>
          </cell>
        </row>
        <row r="688">
          <cell r="D688" t="str">
            <v>Horizon Prisma Boerderij gebouw D</v>
          </cell>
          <cell r="E688" t="str">
            <v>1e</v>
          </cell>
          <cell r="F688" t="str">
            <v>D1.07</v>
          </cell>
          <cell r="G688" t="str">
            <v>therapie</v>
          </cell>
          <cell r="H688" t="str">
            <v>niet van toepassing</v>
          </cell>
          <cell r="I688" t="str">
            <v>tapijt</v>
          </cell>
          <cell r="J688"/>
          <cell r="K688">
            <v>11.5</v>
          </cell>
          <cell r="L688" t="str">
            <v>nvt</v>
          </cell>
          <cell r="M688">
            <v>0</v>
          </cell>
          <cell r="N688"/>
          <cell r="O688">
            <v>0</v>
          </cell>
          <cell r="P688">
            <v>1</v>
          </cell>
          <cell r="Q688">
            <v>0</v>
          </cell>
          <cell r="R688">
            <v>0</v>
          </cell>
          <cell r="S688">
            <v>0</v>
          </cell>
        </row>
        <row r="689">
          <cell r="D689" t="str">
            <v>Horizon Prisma Boerderij gebouw D</v>
          </cell>
          <cell r="E689" t="str">
            <v>1e</v>
          </cell>
          <cell r="F689" t="str">
            <v>D1.08</v>
          </cell>
          <cell r="G689" t="str">
            <v>kantoor</v>
          </cell>
          <cell r="H689" t="str">
            <v>niet van toepassing</v>
          </cell>
          <cell r="I689" t="str">
            <v>tapijt</v>
          </cell>
          <cell r="J689"/>
          <cell r="K689">
            <v>6.4</v>
          </cell>
          <cell r="L689" t="str">
            <v>nvt</v>
          </cell>
          <cell r="M689">
            <v>0</v>
          </cell>
          <cell r="N689"/>
          <cell r="O689">
            <v>0</v>
          </cell>
          <cell r="P689">
            <v>1</v>
          </cell>
          <cell r="Q689">
            <v>0</v>
          </cell>
          <cell r="R689">
            <v>0</v>
          </cell>
          <cell r="S689">
            <v>0</v>
          </cell>
        </row>
        <row r="690">
          <cell r="D690" t="str">
            <v>Horizon Prisma Boerderij gebouw D</v>
          </cell>
          <cell r="E690" t="str">
            <v>1e</v>
          </cell>
          <cell r="F690" t="str">
            <v>D1.09</v>
          </cell>
          <cell r="G690" t="str">
            <v>kantoor</v>
          </cell>
          <cell r="H690" t="str">
            <v>niet van toepassing</v>
          </cell>
          <cell r="I690" t="str">
            <v>tapijt</v>
          </cell>
          <cell r="J690"/>
          <cell r="K690">
            <v>11.4</v>
          </cell>
          <cell r="L690" t="str">
            <v>nvt</v>
          </cell>
          <cell r="M690">
            <v>0</v>
          </cell>
          <cell r="N690"/>
          <cell r="O690">
            <v>0</v>
          </cell>
          <cell r="P690">
            <v>1</v>
          </cell>
          <cell r="Q690">
            <v>0</v>
          </cell>
          <cell r="R690">
            <v>0</v>
          </cell>
          <cell r="S690">
            <v>0</v>
          </cell>
        </row>
        <row r="691">
          <cell r="D691" t="str">
            <v>Horizon Prisma Boerderij gebouw D</v>
          </cell>
          <cell r="E691" t="str">
            <v>1e</v>
          </cell>
          <cell r="F691" t="str">
            <v>D1.10</v>
          </cell>
          <cell r="G691" t="str">
            <v>kantoor</v>
          </cell>
          <cell r="H691" t="str">
            <v>niet van toepassing</v>
          </cell>
          <cell r="I691" t="str">
            <v>linoleum</v>
          </cell>
          <cell r="J691"/>
          <cell r="K691">
            <v>10.199999999999999</v>
          </cell>
          <cell r="L691" t="str">
            <v>nvt</v>
          </cell>
          <cell r="M691">
            <v>0</v>
          </cell>
          <cell r="N691"/>
          <cell r="O691">
            <v>0</v>
          </cell>
          <cell r="P691">
            <v>1</v>
          </cell>
          <cell r="Q691">
            <v>0</v>
          </cell>
          <cell r="R691">
            <v>0</v>
          </cell>
          <cell r="S691">
            <v>0</v>
          </cell>
        </row>
        <row r="692">
          <cell r="D692" t="str">
            <v>Horizon Prisma Boerderij gebouw D</v>
          </cell>
          <cell r="E692" t="str">
            <v>1e</v>
          </cell>
          <cell r="F692" t="str">
            <v>D1.11</v>
          </cell>
          <cell r="G692" t="str">
            <v>kantoor</v>
          </cell>
          <cell r="H692" t="str">
            <v>niet van toepassing</v>
          </cell>
          <cell r="I692" t="str">
            <v>tapijt</v>
          </cell>
          <cell r="J692"/>
          <cell r="K692">
            <v>12.2</v>
          </cell>
          <cell r="L692" t="str">
            <v>nvt</v>
          </cell>
          <cell r="M692">
            <v>0</v>
          </cell>
          <cell r="N692"/>
          <cell r="O692">
            <v>0</v>
          </cell>
          <cell r="P692">
            <v>1</v>
          </cell>
          <cell r="Q692">
            <v>0</v>
          </cell>
          <cell r="R692">
            <v>0</v>
          </cell>
          <cell r="S692">
            <v>0</v>
          </cell>
        </row>
        <row r="693">
          <cell r="D693" t="str">
            <v>Horizon Prisma Boerderij gebouw D</v>
          </cell>
          <cell r="E693" t="str">
            <v>1e</v>
          </cell>
          <cell r="F693" t="str">
            <v>D1.13</v>
          </cell>
          <cell r="G693" t="str">
            <v>Sanitair (voorheen kantoor)</v>
          </cell>
          <cell r="H693" t="str">
            <v>sanitaire ruimte (toilet-/doucheruimte)</v>
          </cell>
          <cell r="I693" t="str">
            <v>steen</v>
          </cell>
          <cell r="J693">
            <v>4.9000000000000004</v>
          </cell>
          <cell r="K693"/>
          <cell r="L693">
            <v>4153</v>
          </cell>
          <cell r="M693">
            <v>104</v>
          </cell>
          <cell r="N693"/>
          <cell r="O693">
            <v>153</v>
          </cell>
          <cell r="P693">
            <v>1</v>
          </cell>
          <cell r="Q693">
            <v>0</v>
          </cell>
          <cell r="R693">
            <v>0</v>
          </cell>
          <cell r="S693">
            <v>0</v>
          </cell>
        </row>
        <row r="694">
          <cell r="D694" t="str">
            <v>Horizon Prisma Boerderij gebouw D</v>
          </cell>
          <cell r="E694" t="str">
            <v>1e</v>
          </cell>
          <cell r="F694" t="str">
            <v>D1.15</v>
          </cell>
          <cell r="G694" t="str">
            <v>kantoor</v>
          </cell>
          <cell r="H694" t="str">
            <v>niet van toepassing</v>
          </cell>
          <cell r="I694" t="str">
            <v>tapijt</v>
          </cell>
          <cell r="J694"/>
          <cell r="K694">
            <v>91.8</v>
          </cell>
          <cell r="L694" t="str">
            <v>nvt</v>
          </cell>
          <cell r="M694">
            <v>0</v>
          </cell>
          <cell r="N694"/>
          <cell r="O694">
            <v>0</v>
          </cell>
          <cell r="P694">
            <v>1</v>
          </cell>
          <cell r="Q694">
            <v>0</v>
          </cell>
          <cell r="R694">
            <v>0</v>
          </cell>
          <cell r="S694">
            <v>0</v>
          </cell>
        </row>
        <row r="695">
          <cell r="D695" t="str">
            <v>Horizon Prisma Boerderij gebouw D</v>
          </cell>
          <cell r="E695" t="str">
            <v>1e</v>
          </cell>
          <cell r="F695" t="str">
            <v>D1.16</v>
          </cell>
          <cell r="G695" t="str">
            <v>kantoor</v>
          </cell>
          <cell r="H695" t="str">
            <v>administratieve -, personeels- en vergaderruimte</v>
          </cell>
          <cell r="I695" t="str">
            <v>tapijt</v>
          </cell>
          <cell r="J695">
            <v>110</v>
          </cell>
          <cell r="K695"/>
          <cell r="L695">
            <v>1102</v>
          </cell>
          <cell r="M695">
            <v>101</v>
          </cell>
          <cell r="N695"/>
          <cell r="O695">
            <v>102</v>
          </cell>
          <cell r="P695">
            <v>1</v>
          </cell>
          <cell r="Q695">
            <v>0</v>
          </cell>
          <cell r="R695">
            <v>0</v>
          </cell>
          <cell r="S695">
            <v>0</v>
          </cell>
        </row>
        <row r="696">
          <cell r="D696" t="str">
            <v>Horizon Prisma Boerderij gebouw D</v>
          </cell>
          <cell r="E696" t="str">
            <v>2e</v>
          </cell>
          <cell r="F696" t="str">
            <v>D1.17</v>
          </cell>
          <cell r="G696" t="str">
            <v>Kast</v>
          </cell>
          <cell r="H696" t="str">
            <v>niet van toepassing</v>
          </cell>
          <cell r="I696"/>
          <cell r="J696"/>
          <cell r="K696"/>
          <cell r="L696" t="str">
            <v>nvt</v>
          </cell>
          <cell r="M696">
            <v>0</v>
          </cell>
          <cell r="N696"/>
          <cell r="O696">
            <v>0</v>
          </cell>
          <cell r="P696">
            <v>1</v>
          </cell>
          <cell r="Q696">
            <v>0</v>
          </cell>
          <cell r="R696">
            <v>0</v>
          </cell>
          <cell r="S696">
            <v>0</v>
          </cell>
        </row>
        <row r="697">
          <cell r="D697" t="str">
            <v>Horizon Prisma Omega gebouw L</v>
          </cell>
          <cell r="E697" t="str">
            <v>bgg</v>
          </cell>
          <cell r="F697" t="str">
            <v xml:space="preserve">A0.01 </v>
          </cell>
          <cell r="G697" t="str">
            <v>Slaapkamer</v>
          </cell>
          <cell r="H697" t="str">
            <v>niet van toepassing</v>
          </cell>
          <cell r="I697" t="str">
            <v>Linoleum</v>
          </cell>
          <cell r="J697"/>
          <cell r="K697"/>
          <cell r="L697" t="str">
            <v>nvt</v>
          </cell>
          <cell r="M697">
            <v>0</v>
          </cell>
          <cell r="N697"/>
          <cell r="O697">
            <v>0</v>
          </cell>
          <cell r="P697">
            <v>1</v>
          </cell>
          <cell r="Q697">
            <v>0</v>
          </cell>
          <cell r="R697">
            <v>0</v>
          </cell>
          <cell r="S697">
            <v>0</v>
          </cell>
        </row>
        <row r="698">
          <cell r="D698" t="str">
            <v>Horizon Prisma Omega gebouw L</v>
          </cell>
          <cell r="E698" t="str">
            <v>bgg</v>
          </cell>
          <cell r="F698" t="str">
            <v>A0.02</v>
          </cell>
          <cell r="G698" t="str">
            <v>Slaapkamer</v>
          </cell>
          <cell r="H698" t="str">
            <v>niet van toepassing</v>
          </cell>
          <cell r="I698" t="str">
            <v>Linoleum</v>
          </cell>
          <cell r="J698"/>
          <cell r="K698"/>
          <cell r="L698" t="str">
            <v>nvt</v>
          </cell>
          <cell r="M698">
            <v>0</v>
          </cell>
          <cell r="N698"/>
          <cell r="O698">
            <v>0</v>
          </cell>
          <cell r="P698">
            <v>1</v>
          </cell>
          <cell r="Q698">
            <v>0</v>
          </cell>
          <cell r="R698">
            <v>0</v>
          </cell>
          <cell r="S698">
            <v>0</v>
          </cell>
        </row>
        <row r="699">
          <cell r="D699" t="str">
            <v>Horizon Prisma Omega gebouw L</v>
          </cell>
          <cell r="E699" t="str">
            <v>bgg</v>
          </cell>
          <cell r="F699" t="str">
            <v>A0.03</v>
          </cell>
          <cell r="G699" t="str">
            <v>Slaapkamer</v>
          </cell>
          <cell r="H699" t="str">
            <v>niet van toepassing</v>
          </cell>
          <cell r="I699" t="str">
            <v>Linoleum</v>
          </cell>
          <cell r="J699"/>
          <cell r="K699"/>
          <cell r="L699" t="str">
            <v>nvt</v>
          </cell>
          <cell r="M699">
            <v>0</v>
          </cell>
          <cell r="N699"/>
          <cell r="O699">
            <v>0</v>
          </cell>
          <cell r="P699">
            <v>1</v>
          </cell>
          <cell r="Q699">
            <v>0</v>
          </cell>
          <cell r="R699">
            <v>0</v>
          </cell>
          <cell r="S699">
            <v>0</v>
          </cell>
        </row>
        <row r="700">
          <cell r="D700" t="str">
            <v>Horizon Prisma Omega gebouw L</v>
          </cell>
          <cell r="E700" t="str">
            <v>bgg</v>
          </cell>
          <cell r="F700" t="str">
            <v>A0.04</v>
          </cell>
          <cell r="G700" t="str">
            <v>Slaapkamer</v>
          </cell>
          <cell r="H700" t="str">
            <v>niet van toepassing</v>
          </cell>
          <cell r="I700" t="str">
            <v>Linoleum</v>
          </cell>
          <cell r="J700"/>
          <cell r="K700"/>
          <cell r="L700" t="str">
            <v>nvt</v>
          </cell>
          <cell r="M700">
            <v>0</v>
          </cell>
          <cell r="N700"/>
          <cell r="O700">
            <v>0</v>
          </cell>
          <cell r="P700">
            <v>1</v>
          </cell>
          <cell r="Q700">
            <v>0</v>
          </cell>
          <cell r="R700">
            <v>0</v>
          </cell>
          <cell r="S700">
            <v>0</v>
          </cell>
        </row>
        <row r="701">
          <cell r="D701" t="str">
            <v>Horizon Prisma Omega gebouw L</v>
          </cell>
          <cell r="E701" t="str">
            <v>bgg</v>
          </cell>
          <cell r="F701" t="str">
            <v>A0.05</v>
          </cell>
          <cell r="G701" t="str">
            <v>Slaapkamer</v>
          </cell>
          <cell r="H701" t="str">
            <v>niet van toepassing</v>
          </cell>
          <cell r="I701" t="str">
            <v>Linoleum</v>
          </cell>
          <cell r="J701"/>
          <cell r="K701"/>
          <cell r="L701" t="str">
            <v>nvt</v>
          </cell>
          <cell r="M701">
            <v>0</v>
          </cell>
          <cell r="N701"/>
          <cell r="O701">
            <v>0</v>
          </cell>
          <cell r="P701">
            <v>1</v>
          </cell>
          <cell r="Q701">
            <v>0</v>
          </cell>
          <cell r="R701">
            <v>0</v>
          </cell>
          <cell r="S701">
            <v>0</v>
          </cell>
        </row>
        <row r="702">
          <cell r="D702" t="str">
            <v>Horizon Prisma Omega gebouw L</v>
          </cell>
          <cell r="E702" t="str">
            <v>bgg</v>
          </cell>
          <cell r="F702" t="str">
            <v>A0.06</v>
          </cell>
          <cell r="G702" t="str">
            <v>Slaapkamer</v>
          </cell>
          <cell r="H702" t="str">
            <v>niet van toepassing</v>
          </cell>
          <cell r="I702" t="str">
            <v>Linoleum</v>
          </cell>
          <cell r="J702"/>
          <cell r="K702"/>
          <cell r="L702" t="str">
            <v>nvt</v>
          </cell>
          <cell r="M702">
            <v>0</v>
          </cell>
          <cell r="N702"/>
          <cell r="O702">
            <v>0</v>
          </cell>
          <cell r="P702">
            <v>1</v>
          </cell>
          <cell r="Q702">
            <v>0</v>
          </cell>
          <cell r="R702">
            <v>0</v>
          </cell>
          <cell r="S702">
            <v>0</v>
          </cell>
        </row>
        <row r="703">
          <cell r="D703" t="str">
            <v>Horizon Prisma Omega gebouw L</v>
          </cell>
          <cell r="E703" t="str">
            <v>bgg</v>
          </cell>
          <cell r="F703" t="str">
            <v>A0.07</v>
          </cell>
          <cell r="G703" t="str">
            <v>Slaapkamer</v>
          </cell>
          <cell r="H703" t="str">
            <v>niet van toepassing</v>
          </cell>
          <cell r="I703" t="str">
            <v>Linoleum</v>
          </cell>
          <cell r="J703"/>
          <cell r="K703"/>
          <cell r="L703" t="str">
            <v>nvt</v>
          </cell>
          <cell r="M703">
            <v>0</v>
          </cell>
          <cell r="N703"/>
          <cell r="O703">
            <v>0</v>
          </cell>
          <cell r="P703">
            <v>1</v>
          </cell>
          <cell r="Q703">
            <v>0</v>
          </cell>
          <cell r="R703">
            <v>0</v>
          </cell>
          <cell r="S703">
            <v>0</v>
          </cell>
        </row>
        <row r="704">
          <cell r="D704" t="str">
            <v>Horizon Prisma Omega gebouw L</v>
          </cell>
          <cell r="E704" t="str">
            <v>bgg</v>
          </cell>
          <cell r="F704" t="str">
            <v>A0.08</v>
          </cell>
          <cell r="G704" t="str">
            <v>Slaapkamer</v>
          </cell>
          <cell r="H704" t="str">
            <v>niet van toepassing</v>
          </cell>
          <cell r="I704" t="str">
            <v>Linoleum</v>
          </cell>
          <cell r="J704"/>
          <cell r="K704"/>
          <cell r="L704" t="str">
            <v>nvt</v>
          </cell>
          <cell r="M704">
            <v>0</v>
          </cell>
          <cell r="N704"/>
          <cell r="O704">
            <v>0</v>
          </cell>
          <cell r="P704">
            <v>1</v>
          </cell>
          <cell r="Q704">
            <v>0</v>
          </cell>
          <cell r="R704">
            <v>0</v>
          </cell>
          <cell r="S704">
            <v>0</v>
          </cell>
        </row>
        <row r="705">
          <cell r="D705" t="str">
            <v>Horizon Prisma Omega gebouw L</v>
          </cell>
          <cell r="E705" t="str">
            <v>bgg</v>
          </cell>
          <cell r="F705" t="str">
            <v>A0.09</v>
          </cell>
          <cell r="G705" t="str">
            <v>Slaapkamer</v>
          </cell>
          <cell r="H705" t="str">
            <v>niet van toepassing</v>
          </cell>
          <cell r="I705" t="str">
            <v>Linoleum</v>
          </cell>
          <cell r="J705"/>
          <cell r="K705"/>
          <cell r="L705" t="str">
            <v>nvt</v>
          </cell>
          <cell r="M705">
            <v>0</v>
          </cell>
          <cell r="N705"/>
          <cell r="O705">
            <v>0</v>
          </cell>
          <cell r="P705">
            <v>1</v>
          </cell>
          <cell r="Q705">
            <v>0</v>
          </cell>
          <cell r="R705">
            <v>0</v>
          </cell>
          <cell r="S705">
            <v>0</v>
          </cell>
        </row>
        <row r="706">
          <cell r="D706" t="str">
            <v>Horizon Prisma Omega gebouw L</v>
          </cell>
          <cell r="E706" t="str">
            <v>bgg</v>
          </cell>
          <cell r="F706" t="str">
            <v>A0.10</v>
          </cell>
          <cell r="G706" t="str">
            <v>Slaapkamer</v>
          </cell>
          <cell r="H706" t="str">
            <v>niet van toepassing</v>
          </cell>
          <cell r="I706" t="str">
            <v>Linoleum</v>
          </cell>
          <cell r="J706"/>
          <cell r="K706"/>
          <cell r="L706" t="str">
            <v>nvt</v>
          </cell>
          <cell r="M706">
            <v>0</v>
          </cell>
          <cell r="N706"/>
          <cell r="O706">
            <v>0</v>
          </cell>
          <cell r="P706">
            <v>1</v>
          </cell>
          <cell r="Q706">
            <v>0</v>
          </cell>
          <cell r="R706">
            <v>0</v>
          </cell>
          <cell r="S706">
            <v>0</v>
          </cell>
        </row>
        <row r="707">
          <cell r="D707" t="str">
            <v>Horizon Prisma Omega gebouw L</v>
          </cell>
          <cell r="E707" t="str">
            <v>bgg</v>
          </cell>
          <cell r="F707" t="str">
            <v>A0.11</v>
          </cell>
          <cell r="G707" t="str">
            <v>Gang/verkeersruimte</v>
          </cell>
          <cell r="H707" t="str">
            <v>entree, gang, hal, repro, kopieer, was/droogruimte</v>
          </cell>
          <cell r="I707" t="str">
            <v>Linoleum</v>
          </cell>
          <cell r="J707">
            <v>65.3</v>
          </cell>
          <cell r="K707"/>
          <cell r="L707">
            <v>3153</v>
          </cell>
          <cell r="M707">
            <v>103</v>
          </cell>
          <cell r="N707"/>
          <cell r="O707">
            <v>153</v>
          </cell>
          <cell r="P707">
            <v>1</v>
          </cell>
          <cell r="Q707">
            <v>0</v>
          </cell>
          <cell r="R707">
            <v>0</v>
          </cell>
          <cell r="S707">
            <v>0</v>
          </cell>
        </row>
        <row r="708">
          <cell r="D708" t="str">
            <v>Horizon Prisma Omega gebouw L</v>
          </cell>
          <cell r="E708" t="str">
            <v>bgg</v>
          </cell>
          <cell r="F708" t="str">
            <v>A0.12</v>
          </cell>
          <cell r="G708" t="str">
            <v>Toilet</v>
          </cell>
          <cell r="H708" t="str">
            <v>sanitaire ruimte (toilet-/doucheruimte)</v>
          </cell>
          <cell r="I708" t="str">
            <v>Steen</v>
          </cell>
          <cell r="J708">
            <v>1.6</v>
          </cell>
          <cell r="K708"/>
          <cell r="L708">
            <v>4153</v>
          </cell>
          <cell r="M708">
            <v>104</v>
          </cell>
          <cell r="N708"/>
          <cell r="O708">
            <v>153</v>
          </cell>
          <cell r="P708">
            <v>1</v>
          </cell>
          <cell r="Q708">
            <v>0</v>
          </cell>
          <cell r="R708">
            <v>0</v>
          </cell>
          <cell r="S708">
            <v>0</v>
          </cell>
        </row>
        <row r="709">
          <cell r="D709" t="str">
            <v>Horizon Prisma Omega gebouw L</v>
          </cell>
          <cell r="E709" t="str">
            <v>bgg</v>
          </cell>
          <cell r="F709" t="str">
            <v>A0.13</v>
          </cell>
          <cell r="G709" t="str">
            <v>Telefoon</v>
          </cell>
          <cell r="H709" t="str">
            <v>entree, gang, hal, repro, kopieer, was/droogruimte</v>
          </cell>
          <cell r="I709" t="str">
            <v>Linoleum</v>
          </cell>
          <cell r="J709">
            <v>1.9</v>
          </cell>
          <cell r="K709"/>
          <cell r="L709">
            <v>3102</v>
          </cell>
          <cell r="M709">
            <v>103</v>
          </cell>
          <cell r="N709"/>
          <cell r="O709">
            <v>102</v>
          </cell>
          <cell r="P709">
            <v>1</v>
          </cell>
          <cell r="Q709">
            <v>0</v>
          </cell>
          <cell r="R709">
            <v>0</v>
          </cell>
          <cell r="S709">
            <v>0</v>
          </cell>
        </row>
        <row r="710">
          <cell r="D710" t="str">
            <v>Horizon Prisma Omega gebouw L</v>
          </cell>
          <cell r="E710" t="str">
            <v>bgg</v>
          </cell>
          <cell r="F710" t="str">
            <v>A0.14</v>
          </cell>
          <cell r="G710" t="str">
            <v>Berging</v>
          </cell>
          <cell r="H710" t="str">
            <v>niet van toepassing</v>
          </cell>
          <cell r="I710"/>
          <cell r="J710"/>
          <cell r="K710"/>
          <cell r="L710" t="str">
            <v>nvt</v>
          </cell>
          <cell r="M710">
            <v>0</v>
          </cell>
          <cell r="N710"/>
          <cell r="O710">
            <v>0</v>
          </cell>
          <cell r="P710">
            <v>1</v>
          </cell>
          <cell r="Q710">
            <v>0</v>
          </cell>
          <cell r="R710">
            <v>0</v>
          </cell>
          <cell r="S710">
            <v>0</v>
          </cell>
        </row>
        <row r="711">
          <cell r="D711" t="str">
            <v>Horizon Prisma Omega gebouw L</v>
          </cell>
          <cell r="E711" t="str">
            <v>bgg</v>
          </cell>
          <cell r="F711" t="str">
            <v>A0.15</v>
          </cell>
          <cell r="G711" t="str">
            <v>Teamkamer</v>
          </cell>
          <cell r="H711" t="str">
            <v>administratieve -, personeels- en vergaderruimte</v>
          </cell>
          <cell r="I711" t="str">
            <v>Linoleum</v>
          </cell>
          <cell r="J711">
            <v>9.8000000000000007</v>
          </cell>
          <cell r="K711"/>
          <cell r="L711">
            <v>1153</v>
          </cell>
          <cell r="M711">
            <v>101</v>
          </cell>
          <cell r="N711"/>
          <cell r="O711">
            <v>153</v>
          </cell>
          <cell r="P711">
            <v>1</v>
          </cell>
          <cell r="Q711">
            <v>0</v>
          </cell>
          <cell r="R711">
            <v>0</v>
          </cell>
          <cell r="S711">
            <v>0</v>
          </cell>
        </row>
        <row r="712">
          <cell r="D712" t="str">
            <v>Horizon Prisma Omega gebouw L</v>
          </cell>
          <cell r="E712" t="str">
            <v>bgg</v>
          </cell>
          <cell r="F712" t="str">
            <v>A0.16</v>
          </cell>
          <cell r="G712" t="str">
            <v>Berging</v>
          </cell>
          <cell r="H712" t="str">
            <v>niet van toepassing</v>
          </cell>
          <cell r="I712"/>
          <cell r="J712"/>
          <cell r="K712"/>
          <cell r="L712" t="str">
            <v>nvt</v>
          </cell>
          <cell r="M712">
            <v>0</v>
          </cell>
          <cell r="N712"/>
          <cell r="O712">
            <v>0</v>
          </cell>
          <cell r="P712">
            <v>1</v>
          </cell>
          <cell r="Q712">
            <v>0</v>
          </cell>
          <cell r="R712">
            <v>0</v>
          </cell>
          <cell r="S712">
            <v>0</v>
          </cell>
        </row>
        <row r="713">
          <cell r="D713" t="str">
            <v>Horizon Prisma Omega gebouw L</v>
          </cell>
          <cell r="E713" t="str">
            <v>bgg</v>
          </cell>
          <cell r="F713" t="str">
            <v>A0.17</v>
          </cell>
          <cell r="G713" t="str">
            <v>Woonkamer</v>
          </cell>
          <cell r="H713" t="str">
            <v>aula, gemeenschappelijke ruimte, bibliotheek</v>
          </cell>
          <cell r="I713" t="str">
            <v>Linoleum</v>
          </cell>
          <cell r="J713">
            <v>62.3</v>
          </cell>
          <cell r="K713"/>
          <cell r="L713">
            <v>2153</v>
          </cell>
          <cell r="M713">
            <v>102</v>
          </cell>
          <cell r="N713"/>
          <cell r="O713">
            <v>153</v>
          </cell>
          <cell r="P713">
            <v>1</v>
          </cell>
          <cell r="Q713">
            <v>0</v>
          </cell>
          <cell r="R713">
            <v>0</v>
          </cell>
          <cell r="S713">
            <v>0</v>
          </cell>
        </row>
        <row r="714">
          <cell r="D714" t="str">
            <v>Horizon Prisma Omega gebouw L</v>
          </cell>
          <cell r="E714" t="str">
            <v>bgg</v>
          </cell>
          <cell r="F714" t="str">
            <v>A0.18</v>
          </cell>
          <cell r="G714" t="str">
            <v>Bijkeuken</v>
          </cell>
          <cell r="H714" t="str">
            <v>Keuken</v>
          </cell>
          <cell r="I714" t="str">
            <v>Linoleum</v>
          </cell>
          <cell r="J714">
            <v>2.5</v>
          </cell>
          <cell r="K714"/>
          <cell r="L714">
            <v>18153</v>
          </cell>
          <cell r="M714" t="str">
            <v>nvt</v>
          </cell>
          <cell r="N714"/>
          <cell r="O714">
            <v>153</v>
          </cell>
          <cell r="P714">
            <v>1</v>
          </cell>
          <cell r="Q714">
            <v>0</v>
          </cell>
          <cell r="R714">
            <v>0</v>
          </cell>
          <cell r="S714">
            <v>0</v>
          </cell>
        </row>
        <row r="715">
          <cell r="D715" t="str">
            <v>Horizon Prisma Omega gebouw L</v>
          </cell>
          <cell r="E715" t="str">
            <v>bgg</v>
          </cell>
          <cell r="F715" t="str">
            <v>A0.19</v>
          </cell>
          <cell r="G715" t="str">
            <v>Multifunctioneleruimte</v>
          </cell>
          <cell r="H715" t="str">
            <v>aula, gemeenschappelijke ruimte, bibliotheek</v>
          </cell>
          <cell r="I715" t="str">
            <v>Linoleum</v>
          </cell>
          <cell r="J715">
            <v>34.700000000000003</v>
          </cell>
          <cell r="K715"/>
          <cell r="L715">
            <v>2153</v>
          </cell>
          <cell r="M715">
            <v>102</v>
          </cell>
          <cell r="N715"/>
          <cell r="O715">
            <v>153</v>
          </cell>
          <cell r="P715">
            <v>1</v>
          </cell>
          <cell r="Q715">
            <v>0</v>
          </cell>
          <cell r="R715">
            <v>0</v>
          </cell>
          <cell r="S715">
            <v>0</v>
          </cell>
        </row>
        <row r="716">
          <cell r="D716" t="str">
            <v>Horizon Prisma Omega gebouw L</v>
          </cell>
          <cell r="E716" t="str">
            <v>bgg</v>
          </cell>
          <cell r="F716" t="str">
            <v>A0.20</v>
          </cell>
          <cell r="G716" t="str">
            <v>Wasruimte</v>
          </cell>
          <cell r="H716" t="str">
            <v>sanitaire ruimte (toilet-/doucheruimte)</v>
          </cell>
          <cell r="I716" t="str">
            <v>Linoleum</v>
          </cell>
          <cell r="J716">
            <v>6.2</v>
          </cell>
          <cell r="K716"/>
          <cell r="L716">
            <v>4255</v>
          </cell>
          <cell r="M716">
            <v>104</v>
          </cell>
          <cell r="N716"/>
          <cell r="O716">
            <v>255</v>
          </cell>
          <cell r="P716">
            <v>1</v>
          </cell>
          <cell r="Q716">
            <v>0</v>
          </cell>
          <cell r="R716">
            <v>0</v>
          </cell>
          <cell r="S716">
            <v>0</v>
          </cell>
        </row>
        <row r="717">
          <cell r="D717" t="str">
            <v>Horizon Prisma Omega gebouw L</v>
          </cell>
          <cell r="E717" t="str">
            <v>bgg</v>
          </cell>
          <cell r="F717" t="str">
            <v>A0.21</v>
          </cell>
          <cell r="G717" t="str">
            <v>Toilet</v>
          </cell>
          <cell r="H717" t="str">
            <v>sanitaire ruimte (toilet-/doucheruimte)</v>
          </cell>
          <cell r="I717" t="str">
            <v>Steen</v>
          </cell>
          <cell r="J717">
            <v>2</v>
          </cell>
          <cell r="K717"/>
          <cell r="L717">
            <v>4153</v>
          </cell>
          <cell r="M717">
            <v>104</v>
          </cell>
          <cell r="N717"/>
          <cell r="O717">
            <v>153</v>
          </cell>
          <cell r="P717">
            <v>1</v>
          </cell>
          <cell r="Q717">
            <v>0</v>
          </cell>
          <cell r="R717">
            <v>0</v>
          </cell>
          <cell r="S717">
            <v>0</v>
          </cell>
        </row>
        <row r="718">
          <cell r="D718" t="str">
            <v>Horizon Prisma Omega gebouw L</v>
          </cell>
          <cell r="E718" t="str">
            <v>bgg</v>
          </cell>
          <cell r="F718" t="str">
            <v>A0.22</v>
          </cell>
          <cell r="G718" t="str">
            <v>Douche</v>
          </cell>
          <cell r="H718" t="str">
            <v>sanitaire ruimte (toilet-/doucheruimte)</v>
          </cell>
          <cell r="I718" t="str">
            <v>Steen</v>
          </cell>
          <cell r="J718">
            <v>2</v>
          </cell>
          <cell r="K718"/>
          <cell r="L718">
            <v>4255</v>
          </cell>
          <cell r="M718">
            <v>104</v>
          </cell>
          <cell r="N718"/>
          <cell r="O718">
            <v>255</v>
          </cell>
          <cell r="P718">
            <v>1</v>
          </cell>
          <cell r="Q718">
            <v>0</v>
          </cell>
          <cell r="R718">
            <v>0</v>
          </cell>
          <cell r="S718">
            <v>0</v>
          </cell>
        </row>
        <row r="719">
          <cell r="D719" t="str">
            <v>Horizon Prisma Omega gebouw L</v>
          </cell>
          <cell r="E719" t="str">
            <v>bgg</v>
          </cell>
          <cell r="F719" t="str">
            <v>A0.23</v>
          </cell>
          <cell r="G719" t="str">
            <v>Douche</v>
          </cell>
          <cell r="H719" t="str">
            <v>sanitaire ruimte (toilet-/doucheruimte)</v>
          </cell>
          <cell r="I719" t="str">
            <v>Steen</v>
          </cell>
          <cell r="J719">
            <v>2</v>
          </cell>
          <cell r="K719"/>
          <cell r="L719">
            <v>4255</v>
          </cell>
          <cell r="M719">
            <v>104</v>
          </cell>
          <cell r="N719"/>
          <cell r="O719">
            <v>255</v>
          </cell>
          <cell r="P719">
            <v>1</v>
          </cell>
          <cell r="Q719">
            <v>0</v>
          </cell>
          <cell r="R719">
            <v>0</v>
          </cell>
          <cell r="S719">
            <v>0</v>
          </cell>
        </row>
        <row r="720">
          <cell r="D720" t="str">
            <v>Horizon Prisma Omega gebouw L</v>
          </cell>
          <cell r="E720" t="str">
            <v>bgg</v>
          </cell>
          <cell r="F720" t="str">
            <v>A0.24</v>
          </cell>
          <cell r="G720" t="str">
            <v>Douche</v>
          </cell>
          <cell r="H720" t="str">
            <v>sanitaire ruimte (toilet-/doucheruimte)</v>
          </cell>
          <cell r="I720" t="str">
            <v>Steen</v>
          </cell>
          <cell r="J720">
            <v>2</v>
          </cell>
          <cell r="K720"/>
          <cell r="L720">
            <v>4255</v>
          </cell>
          <cell r="M720">
            <v>104</v>
          </cell>
          <cell r="N720"/>
          <cell r="O720">
            <v>255</v>
          </cell>
          <cell r="P720">
            <v>1</v>
          </cell>
          <cell r="Q720">
            <v>0</v>
          </cell>
          <cell r="R720">
            <v>0</v>
          </cell>
          <cell r="S720">
            <v>0</v>
          </cell>
        </row>
        <row r="721">
          <cell r="D721" t="str">
            <v>Horizon Prisma Omega gebouw L</v>
          </cell>
          <cell r="E721" t="str">
            <v>bgg</v>
          </cell>
          <cell r="F721" t="str">
            <v>A0.25</v>
          </cell>
          <cell r="G721" t="str">
            <v>Douche</v>
          </cell>
          <cell r="H721" t="str">
            <v>sanitaire ruimte (toilet-/doucheruimte)</v>
          </cell>
          <cell r="I721" t="str">
            <v>Steen</v>
          </cell>
          <cell r="J721">
            <v>2</v>
          </cell>
          <cell r="K721"/>
          <cell r="L721">
            <v>4255</v>
          </cell>
          <cell r="M721">
            <v>104</v>
          </cell>
          <cell r="N721"/>
          <cell r="O721">
            <v>255</v>
          </cell>
          <cell r="P721">
            <v>1</v>
          </cell>
          <cell r="Q721">
            <v>0</v>
          </cell>
          <cell r="R721">
            <v>0</v>
          </cell>
          <cell r="S721">
            <v>0</v>
          </cell>
        </row>
        <row r="722">
          <cell r="D722" t="str">
            <v>Horizon Prisma Omega gebouw L</v>
          </cell>
          <cell r="E722" t="str">
            <v>bgg</v>
          </cell>
          <cell r="F722" t="str">
            <v>A0.26</v>
          </cell>
          <cell r="G722" t="str">
            <v>Toilet</v>
          </cell>
          <cell r="H722" t="str">
            <v>sanitaire ruimte (toilet-/doucheruimte)</v>
          </cell>
          <cell r="I722" t="str">
            <v>Steen</v>
          </cell>
          <cell r="J722">
            <v>1.8</v>
          </cell>
          <cell r="K722"/>
          <cell r="L722">
            <v>4153</v>
          </cell>
          <cell r="M722">
            <v>104</v>
          </cell>
          <cell r="N722"/>
          <cell r="O722">
            <v>153</v>
          </cell>
          <cell r="P722">
            <v>1</v>
          </cell>
          <cell r="Q722">
            <v>0</v>
          </cell>
          <cell r="R722">
            <v>0</v>
          </cell>
          <cell r="S722">
            <v>0</v>
          </cell>
        </row>
        <row r="723">
          <cell r="D723" t="str">
            <v>Horizon Prisma Omega gebouw L</v>
          </cell>
          <cell r="E723" t="str">
            <v>bgg</v>
          </cell>
          <cell r="F723" t="str">
            <v>A0.27</v>
          </cell>
          <cell r="G723" t="str">
            <v>Werkkast</v>
          </cell>
          <cell r="H723" t="str">
            <v>niet van toepassing</v>
          </cell>
          <cell r="I723"/>
          <cell r="J723"/>
          <cell r="K723"/>
          <cell r="L723" t="str">
            <v>nvt</v>
          </cell>
          <cell r="M723">
            <v>0</v>
          </cell>
          <cell r="N723"/>
          <cell r="O723">
            <v>0</v>
          </cell>
          <cell r="P723">
            <v>1</v>
          </cell>
          <cell r="Q723">
            <v>0</v>
          </cell>
          <cell r="R723">
            <v>0</v>
          </cell>
          <cell r="S723">
            <v>0</v>
          </cell>
        </row>
        <row r="724">
          <cell r="D724" t="str">
            <v>Horizon Prisma Omega gebouw L</v>
          </cell>
          <cell r="E724" t="str">
            <v>bgg</v>
          </cell>
          <cell r="F724" t="str">
            <v>A0.28</v>
          </cell>
          <cell r="G724" t="str">
            <v>Berging</v>
          </cell>
          <cell r="H724" t="str">
            <v>niet van toepassing</v>
          </cell>
          <cell r="I724"/>
          <cell r="J724"/>
          <cell r="K724"/>
          <cell r="L724" t="str">
            <v>nvt</v>
          </cell>
          <cell r="M724">
            <v>0</v>
          </cell>
          <cell r="N724"/>
          <cell r="O724">
            <v>0</v>
          </cell>
          <cell r="P724">
            <v>1</v>
          </cell>
          <cell r="Q724">
            <v>0</v>
          </cell>
          <cell r="R724">
            <v>0</v>
          </cell>
          <cell r="S724">
            <v>0</v>
          </cell>
        </row>
        <row r="725">
          <cell r="D725" t="str">
            <v>Horizon Prisma Omega gebouw L</v>
          </cell>
          <cell r="E725" t="str">
            <v>bgg</v>
          </cell>
          <cell r="F725" t="str">
            <v xml:space="preserve">B0.01 </v>
          </cell>
          <cell r="G725" t="str">
            <v>Slaapkamer</v>
          </cell>
          <cell r="H725" t="str">
            <v>niet van toepassing</v>
          </cell>
          <cell r="I725" t="str">
            <v>Linoleum</v>
          </cell>
          <cell r="J725"/>
          <cell r="K725"/>
          <cell r="L725" t="str">
            <v>nvt</v>
          </cell>
          <cell r="M725">
            <v>0</v>
          </cell>
          <cell r="N725"/>
          <cell r="O725">
            <v>0</v>
          </cell>
          <cell r="P725">
            <v>1</v>
          </cell>
          <cell r="Q725">
            <v>0</v>
          </cell>
          <cell r="R725">
            <v>0</v>
          </cell>
          <cell r="S725">
            <v>0</v>
          </cell>
        </row>
        <row r="726">
          <cell r="D726" t="str">
            <v>Horizon Prisma Omega gebouw L</v>
          </cell>
          <cell r="E726" t="str">
            <v>bgg</v>
          </cell>
          <cell r="F726" t="str">
            <v>B0.02</v>
          </cell>
          <cell r="G726" t="str">
            <v>Slaapkamer</v>
          </cell>
          <cell r="H726" t="str">
            <v>niet van toepassing</v>
          </cell>
          <cell r="I726" t="str">
            <v>Linoleum</v>
          </cell>
          <cell r="J726"/>
          <cell r="K726"/>
          <cell r="L726" t="str">
            <v>nvt</v>
          </cell>
          <cell r="M726">
            <v>0</v>
          </cell>
          <cell r="N726"/>
          <cell r="O726">
            <v>0</v>
          </cell>
          <cell r="P726">
            <v>1</v>
          </cell>
          <cell r="Q726">
            <v>0</v>
          </cell>
          <cell r="R726">
            <v>0</v>
          </cell>
          <cell r="S726">
            <v>0</v>
          </cell>
        </row>
        <row r="727">
          <cell r="D727" t="str">
            <v>Horizon Prisma Omega gebouw L</v>
          </cell>
          <cell r="E727" t="str">
            <v>bgg</v>
          </cell>
          <cell r="F727" t="str">
            <v>B0.03</v>
          </cell>
          <cell r="G727" t="str">
            <v>Slaapkamer</v>
          </cell>
          <cell r="H727" t="str">
            <v>niet van toepassing</v>
          </cell>
          <cell r="I727" t="str">
            <v>Linoleum</v>
          </cell>
          <cell r="J727"/>
          <cell r="K727"/>
          <cell r="L727" t="str">
            <v>nvt</v>
          </cell>
          <cell r="M727">
            <v>0</v>
          </cell>
          <cell r="N727"/>
          <cell r="O727">
            <v>0</v>
          </cell>
          <cell r="P727">
            <v>1</v>
          </cell>
          <cell r="Q727">
            <v>0</v>
          </cell>
          <cell r="R727">
            <v>0</v>
          </cell>
          <cell r="S727">
            <v>0</v>
          </cell>
        </row>
        <row r="728">
          <cell r="D728" t="str">
            <v>Horizon Prisma Omega gebouw L</v>
          </cell>
          <cell r="E728" t="str">
            <v>bgg</v>
          </cell>
          <cell r="F728" t="str">
            <v>B0.04</v>
          </cell>
          <cell r="G728" t="str">
            <v>Slaapkamer</v>
          </cell>
          <cell r="H728" t="str">
            <v>niet van toepassing</v>
          </cell>
          <cell r="I728" t="str">
            <v>Linoleum</v>
          </cell>
          <cell r="J728"/>
          <cell r="K728"/>
          <cell r="L728" t="str">
            <v>nvt</v>
          </cell>
          <cell r="M728">
            <v>0</v>
          </cell>
          <cell r="N728"/>
          <cell r="O728">
            <v>0</v>
          </cell>
          <cell r="P728">
            <v>1</v>
          </cell>
          <cell r="Q728">
            <v>0</v>
          </cell>
          <cell r="R728">
            <v>0</v>
          </cell>
          <cell r="S728">
            <v>0</v>
          </cell>
        </row>
        <row r="729">
          <cell r="D729" t="str">
            <v>Horizon Prisma Omega gebouw L</v>
          </cell>
          <cell r="E729" t="str">
            <v>bgg</v>
          </cell>
          <cell r="F729" t="str">
            <v>B0.05</v>
          </cell>
          <cell r="G729" t="str">
            <v>Slaapkamer</v>
          </cell>
          <cell r="H729" t="str">
            <v>niet van toepassing</v>
          </cell>
          <cell r="I729" t="str">
            <v>Linoleum</v>
          </cell>
          <cell r="J729"/>
          <cell r="K729"/>
          <cell r="L729" t="str">
            <v>nvt</v>
          </cell>
          <cell r="M729">
            <v>0</v>
          </cell>
          <cell r="N729"/>
          <cell r="O729">
            <v>0</v>
          </cell>
          <cell r="P729">
            <v>1</v>
          </cell>
          <cell r="Q729">
            <v>0</v>
          </cell>
          <cell r="R729">
            <v>0</v>
          </cell>
          <cell r="S729">
            <v>0</v>
          </cell>
        </row>
        <row r="730">
          <cell r="D730" t="str">
            <v>Horizon Prisma Omega gebouw L</v>
          </cell>
          <cell r="E730" t="str">
            <v>bgg</v>
          </cell>
          <cell r="F730" t="str">
            <v>B0.06</v>
          </cell>
          <cell r="G730" t="str">
            <v>Slaapkamer</v>
          </cell>
          <cell r="H730" t="str">
            <v>niet van toepassing</v>
          </cell>
          <cell r="I730" t="str">
            <v>Linoleum</v>
          </cell>
          <cell r="J730"/>
          <cell r="K730"/>
          <cell r="L730" t="str">
            <v>nvt</v>
          </cell>
          <cell r="M730">
            <v>0</v>
          </cell>
          <cell r="N730"/>
          <cell r="O730">
            <v>0</v>
          </cell>
          <cell r="P730">
            <v>1</v>
          </cell>
          <cell r="Q730">
            <v>0</v>
          </cell>
          <cell r="R730">
            <v>0</v>
          </cell>
          <cell r="S730">
            <v>0</v>
          </cell>
        </row>
        <row r="731">
          <cell r="D731" t="str">
            <v>Horizon Prisma Omega gebouw L</v>
          </cell>
          <cell r="E731" t="str">
            <v>bgg</v>
          </cell>
          <cell r="F731" t="str">
            <v>B0.07</v>
          </cell>
          <cell r="G731" t="str">
            <v>Slaapkamer</v>
          </cell>
          <cell r="H731" t="str">
            <v>niet van toepassing</v>
          </cell>
          <cell r="I731" t="str">
            <v>Linoleum</v>
          </cell>
          <cell r="J731"/>
          <cell r="K731"/>
          <cell r="L731" t="str">
            <v>nvt</v>
          </cell>
          <cell r="M731">
            <v>0</v>
          </cell>
          <cell r="N731"/>
          <cell r="O731">
            <v>0</v>
          </cell>
          <cell r="P731">
            <v>1</v>
          </cell>
          <cell r="Q731">
            <v>0</v>
          </cell>
          <cell r="R731">
            <v>0</v>
          </cell>
          <cell r="S731">
            <v>0</v>
          </cell>
        </row>
        <row r="732">
          <cell r="D732" t="str">
            <v>Horizon Prisma Omega gebouw L</v>
          </cell>
          <cell r="E732" t="str">
            <v>bgg</v>
          </cell>
          <cell r="F732" t="str">
            <v>B0.08</v>
          </cell>
          <cell r="G732" t="str">
            <v>Slaapkamer</v>
          </cell>
          <cell r="H732" t="str">
            <v>niet van toepassing</v>
          </cell>
          <cell r="I732" t="str">
            <v>Linoleum</v>
          </cell>
          <cell r="J732"/>
          <cell r="K732"/>
          <cell r="L732" t="str">
            <v>nvt</v>
          </cell>
          <cell r="M732">
            <v>0</v>
          </cell>
          <cell r="N732"/>
          <cell r="O732">
            <v>0</v>
          </cell>
          <cell r="P732">
            <v>1</v>
          </cell>
          <cell r="Q732">
            <v>0</v>
          </cell>
          <cell r="R732">
            <v>0</v>
          </cell>
          <cell r="S732">
            <v>0</v>
          </cell>
        </row>
        <row r="733">
          <cell r="D733" t="str">
            <v>Horizon Prisma Omega gebouw L</v>
          </cell>
          <cell r="E733" t="str">
            <v>bgg</v>
          </cell>
          <cell r="F733" t="str">
            <v>B0.09</v>
          </cell>
          <cell r="G733" t="str">
            <v>Slaapkamer</v>
          </cell>
          <cell r="H733" t="str">
            <v>niet van toepassing</v>
          </cell>
          <cell r="I733" t="str">
            <v>Linoleum</v>
          </cell>
          <cell r="J733"/>
          <cell r="K733"/>
          <cell r="L733" t="str">
            <v>nvt</v>
          </cell>
          <cell r="M733">
            <v>0</v>
          </cell>
          <cell r="N733"/>
          <cell r="O733">
            <v>0</v>
          </cell>
          <cell r="P733">
            <v>1</v>
          </cell>
          <cell r="Q733">
            <v>0</v>
          </cell>
          <cell r="R733">
            <v>0</v>
          </cell>
          <cell r="S733">
            <v>0</v>
          </cell>
        </row>
        <row r="734">
          <cell r="D734" t="str">
            <v>Horizon Prisma Omega gebouw L</v>
          </cell>
          <cell r="E734" t="str">
            <v>bgg</v>
          </cell>
          <cell r="F734" t="str">
            <v>B0.10</v>
          </cell>
          <cell r="G734" t="str">
            <v>Slaapkamer</v>
          </cell>
          <cell r="H734" t="str">
            <v>niet van toepassing</v>
          </cell>
          <cell r="I734" t="str">
            <v>Linoleum</v>
          </cell>
          <cell r="J734"/>
          <cell r="K734"/>
          <cell r="L734" t="str">
            <v>nvt</v>
          </cell>
          <cell r="M734">
            <v>0</v>
          </cell>
          <cell r="N734"/>
          <cell r="O734">
            <v>0</v>
          </cell>
          <cell r="P734">
            <v>1</v>
          </cell>
          <cell r="Q734">
            <v>0</v>
          </cell>
          <cell r="R734">
            <v>0</v>
          </cell>
          <cell r="S734">
            <v>0</v>
          </cell>
        </row>
        <row r="735">
          <cell r="D735" t="str">
            <v>Horizon Prisma Omega gebouw L</v>
          </cell>
          <cell r="E735" t="str">
            <v>bgg</v>
          </cell>
          <cell r="F735" t="str">
            <v>B0.11</v>
          </cell>
          <cell r="G735" t="str">
            <v>Gang/verkeersruimte</v>
          </cell>
          <cell r="H735" t="str">
            <v>entree, gang, hal, repro, kopieer, was/droogruimte</v>
          </cell>
          <cell r="I735" t="str">
            <v>Linoleum</v>
          </cell>
          <cell r="J735">
            <v>66.5</v>
          </cell>
          <cell r="K735"/>
          <cell r="L735">
            <v>3153</v>
          </cell>
          <cell r="M735">
            <v>103</v>
          </cell>
          <cell r="N735"/>
          <cell r="O735">
            <v>153</v>
          </cell>
          <cell r="P735">
            <v>1</v>
          </cell>
          <cell r="Q735">
            <v>0</v>
          </cell>
          <cell r="R735">
            <v>0</v>
          </cell>
          <cell r="S735">
            <v>0</v>
          </cell>
        </row>
        <row r="736">
          <cell r="D736" t="str">
            <v>Horizon Prisma Omega gebouw L</v>
          </cell>
          <cell r="E736" t="str">
            <v>bgg</v>
          </cell>
          <cell r="F736" t="str">
            <v>B0.12</v>
          </cell>
          <cell r="G736" t="str">
            <v>Toilet</v>
          </cell>
          <cell r="H736" t="str">
            <v>sanitaire ruimte (toilet-/doucheruimte)</v>
          </cell>
          <cell r="I736" t="str">
            <v>Steen</v>
          </cell>
          <cell r="J736">
            <v>1.6</v>
          </cell>
          <cell r="K736"/>
          <cell r="L736">
            <v>4153</v>
          </cell>
          <cell r="M736">
            <v>104</v>
          </cell>
          <cell r="N736"/>
          <cell r="O736">
            <v>153</v>
          </cell>
          <cell r="P736">
            <v>1</v>
          </cell>
          <cell r="Q736">
            <v>0</v>
          </cell>
          <cell r="R736">
            <v>0</v>
          </cell>
          <cell r="S736">
            <v>0</v>
          </cell>
        </row>
        <row r="737">
          <cell r="D737" t="str">
            <v>Horizon Prisma Omega gebouw L</v>
          </cell>
          <cell r="E737" t="str">
            <v>bgg</v>
          </cell>
          <cell r="F737" t="str">
            <v>B0.13</v>
          </cell>
          <cell r="G737" t="str">
            <v>Telefoon</v>
          </cell>
          <cell r="H737" t="str">
            <v>entree, gang, hal, repro, kopieer, was/droogruimte</v>
          </cell>
          <cell r="I737" t="str">
            <v>Linoleum</v>
          </cell>
          <cell r="J737">
            <v>1.9</v>
          </cell>
          <cell r="K737"/>
          <cell r="L737">
            <v>3102</v>
          </cell>
          <cell r="M737">
            <v>103</v>
          </cell>
          <cell r="N737"/>
          <cell r="O737">
            <v>102</v>
          </cell>
          <cell r="P737">
            <v>1</v>
          </cell>
          <cell r="Q737">
            <v>0</v>
          </cell>
          <cell r="R737">
            <v>0</v>
          </cell>
          <cell r="S737">
            <v>0</v>
          </cell>
        </row>
        <row r="738">
          <cell r="D738" t="str">
            <v>Horizon Prisma Omega gebouw L</v>
          </cell>
          <cell r="E738" t="str">
            <v>bgg</v>
          </cell>
          <cell r="F738" t="str">
            <v>B0.14</v>
          </cell>
          <cell r="G738" t="str">
            <v>Berging</v>
          </cell>
          <cell r="H738" t="str">
            <v>niet van toepassing</v>
          </cell>
          <cell r="I738"/>
          <cell r="J738"/>
          <cell r="K738"/>
          <cell r="L738" t="str">
            <v>nvt</v>
          </cell>
          <cell r="M738">
            <v>0</v>
          </cell>
          <cell r="N738"/>
          <cell r="O738">
            <v>0</v>
          </cell>
          <cell r="P738">
            <v>1</v>
          </cell>
          <cell r="Q738">
            <v>0</v>
          </cell>
          <cell r="R738">
            <v>0</v>
          </cell>
          <cell r="S738">
            <v>0</v>
          </cell>
        </row>
        <row r="739">
          <cell r="D739" t="str">
            <v>Horizon Prisma Omega gebouw L</v>
          </cell>
          <cell r="E739" t="str">
            <v>bgg</v>
          </cell>
          <cell r="F739" t="str">
            <v>B0.15</v>
          </cell>
          <cell r="G739" t="str">
            <v>Teamkamer</v>
          </cell>
          <cell r="H739" t="str">
            <v>administratieve -, personeels- en vergaderruimte</v>
          </cell>
          <cell r="I739" t="str">
            <v>Linoleum</v>
          </cell>
          <cell r="J739">
            <v>11.1</v>
          </cell>
          <cell r="K739"/>
          <cell r="L739">
            <v>1153</v>
          </cell>
          <cell r="M739">
            <v>101</v>
          </cell>
          <cell r="N739"/>
          <cell r="O739">
            <v>153</v>
          </cell>
          <cell r="P739">
            <v>1</v>
          </cell>
          <cell r="Q739">
            <v>0</v>
          </cell>
          <cell r="R739">
            <v>0</v>
          </cell>
          <cell r="S739">
            <v>0</v>
          </cell>
        </row>
        <row r="740">
          <cell r="D740" t="str">
            <v>Horizon Prisma Omega gebouw L</v>
          </cell>
          <cell r="E740" t="str">
            <v>bgg</v>
          </cell>
          <cell r="F740" t="str">
            <v>B0.16</v>
          </cell>
          <cell r="G740" t="str">
            <v>Berging</v>
          </cell>
          <cell r="H740" t="str">
            <v>niet van toepassing</v>
          </cell>
          <cell r="I740"/>
          <cell r="J740"/>
          <cell r="K740"/>
          <cell r="L740" t="str">
            <v>nvt</v>
          </cell>
          <cell r="M740">
            <v>0</v>
          </cell>
          <cell r="N740"/>
          <cell r="O740">
            <v>0</v>
          </cell>
          <cell r="P740">
            <v>1</v>
          </cell>
          <cell r="Q740">
            <v>0</v>
          </cell>
          <cell r="R740">
            <v>0</v>
          </cell>
          <cell r="S740">
            <v>0</v>
          </cell>
        </row>
        <row r="741">
          <cell r="D741" t="str">
            <v>Horizon Prisma Omega gebouw L</v>
          </cell>
          <cell r="E741" t="str">
            <v>bgg</v>
          </cell>
          <cell r="F741" t="str">
            <v>B0.17</v>
          </cell>
          <cell r="G741" t="str">
            <v>Woonkamer</v>
          </cell>
          <cell r="H741" t="str">
            <v>aula, gemeenschappelijke ruimte, bibliotheek</v>
          </cell>
          <cell r="I741" t="str">
            <v>Linoleum</v>
          </cell>
          <cell r="J741">
            <v>62.3</v>
          </cell>
          <cell r="K741"/>
          <cell r="L741">
            <v>2153</v>
          </cell>
          <cell r="M741">
            <v>102</v>
          </cell>
          <cell r="N741"/>
          <cell r="O741">
            <v>153</v>
          </cell>
          <cell r="P741">
            <v>1</v>
          </cell>
          <cell r="Q741">
            <v>0</v>
          </cell>
          <cell r="R741">
            <v>0</v>
          </cell>
          <cell r="S741">
            <v>0</v>
          </cell>
        </row>
        <row r="742">
          <cell r="D742" t="str">
            <v>Horizon Prisma Omega gebouw L</v>
          </cell>
          <cell r="E742" t="str">
            <v>bgg</v>
          </cell>
          <cell r="F742" t="str">
            <v>B0.18</v>
          </cell>
          <cell r="G742" t="str">
            <v>Bijkeuken</v>
          </cell>
          <cell r="H742" t="str">
            <v>Keuken</v>
          </cell>
          <cell r="I742" t="str">
            <v>Linoleum</v>
          </cell>
          <cell r="J742">
            <v>2.5</v>
          </cell>
          <cell r="K742"/>
          <cell r="L742">
            <v>18153</v>
          </cell>
          <cell r="M742" t="str">
            <v>nvt</v>
          </cell>
          <cell r="N742"/>
          <cell r="O742">
            <v>153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D743" t="str">
            <v>Horizon Prisma Omega gebouw L</v>
          </cell>
          <cell r="E743" t="str">
            <v>bgg</v>
          </cell>
          <cell r="F743" t="str">
            <v>B0.19</v>
          </cell>
          <cell r="G743" t="str">
            <v>Multifunctioneleruimte</v>
          </cell>
          <cell r="H743" t="str">
            <v>aula, gemeenschappelijke ruimte, bibliotheek</v>
          </cell>
          <cell r="I743" t="str">
            <v>Linoleum</v>
          </cell>
          <cell r="J743">
            <v>34.700000000000003</v>
          </cell>
          <cell r="K743"/>
          <cell r="L743">
            <v>2153</v>
          </cell>
          <cell r="M743">
            <v>102</v>
          </cell>
          <cell r="N743"/>
          <cell r="O743">
            <v>153</v>
          </cell>
          <cell r="P743">
            <v>1</v>
          </cell>
          <cell r="Q743">
            <v>0</v>
          </cell>
          <cell r="R743">
            <v>0</v>
          </cell>
          <cell r="S743">
            <v>0</v>
          </cell>
        </row>
        <row r="744">
          <cell r="D744" t="str">
            <v>Horizon Prisma Omega gebouw L</v>
          </cell>
          <cell r="E744" t="str">
            <v>bgg</v>
          </cell>
          <cell r="F744" t="str">
            <v>B0.20</v>
          </cell>
          <cell r="G744" t="str">
            <v>Wasruimte</v>
          </cell>
          <cell r="H744" t="str">
            <v>sanitaire ruimte (toilet-/doucheruimte)</v>
          </cell>
          <cell r="I744" t="str">
            <v>Linoleum</v>
          </cell>
          <cell r="J744">
            <v>6.2</v>
          </cell>
          <cell r="K744"/>
          <cell r="L744">
            <v>4255</v>
          </cell>
          <cell r="M744">
            <v>104</v>
          </cell>
          <cell r="N744"/>
          <cell r="O744">
            <v>255</v>
          </cell>
          <cell r="P744">
            <v>1</v>
          </cell>
          <cell r="Q744">
            <v>0</v>
          </cell>
          <cell r="R744">
            <v>0</v>
          </cell>
          <cell r="S744">
            <v>0</v>
          </cell>
        </row>
        <row r="745">
          <cell r="D745" t="str">
            <v>Horizon Prisma Omega gebouw L</v>
          </cell>
          <cell r="E745" t="str">
            <v>bgg</v>
          </cell>
          <cell r="F745" t="str">
            <v>B0.21</v>
          </cell>
          <cell r="G745" t="str">
            <v>Toilet</v>
          </cell>
          <cell r="H745" t="str">
            <v>sanitaire ruimte (toilet-/doucheruimte)</v>
          </cell>
          <cell r="I745" t="str">
            <v>Steen</v>
          </cell>
          <cell r="J745">
            <v>2</v>
          </cell>
          <cell r="K745"/>
          <cell r="L745">
            <v>4153</v>
          </cell>
          <cell r="M745">
            <v>104</v>
          </cell>
          <cell r="N745"/>
          <cell r="O745">
            <v>153</v>
          </cell>
          <cell r="P745">
            <v>1</v>
          </cell>
          <cell r="Q745">
            <v>0</v>
          </cell>
          <cell r="R745">
            <v>0</v>
          </cell>
          <cell r="S745">
            <v>0</v>
          </cell>
        </row>
        <row r="746">
          <cell r="D746" t="str">
            <v>Horizon Prisma Omega gebouw L</v>
          </cell>
          <cell r="E746" t="str">
            <v>bgg</v>
          </cell>
          <cell r="F746" t="str">
            <v>B0.22</v>
          </cell>
          <cell r="G746" t="str">
            <v>Douche</v>
          </cell>
          <cell r="H746" t="str">
            <v>sanitaire ruimte (toilet-/doucheruimte)</v>
          </cell>
          <cell r="I746" t="str">
            <v>Steen</v>
          </cell>
          <cell r="J746">
            <v>2</v>
          </cell>
          <cell r="K746"/>
          <cell r="L746">
            <v>4255</v>
          </cell>
          <cell r="M746">
            <v>104</v>
          </cell>
          <cell r="N746"/>
          <cell r="O746">
            <v>255</v>
          </cell>
          <cell r="P746">
            <v>1</v>
          </cell>
          <cell r="Q746">
            <v>0</v>
          </cell>
          <cell r="R746">
            <v>0</v>
          </cell>
          <cell r="S746">
            <v>0</v>
          </cell>
        </row>
        <row r="747">
          <cell r="D747" t="str">
            <v>Horizon Prisma Omega gebouw L</v>
          </cell>
          <cell r="E747" t="str">
            <v>bgg</v>
          </cell>
          <cell r="F747" t="str">
            <v>B0.23</v>
          </cell>
          <cell r="G747" t="str">
            <v>Douche</v>
          </cell>
          <cell r="H747" t="str">
            <v>sanitaire ruimte (toilet-/doucheruimte)</v>
          </cell>
          <cell r="I747" t="str">
            <v>Steen</v>
          </cell>
          <cell r="J747">
            <v>2</v>
          </cell>
          <cell r="K747"/>
          <cell r="L747">
            <v>4255</v>
          </cell>
          <cell r="M747">
            <v>104</v>
          </cell>
          <cell r="N747"/>
          <cell r="O747">
            <v>255</v>
          </cell>
          <cell r="P747">
            <v>1</v>
          </cell>
          <cell r="Q747">
            <v>0</v>
          </cell>
          <cell r="R747">
            <v>0</v>
          </cell>
          <cell r="S747">
            <v>0</v>
          </cell>
        </row>
        <row r="748">
          <cell r="D748" t="str">
            <v>Horizon Prisma Omega gebouw L</v>
          </cell>
          <cell r="E748" t="str">
            <v>bgg</v>
          </cell>
          <cell r="F748" t="str">
            <v>B0.24</v>
          </cell>
          <cell r="G748" t="str">
            <v>Douche</v>
          </cell>
          <cell r="H748" t="str">
            <v>sanitaire ruimte (toilet-/doucheruimte)</v>
          </cell>
          <cell r="I748" t="str">
            <v>Steen</v>
          </cell>
          <cell r="J748">
            <v>2</v>
          </cell>
          <cell r="K748"/>
          <cell r="L748">
            <v>4255</v>
          </cell>
          <cell r="M748">
            <v>104</v>
          </cell>
          <cell r="N748"/>
          <cell r="O748">
            <v>255</v>
          </cell>
          <cell r="P748">
            <v>1</v>
          </cell>
          <cell r="Q748">
            <v>0</v>
          </cell>
          <cell r="R748">
            <v>0</v>
          </cell>
          <cell r="S748">
            <v>0</v>
          </cell>
        </row>
        <row r="749">
          <cell r="D749" t="str">
            <v>Horizon Prisma Omega gebouw L</v>
          </cell>
          <cell r="E749" t="str">
            <v>bgg</v>
          </cell>
          <cell r="F749" t="str">
            <v>B0.25</v>
          </cell>
          <cell r="G749" t="str">
            <v>Douche</v>
          </cell>
          <cell r="H749" t="str">
            <v>sanitaire ruimte (toilet-/doucheruimte)</v>
          </cell>
          <cell r="I749" t="str">
            <v>Steen</v>
          </cell>
          <cell r="J749">
            <v>2</v>
          </cell>
          <cell r="K749"/>
          <cell r="L749">
            <v>4255</v>
          </cell>
          <cell r="M749">
            <v>104</v>
          </cell>
          <cell r="N749"/>
          <cell r="O749">
            <v>255</v>
          </cell>
          <cell r="P749">
            <v>1</v>
          </cell>
          <cell r="Q749">
            <v>0</v>
          </cell>
          <cell r="R749">
            <v>0</v>
          </cell>
          <cell r="S749">
            <v>0</v>
          </cell>
        </row>
        <row r="750">
          <cell r="D750" t="str">
            <v>Horizon Prisma Omega gebouw L</v>
          </cell>
          <cell r="E750" t="str">
            <v>bgg</v>
          </cell>
          <cell r="F750" t="str">
            <v>B0.26</v>
          </cell>
          <cell r="G750" t="str">
            <v>Toilet</v>
          </cell>
          <cell r="H750" t="str">
            <v>sanitaire ruimte (toilet-/doucheruimte)</v>
          </cell>
          <cell r="I750" t="str">
            <v>Steen</v>
          </cell>
          <cell r="J750">
            <v>1.9</v>
          </cell>
          <cell r="K750"/>
          <cell r="L750">
            <v>4153</v>
          </cell>
          <cell r="M750">
            <v>104</v>
          </cell>
          <cell r="N750"/>
          <cell r="O750">
            <v>153</v>
          </cell>
          <cell r="P750">
            <v>1</v>
          </cell>
          <cell r="Q750">
            <v>0</v>
          </cell>
          <cell r="R750">
            <v>0</v>
          </cell>
          <cell r="S750">
            <v>0</v>
          </cell>
        </row>
        <row r="751">
          <cell r="D751" t="str">
            <v>Horizon Prisma Omega gebouw L</v>
          </cell>
          <cell r="E751" t="str">
            <v>bgg</v>
          </cell>
          <cell r="F751" t="str">
            <v>B0.27</v>
          </cell>
          <cell r="G751" t="str">
            <v>werkkast</v>
          </cell>
          <cell r="H751" t="str">
            <v>niet van toepassing</v>
          </cell>
          <cell r="I751" t="str">
            <v>Tegels</v>
          </cell>
          <cell r="J751"/>
          <cell r="K751"/>
          <cell r="L751" t="str">
            <v>nvt</v>
          </cell>
          <cell r="M751">
            <v>0</v>
          </cell>
          <cell r="N751"/>
          <cell r="O751">
            <v>0</v>
          </cell>
          <cell r="P751">
            <v>1</v>
          </cell>
          <cell r="Q751">
            <v>0</v>
          </cell>
          <cell r="R751">
            <v>0</v>
          </cell>
          <cell r="S751">
            <v>0</v>
          </cell>
        </row>
        <row r="752">
          <cell r="D752" t="str">
            <v>Horizon Prisma Omega gebouw L</v>
          </cell>
          <cell r="E752" t="str">
            <v>bgg</v>
          </cell>
          <cell r="F752" t="str">
            <v xml:space="preserve">C0.01 </v>
          </cell>
          <cell r="G752" t="str">
            <v>Slaapkamer</v>
          </cell>
          <cell r="H752" t="str">
            <v>niet van toepassing</v>
          </cell>
          <cell r="I752" t="str">
            <v>Linoleum</v>
          </cell>
          <cell r="J752"/>
          <cell r="K752"/>
          <cell r="L752" t="str">
            <v>nvt</v>
          </cell>
          <cell r="M752">
            <v>0</v>
          </cell>
          <cell r="N752"/>
          <cell r="O752">
            <v>0</v>
          </cell>
          <cell r="P752">
            <v>1</v>
          </cell>
          <cell r="Q752">
            <v>0</v>
          </cell>
          <cell r="R752">
            <v>0</v>
          </cell>
          <cell r="S752">
            <v>0</v>
          </cell>
        </row>
        <row r="753">
          <cell r="D753" t="str">
            <v>Horizon Prisma Omega gebouw L</v>
          </cell>
          <cell r="E753" t="str">
            <v>bgg</v>
          </cell>
          <cell r="F753" t="str">
            <v>C0.02</v>
          </cell>
          <cell r="G753" t="str">
            <v>Slaapkamer</v>
          </cell>
          <cell r="H753" t="str">
            <v>niet van toepassing</v>
          </cell>
          <cell r="I753" t="str">
            <v>Linoleum</v>
          </cell>
          <cell r="J753"/>
          <cell r="K753"/>
          <cell r="L753" t="str">
            <v>nvt</v>
          </cell>
          <cell r="M753">
            <v>0</v>
          </cell>
          <cell r="N753"/>
          <cell r="O753">
            <v>0</v>
          </cell>
          <cell r="P753">
            <v>1</v>
          </cell>
          <cell r="Q753">
            <v>0</v>
          </cell>
          <cell r="R753">
            <v>0</v>
          </cell>
          <cell r="S753">
            <v>0</v>
          </cell>
        </row>
        <row r="754">
          <cell r="D754" t="str">
            <v>Horizon Prisma Omega gebouw L</v>
          </cell>
          <cell r="E754" t="str">
            <v>bgg</v>
          </cell>
          <cell r="F754" t="str">
            <v>C0.03</v>
          </cell>
          <cell r="G754" t="str">
            <v>Slaapkamer</v>
          </cell>
          <cell r="H754" t="str">
            <v>niet van toepassing</v>
          </cell>
          <cell r="I754" t="str">
            <v>Linoleum</v>
          </cell>
          <cell r="J754"/>
          <cell r="K754"/>
          <cell r="L754" t="str">
            <v>nvt</v>
          </cell>
          <cell r="M754">
            <v>0</v>
          </cell>
          <cell r="N754"/>
          <cell r="O754">
            <v>0</v>
          </cell>
          <cell r="P754">
            <v>1</v>
          </cell>
          <cell r="Q754">
            <v>0</v>
          </cell>
          <cell r="R754">
            <v>0</v>
          </cell>
          <cell r="S754">
            <v>0</v>
          </cell>
        </row>
        <row r="755">
          <cell r="D755" t="str">
            <v>Horizon Prisma Omega gebouw L</v>
          </cell>
          <cell r="E755" t="str">
            <v>bgg</v>
          </cell>
          <cell r="F755" t="str">
            <v>C0.04</v>
          </cell>
          <cell r="G755" t="str">
            <v>Slaapkamer</v>
          </cell>
          <cell r="H755" t="str">
            <v>niet van toepassing</v>
          </cell>
          <cell r="I755" t="str">
            <v>Linoleum</v>
          </cell>
          <cell r="J755"/>
          <cell r="K755"/>
          <cell r="L755" t="str">
            <v>nvt</v>
          </cell>
          <cell r="M755">
            <v>0</v>
          </cell>
          <cell r="N755"/>
          <cell r="O755">
            <v>0</v>
          </cell>
          <cell r="P755">
            <v>1</v>
          </cell>
          <cell r="Q755">
            <v>0</v>
          </cell>
          <cell r="R755">
            <v>0</v>
          </cell>
          <cell r="S755">
            <v>0</v>
          </cell>
        </row>
        <row r="756">
          <cell r="D756" t="str">
            <v>Horizon Prisma Omega gebouw L</v>
          </cell>
          <cell r="E756" t="str">
            <v>bgg</v>
          </cell>
          <cell r="F756" t="str">
            <v>C0.05</v>
          </cell>
          <cell r="G756" t="str">
            <v>Slaapkamer</v>
          </cell>
          <cell r="H756" t="str">
            <v>niet van toepassing</v>
          </cell>
          <cell r="I756" t="str">
            <v>Linoleum</v>
          </cell>
          <cell r="J756"/>
          <cell r="K756"/>
          <cell r="L756" t="str">
            <v>nvt</v>
          </cell>
          <cell r="M756">
            <v>0</v>
          </cell>
          <cell r="N756"/>
          <cell r="O756">
            <v>0</v>
          </cell>
          <cell r="P756">
            <v>1</v>
          </cell>
          <cell r="Q756">
            <v>0</v>
          </cell>
          <cell r="R756">
            <v>0</v>
          </cell>
          <cell r="S756">
            <v>0</v>
          </cell>
        </row>
        <row r="757">
          <cell r="D757" t="str">
            <v>Horizon Prisma Omega gebouw L</v>
          </cell>
          <cell r="E757" t="str">
            <v>bgg</v>
          </cell>
          <cell r="F757" t="str">
            <v>C0.06</v>
          </cell>
          <cell r="G757" t="str">
            <v>Slaapkamer</v>
          </cell>
          <cell r="H757" t="str">
            <v>niet van toepassing</v>
          </cell>
          <cell r="I757" t="str">
            <v>Linoleum</v>
          </cell>
          <cell r="J757"/>
          <cell r="K757"/>
          <cell r="L757" t="str">
            <v>nvt</v>
          </cell>
          <cell r="M757">
            <v>0</v>
          </cell>
          <cell r="N757"/>
          <cell r="O757">
            <v>0</v>
          </cell>
          <cell r="P757">
            <v>1</v>
          </cell>
          <cell r="Q757">
            <v>0</v>
          </cell>
          <cell r="R757">
            <v>0</v>
          </cell>
          <cell r="S757">
            <v>0</v>
          </cell>
        </row>
        <row r="758">
          <cell r="D758" t="str">
            <v>Horizon Prisma Omega gebouw L</v>
          </cell>
          <cell r="E758" t="str">
            <v>bgg</v>
          </cell>
          <cell r="F758" t="str">
            <v>C0.07</v>
          </cell>
          <cell r="G758" t="str">
            <v>Slaapkamer</v>
          </cell>
          <cell r="H758" t="str">
            <v>niet van toepassing</v>
          </cell>
          <cell r="I758" t="str">
            <v>Linoleum</v>
          </cell>
          <cell r="J758"/>
          <cell r="K758"/>
          <cell r="L758" t="str">
            <v>nvt</v>
          </cell>
          <cell r="M758">
            <v>0</v>
          </cell>
          <cell r="N758"/>
          <cell r="O758">
            <v>0</v>
          </cell>
          <cell r="P758">
            <v>1</v>
          </cell>
          <cell r="Q758">
            <v>0</v>
          </cell>
          <cell r="R758">
            <v>0</v>
          </cell>
          <cell r="S758">
            <v>0</v>
          </cell>
        </row>
        <row r="759">
          <cell r="D759" t="str">
            <v>Horizon Prisma Omega gebouw L</v>
          </cell>
          <cell r="E759" t="str">
            <v>bgg</v>
          </cell>
          <cell r="F759" t="str">
            <v>C0.08</v>
          </cell>
          <cell r="G759" t="str">
            <v>Slaapkamer</v>
          </cell>
          <cell r="H759" t="str">
            <v>niet van toepassing</v>
          </cell>
          <cell r="I759" t="str">
            <v>Linoleum</v>
          </cell>
          <cell r="J759"/>
          <cell r="K759"/>
          <cell r="L759" t="str">
            <v>nvt</v>
          </cell>
          <cell r="M759">
            <v>0</v>
          </cell>
          <cell r="N759"/>
          <cell r="O759">
            <v>0</v>
          </cell>
          <cell r="P759">
            <v>1</v>
          </cell>
          <cell r="Q759">
            <v>0</v>
          </cell>
          <cell r="R759">
            <v>0</v>
          </cell>
          <cell r="S759">
            <v>0</v>
          </cell>
        </row>
        <row r="760">
          <cell r="D760" t="str">
            <v>Horizon Prisma Omega gebouw L</v>
          </cell>
          <cell r="E760" t="str">
            <v>bgg</v>
          </cell>
          <cell r="F760" t="str">
            <v>C0.09</v>
          </cell>
          <cell r="G760" t="str">
            <v>Slaapkamer</v>
          </cell>
          <cell r="H760" t="str">
            <v>niet van toepassing</v>
          </cell>
          <cell r="I760" t="str">
            <v>Linoleum</v>
          </cell>
          <cell r="J760"/>
          <cell r="K760"/>
          <cell r="L760" t="str">
            <v>nvt</v>
          </cell>
          <cell r="M760">
            <v>0</v>
          </cell>
          <cell r="N760"/>
          <cell r="O760">
            <v>0</v>
          </cell>
          <cell r="P760">
            <v>1</v>
          </cell>
          <cell r="Q760">
            <v>0</v>
          </cell>
          <cell r="R760">
            <v>0</v>
          </cell>
          <cell r="S760">
            <v>0</v>
          </cell>
        </row>
        <row r="761">
          <cell r="D761" t="str">
            <v>Horizon Prisma Omega gebouw L</v>
          </cell>
          <cell r="E761" t="str">
            <v>bgg</v>
          </cell>
          <cell r="F761" t="str">
            <v>C0.10</v>
          </cell>
          <cell r="G761" t="str">
            <v>Slaapkamer</v>
          </cell>
          <cell r="H761" t="str">
            <v>niet van toepassing</v>
          </cell>
          <cell r="I761" t="str">
            <v>Linoleum</v>
          </cell>
          <cell r="J761"/>
          <cell r="K761"/>
          <cell r="L761" t="str">
            <v>nvt</v>
          </cell>
          <cell r="M761">
            <v>0</v>
          </cell>
          <cell r="N761"/>
          <cell r="O761">
            <v>0</v>
          </cell>
          <cell r="P761">
            <v>1</v>
          </cell>
          <cell r="Q761">
            <v>0</v>
          </cell>
          <cell r="R761">
            <v>0</v>
          </cell>
          <cell r="S761">
            <v>0</v>
          </cell>
        </row>
        <row r="762">
          <cell r="D762" t="str">
            <v>Horizon Prisma Omega gebouw L</v>
          </cell>
          <cell r="E762" t="str">
            <v>bgg</v>
          </cell>
          <cell r="F762" t="str">
            <v>C0.11</v>
          </cell>
          <cell r="G762" t="str">
            <v>Gang/verkeersruimte</v>
          </cell>
          <cell r="H762" t="str">
            <v>entree, gang, hal, repro, kopieer, was/droogruimte</v>
          </cell>
          <cell r="I762" t="str">
            <v>Linoleum</v>
          </cell>
          <cell r="J762">
            <v>65.3</v>
          </cell>
          <cell r="K762"/>
          <cell r="L762">
            <v>3153</v>
          </cell>
          <cell r="M762">
            <v>103</v>
          </cell>
          <cell r="N762"/>
          <cell r="O762">
            <v>153</v>
          </cell>
          <cell r="P762">
            <v>1</v>
          </cell>
          <cell r="Q762">
            <v>0</v>
          </cell>
          <cell r="R762">
            <v>0</v>
          </cell>
          <cell r="S762">
            <v>0</v>
          </cell>
        </row>
        <row r="763">
          <cell r="D763" t="str">
            <v>Horizon Prisma Omega gebouw L</v>
          </cell>
          <cell r="E763" t="str">
            <v>bgg</v>
          </cell>
          <cell r="F763" t="str">
            <v>C0.12</v>
          </cell>
          <cell r="G763" t="str">
            <v>Toilet</v>
          </cell>
          <cell r="H763" t="str">
            <v>sanitaire ruimte (toilet-/doucheruimte)</v>
          </cell>
          <cell r="I763" t="str">
            <v>Steen</v>
          </cell>
          <cell r="J763">
            <v>1.6</v>
          </cell>
          <cell r="K763"/>
          <cell r="L763">
            <v>4153</v>
          </cell>
          <cell r="M763">
            <v>104</v>
          </cell>
          <cell r="N763"/>
          <cell r="O763">
            <v>153</v>
          </cell>
          <cell r="P763">
            <v>1</v>
          </cell>
          <cell r="Q763">
            <v>0</v>
          </cell>
          <cell r="R763">
            <v>0</v>
          </cell>
          <cell r="S763">
            <v>0</v>
          </cell>
        </row>
        <row r="764">
          <cell r="D764" t="str">
            <v>Horizon Prisma Omega gebouw L</v>
          </cell>
          <cell r="E764" t="str">
            <v>bgg</v>
          </cell>
          <cell r="F764" t="str">
            <v>C0.13</v>
          </cell>
          <cell r="G764" t="str">
            <v>Telefoon</v>
          </cell>
          <cell r="H764" t="str">
            <v>entree, gang, hal, repro, kopieer, was/droogruimte</v>
          </cell>
          <cell r="I764" t="str">
            <v>Linoleum</v>
          </cell>
          <cell r="J764">
            <v>1.9</v>
          </cell>
          <cell r="K764"/>
          <cell r="L764">
            <v>3102</v>
          </cell>
          <cell r="M764">
            <v>103</v>
          </cell>
          <cell r="N764"/>
          <cell r="O764">
            <v>102</v>
          </cell>
          <cell r="P764">
            <v>1</v>
          </cell>
          <cell r="Q764">
            <v>0</v>
          </cell>
          <cell r="R764">
            <v>0</v>
          </cell>
          <cell r="S764">
            <v>0</v>
          </cell>
        </row>
        <row r="765">
          <cell r="D765" t="str">
            <v>Horizon Prisma Omega gebouw L</v>
          </cell>
          <cell r="E765" t="str">
            <v>bgg</v>
          </cell>
          <cell r="F765" t="str">
            <v>C0.14</v>
          </cell>
          <cell r="G765" t="str">
            <v>Berging</v>
          </cell>
          <cell r="H765" t="str">
            <v>niet van toepassing</v>
          </cell>
          <cell r="I765"/>
          <cell r="J765"/>
          <cell r="K765"/>
          <cell r="L765" t="str">
            <v>nvt</v>
          </cell>
          <cell r="M765">
            <v>0</v>
          </cell>
          <cell r="N765"/>
          <cell r="O765">
            <v>0</v>
          </cell>
          <cell r="P765">
            <v>1</v>
          </cell>
          <cell r="Q765">
            <v>0</v>
          </cell>
          <cell r="R765">
            <v>0</v>
          </cell>
          <cell r="S765">
            <v>0</v>
          </cell>
        </row>
        <row r="766">
          <cell r="D766" t="str">
            <v>Horizon Prisma Omega gebouw L</v>
          </cell>
          <cell r="E766" t="str">
            <v>bgg</v>
          </cell>
          <cell r="F766" t="str">
            <v>C0.15</v>
          </cell>
          <cell r="G766" t="str">
            <v>Teamkamer</v>
          </cell>
          <cell r="H766" t="str">
            <v>administratieve -, personeels- en vergaderruimte</v>
          </cell>
          <cell r="I766" t="str">
            <v>Linoleum</v>
          </cell>
          <cell r="J766">
            <v>9.9</v>
          </cell>
          <cell r="K766"/>
          <cell r="L766">
            <v>1153</v>
          </cell>
          <cell r="M766">
            <v>101</v>
          </cell>
          <cell r="N766"/>
          <cell r="O766">
            <v>153</v>
          </cell>
          <cell r="P766">
            <v>1</v>
          </cell>
          <cell r="Q766">
            <v>0</v>
          </cell>
          <cell r="R766">
            <v>0</v>
          </cell>
          <cell r="S766">
            <v>0</v>
          </cell>
        </row>
        <row r="767">
          <cell r="D767" t="str">
            <v>Horizon Prisma Omega gebouw L</v>
          </cell>
          <cell r="E767" t="str">
            <v>bgg</v>
          </cell>
          <cell r="F767" t="str">
            <v>C0.16</v>
          </cell>
          <cell r="G767" t="str">
            <v>Berging</v>
          </cell>
          <cell r="H767" t="str">
            <v>niet van toepassing</v>
          </cell>
          <cell r="I767"/>
          <cell r="J767"/>
          <cell r="K767"/>
          <cell r="L767" t="str">
            <v>nvt</v>
          </cell>
          <cell r="M767">
            <v>0</v>
          </cell>
          <cell r="N767"/>
          <cell r="O767">
            <v>0</v>
          </cell>
          <cell r="P767">
            <v>1</v>
          </cell>
          <cell r="Q767">
            <v>0</v>
          </cell>
          <cell r="R767">
            <v>0</v>
          </cell>
          <cell r="S767">
            <v>0</v>
          </cell>
        </row>
        <row r="768">
          <cell r="D768" t="str">
            <v>Horizon Prisma Omega gebouw L</v>
          </cell>
          <cell r="E768" t="str">
            <v>bgg</v>
          </cell>
          <cell r="F768" t="str">
            <v>C0.17</v>
          </cell>
          <cell r="G768" t="str">
            <v>Woonkamer</v>
          </cell>
          <cell r="H768" t="str">
            <v>aula, gemeenschappelijke ruimte, bibliotheek</v>
          </cell>
          <cell r="I768" t="str">
            <v>Linoleum</v>
          </cell>
          <cell r="J768">
            <v>62.3</v>
          </cell>
          <cell r="K768"/>
          <cell r="L768">
            <v>2153</v>
          </cell>
          <cell r="M768">
            <v>102</v>
          </cell>
          <cell r="N768"/>
          <cell r="O768">
            <v>153</v>
          </cell>
          <cell r="P768">
            <v>1</v>
          </cell>
          <cell r="Q768">
            <v>0</v>
          </cell>
          <cell r="R768">
            <v>0</v>
          </cell>
          <cell r="S768">
            <v>0</v>
          </cell>
        </row>
        <row r="769">
          <cell r="D769" t="str">
            <v>Horizon Prisma Omega gebouw L</v>
          </cell>
          <cell r="E769" t="str">
            <v>bgg</v>
          </cell>
          <cell r="F769" t="str">
            <v>C0.18</v>
          </cell>
          <cell r="G769" t="str">
            <v>Bijkeuken</v>
          </cell>
          <cell r="H769" t="str">
            <v>Keuken</v>
          </cell>
          <cell r="I769" t="str">
            <v>Linoleum</v>
          </cell>
          <cell r="J769">
            <v>2.5</v>
          </cell>
          <cell r="K769"/>
          <cell r="L769">
            <v>18153</v>
          </cell>
          <cell r="M769" t="str">
            <v>nvt</v>
          </cell>
          <cell r="N769"/>
          <cell r="O769">
            <v>153</v>
          </cell>
          <cell r="P769">
            <v>1</v>
          </cell>
          <cell r="Q769">
            <v>0</v>
          </cell>
          <cell r="R769">
            <v>0</v>
          </cell>
          <cell r="S769">
            <v>0</v>
          </cell>
        </row>
        <row r="770">
          <cell r="D770" t="str">
            <v>Horizon Prisma Omega gebouw L</v>
          </cell>
          <cell r="E770" t="str">
            <v>bgg</v>
          </cell>
          <cell r="F770" t="str">
            <v>C0.19</v>
          </cell>
          <cell r="G770" t="str">
            <v>Multifunctioneleruimte</v>
          </cell>
          <cell r="H770" t="str">
            <v>aula, gemeenschappelijke ruimte, bibliotheek</v>
          </cell>
          <cell r="I770" t="str">
            <v>Linoleum</v>
          </cell>
          <cell r="J770">
            <v>34.700000000000003</v>
          </cell>
          <cell r="K770"/>
          <cell r="L770">
            <v>2153</v>
          </cell>
          <cell r="M770">
            <v>102</v>
          </cell>
          <cell r="N770"/>
          <cell r="O770">
            <v>153</v>
          </cell>
          <cell r="P770">
            <v>1</v>
          </cell>
          <cell r="Q770">
            <v>0</v>
          </cell>
          <cell r="R770">
            <v>0</v>
          </cell>
          <cell r="S770">
            <v>0</v>
          </cell>
        </row>
        <row r="771">
          <cell r="D771" t="str">
            <v>Horizon Prisma Omega gebouw L</v>
          </cell>
          <cell r="E771" t="str">
            <v>bgg</v>
          </cell>
          <cell r="F771" t="str">
            <v>C0.20</v>
          </cell>
          <cell r="G771" t="str">
            <v>Wasruimte</v>
          </cell>
          <cell r="H771" t="str">
            <v>sanitaire ruimte (toilet-/doucheruimte)</v>
          </cell>
          <cell r="I771" t="str">
            <v>Linoleum</v>
          </cell>
          <cell r="J771">
            <v>6.2</v>
          </cell>
          <cell r="K771"/>
          <cell r="L771">
            <v>4255</v>
          </cell>
          <cell r="M771">
            <v>104</v>
          </cell>
          <cell r="N771"/>
          <cell r="O771">
            <v>255</v>
          </cell>
          <cell r="P771">
            <v>1</v>
          </cell>
          <cell r="Q771">
            <v>0</v>
          </cell>
          <cell r="R771">
            <v>0</v>
          </cell>
          <cell r="S771">
            <v>0</v>
          </cell>
        </row>
        <row r="772">
          <cell r="D772" t="str">
            <v>Horizon Prisma Omega gebouw L</v>
          </cell>
          <cell r="E772" t="str">
            <v>bgg</v>
          </cell>
          <cell r="F772" t="str">
            <v>C0.21</v>
          </cell>
          <cell r="G772" t="str">
            <v>Toilet</v>
          </cell>
          <cell r="H772" t="str">
            <v>sanitaire ruimte (toilet-/doucheruimte)</v>
          </cell>
          <cell r="I772" t="str">
            <v>Steen</v>
          </cell>
          <cell r="J772">
            <v>2</v>
          </cell>
          <cell r="K772"/>
          <cell r="L772">
            <v>4153</v>
          </cell>
          <cell r="M772">
            <v>104</v>
          </cell>
          <cell r="N772"/>
          <cell r="O772">
            <v>153</v>
          </cell>
          <cell r="P772">
            <v>1</v>
          </cell>
          <cell r="Q772">
            <v>0</v>
          </cell>
          <cell r="R772">
            <v>0</v>
          </cell>
          <cell r="S772">
            <v>0</v>
          </cell>
        </row>
        <row r="773">
          <cell r="D773" t="str">
            <v>Horizon Prisma Omega gebouw L</v>
          </cell>
          <cell r="E773" t="str">
            <v>bgg</v>
          </cell>
          <cell r="F773" t="str">
            <v>C0.22</v>
          </cell>
          <cell r="G773" t="str">
            <v>Douche</v>
          </cell>
          <cell r="H773" t="str">
            <v>sanitaire ruimte (toilet-/doucheruimte)</v>
          </cell>
          <cell r="I773" t="str">
            <v>Steen</v>
          </cell>
          <cell r="J773">
            <v>2</v>
          </cell>
          <cell r="K773"/>
          <cell r="L773">
            <v>4255</v>
          </cell>
          <cell r="M773">
            <v>104</v>
          </cell>
          <cell r="N773"/>
          <cell r="O773">
            <v>255</v>
          </cell>
          <cell r="P773">
            <v>1</v>
          </cell>
          <cell r="Q773">
            <v>0</v>
          </cell>
          <cell r="R773">
            <v>0</v>
          </cell>
          <cell r="S773">
            <v>0</v>
          </cell>
        </row>
        <row r="774">
          <cell r="D774" t="str">
            <v>Horizon Prisma Omega gebouw L</v>
          </cell>
          <cell r="E774" t="str">
            <v>bgg</v>
          </cell>
          <cell r="F774" t="str">
            <v>C0.23</v>
          </cell>
          <cell r="G774" t="str">
            <v>Douche</v>
          </cell>
          <cell r="H774" t="str">
            <v>sanitaire ruimte (toilet-/doucheruimte)</v>
          </cell>
          <cell r="I774" t="str">
            <v>Steen</v>
          </cell>
          <cell r="J774">
            <v>2</v>
          </cell>
          <cell r="K774"/>
          <cell r="L774">
            <v>4255</v>
          </cell>
          <cell r="M774">
            <v>104</v>
          </cell>
          <cell r="N774"/>
          <cell r="O774">
            <v>255</v>
          </cell>
          <cell r="P774">
            <v>1</v>
          </cell>
          <cell r="Q774">
            <v>0</v>
          </cell>
          <cell r="R774">
            <v>0</v>
          </cell>
          <cell r="S774">
            <v>0</v>
          </cell>
        </row>
        <row r="775">
          <cell r="D775" t="str">
            <v>Horizon Prisma Omega gebouw L</v>
          </cell>
          <cell r="E775" t="str">
            <v>bgg</v>
          </cell>
          <cell r="F775" t="str">
            <v>C0.24</v>
          </cell>
          <cell r="G775" t="str">
            <v>Douche</v>
          </cell>
          <cell r="H775" t="str">
            <v>sanitaire ruimte (toilet-/doucheruimte)</v>
          </cell>
          <cell r="I775" t="str">
            <v>Steen</v>
          </cell>
          <cell r="J775">
            <v>2</v>
          </cell>
          <cell r="K775"/>
          <cell r="L775">
            <v>4255</v>
          </cell>
          <cell r="M775">
            <v>104</v>
          </cell>
          <cell r="N775"/>
          <cell r="O775">
            <v>255</v>
          </cell>
          <cell r="P775">
            <v>1</v>
          </cell>
          <cell r="Q775">
            <v>0</v>
          </cell>
          <cell r="R775">
            <v>0</v>
          </cell>
          <cell r="S775">
            <v>0</v>
          </cell>
        </row>
        <row r="776">
          <cell r="D776" t="str">
            <v>Horizon Prisma Omega gebouw L</v>
          </cell>
          <cell r="E776" t="str">
            <v>bgg</v>
          </cell>
          <cell r="F776" t="str">
            <v>C0.25</v>
          </cell>
          <cell r="G776" t="str">
            <v>Douche</v>
          </cell>
          <cell r="H776" t="str">
            <v>sanitaire ruimte (toilet-/doucheruimte)</v>
          </cell>
          <cell r="I776" t="str">
            <v>Steen</v>
          </cell>
          <cell r="J776">
            <v>2</v>
          </cell>
          <cell r="K776"/>
          <cell r="L776">
            <v>4255</v>
          </cell>
          <cell r="M776">
            <v>104</v>
          </cell>
          <cell r="N776"/>
          <cell r="O776">
            <v>255</v>
          </cell>
          <cell r="P776">
            <v>1</v>
          </cell>
          <cell r="Q776">
            <v>0</v>
          </cell>
          <cell r="R776">
            <v>0</v>
          </cell>
          <cell r="S776">
            <v>0</v>
          </cell>
        </row>
        <row r="777">
          <cell r="D777" t="str">
            <v>Horizon Prisma Omega gebouw L</v>
          </cell>
          <cell r="E777" t="str">
            <v>bgg</v>
          </cell>
          <cell r="F777" t="str">
            <v>C0.26</v>
          </cell>
          <cell r="G777" t="str">
            <v>Toilet</v>
          </cell>
          <cell r="H777" t="str">
            <v>sanitaire ruimte (toilet-/doucheruimte)</v>
          </cell>
          <cell r="I777" t="str">
            <v>Steen</v>
          </cell>
          <cell r="J777">
            <v>1.9</v>
          </cell>
          <cell r="K777"/>
          <cell r="L777">
            <v>4153</v>
          </cell>
          <cell r="M777">
            <v>104</v>
          </cell>
          <cell r="N777"/>
          <cell r="O777">
            <v>153</v>
          </cell>
          <cell r="P777">
            <v>1</v>
          </cell>
          <cell r="Q777">
            <v>0</v>
          </cell>
          <cell r="R777">
            <v>0</v>
          </cell>
          <cell r="S777">
            <v>0</v>
          </cell>
        </row>
        <row r="778">
          <cell r="D778" t="str">
            <v>Horizon Prisma Omega gebouw L</v>
          </cell>
          <cell r="E778" t="str">
            <v>bgg</v>
          </cell>
          <cell r="F778" t="str">
            <v>C0.27</v>
          </cell>
          <cell r="G778" t="str">
            <v>werkkast</v>
          </cell>
          <cell r="H778" t="str">
            <v>niet van toepassing</v>
          </cell>
          <cell r="I778"/>
          <cell r="J778"/>
          <cell r="K778"/>
          <cell r="L778" t="str">
            <v>nvt</v>
          </cell>
          <cell r="M778">
            <v>0</v>
          </cell>
          <cell r="N778"/>
          <cell r="O778">
            <v>0</v>
          </cell>
          <cell r="P778">
            <v>1</v>
          </cell>
          <cell r="Q778">
            <v>0</v>
          </cell>
          <cell r="R778">
            <v>0</v>
          </cell>
          <cell r="S778">
            <v>0</v>
          </cell>
        </row>
        <row r="779">
          <cell r="D779" t="str">
            <v>Horizon Prisma Omega gebouw L</v>
          </cell>
          <cell r="E779" t="str">
            <v>bgg</v>
          </cell>
          <cell r="F779" t="str">
            <v>D0.01</v>
          </cell>
          <cell r="G779" t="str">
            <v>Entreehal</v>
          </cell>
          <cell r="H779" t="str">
            <v>entree, gang, hal, repro, kopieer, was/droogruimte</v>
          </cell>
          <cell r="I779" t="str">
            <v>Inloopmat/Steen</v>
          </cell>
          <cell r="J779">
            <v>38.1</v>
          </cell>
          <cell r="K779"/>
          <cell r="L779">
            <v>3153</v>
          </cell>
          <cell r="M779">
            <v>103</v>
          </cell>
          <cell r="N779"/>
          <cell r="O779">
            <v>153</v>
          </cell>
          <cell r="P779">
            <v>1</v>
          </cell>
          <cell r="Q779">
            <v>0</v>
          </cell>
          <cell r="R779">
            <v>0</v>
          </cell>
          <cell r="S779">
            <v>0</v>
          </cell>
        </row>
        <row r="780">
          <cell r="D780" t="str">
            <v>Horizon Prisma Omega gebouw L</v>
          </cell>
          <cell r="E780" t="str">
            <v>1e</v>
          </cell>
          <cell r="F780" t="str">
            <v>E1.01</v>
          </cell>
          <cell r="G780" t="str">
            <v>vergaderruimte</v>
          </cell>
          <cell r="H780" t="str">
            <v>administratieve -, personeels- en vergaderruimte</v>
          </cell>
          <cell r="I780" t="str">
            <v>Linoleum</v>
          </cell>
          <cell r="J780">
            <v>22.2</v>
          </cell>
          <cell r="K780"/>
          <cell r="L780">
            <v>1153</v>
          </cell>
          <cell r="M780">
            <v>101</v>
          </cell>
          <cell r="N780"/>
          <cell r="O780">
            <v>153</v>
          </cell>
          <cell r="P780">
            <v>1</v>
          </cell>
          <cell r="Q780">
            <v>0</v>
          </cell>
          <cell r="R780">
            <v>0</v>
          </cell>
          <cell r="S780">
            <v>0</v>
          </cell>
        </row>
        <row r="781">
          <cell r="D781" t="str">
            <v>Horizon Prisma Omega gebouw L</v>
          </cell>
          <cell r="E781" t="str">
            <v>1e</v>
          </cell>
          <cell r="F781" t="str">
            <v>E1.02</v>
          </cell>
          <cell r="G781" t="str">
            <v>vergaderruimte</v>
          </cell>
          <cell r="H781" t="str">
            <v>administratieve -, personeels- en vergaderruimte</v>
          </cell>
          <cell r="I781" t="str">
            <v>Linoleum</v>
          </cell>
          <cell r="J781">
            <v>21.5</v>
          </cell>
          <cell r="K781"/>
          <cell r="L781">
            <v>1153</v>
          </cell>
          <cell r="M781">
            <v>101</v>
          </cell>
          <cell r="N781"/>
          <cell r="O781">
            <v>153</v>
          </cell>
          <cell r="P781">
            <v>1</v>
          </cell>
          <cell r="Q781">
            <v>0</v>
          </cell>
          <cell r="R781">
            <v>0</v>
          </cell>
          <cell r="S781">
            <v>0</v>
          </cell>
        </row>
        <row r="782">
          <cell r="D782" t="str">
            <v>Horizon Prisma Omega gebouw L</v>
          </cell>
          <cell r="E782" t="str">
            <v>1e</v>
          </cell>
          <cell r="F782" t="str">
            <v>E1.03</v>
          </cell>
          <cell r="G782" t="str">
            <v>kantoor</v>
          </cell>
          <cell r="H782" t="str">
            <v>administratieve -, personeels- en vergaderruimte</v>
          </cell>
          <cell r="I782" t="str">
            <v>Linoleum</v>
          </cell>
          <cell r="J782">
            <v>8.6</v>
          </cell>
          <cell r="K782"/>
          <cell r="L782">
            <v>1102</v>
          </cell>
          <cell r="M782">
            <v>101</v>
          </cell>
          <cell r="N782"/>
          <cell r="O782">
            <v>102</v>
          </cell>
          <cell r="P782">
            <v>1</v>
          </cell>
          <cell r="Q782">
            <v>0</v>
          </cell>
          <cell r="R782">
            <v>0</v>
          </cell>
          <cell r="S782">
            <v>0</v>
          </cell>
        </row>
        <row r="783">
          <cell r="D783" t="str">
            <v>Horizon Prisma Omega gebouw L</v>
          </cell>
          <cell r="E783" t="str">
            <v>1e</v>
          </cell>
          <cell r="F783" t="str">
            <v>E1.04</v>
          </cell>
          <cell r="G783" t="str">
            <v>Voorruimte Toilet</v>
          </cell>
          <cell r="H783" t="str">
            <v>sanitaire ruimte (toilet-/doucheruimte)</v>
          </cell>
          <cell r="I783" t="str">
            <v>Steen</v>
          </cell>
          <cell r="J783">
            <v>3.8</v>
          </cell>
          <cell r="K783"/>
          <cell r="L783">
            <v>4153</v>
          </cell>
          <cell r="M783">
            <v>104</v>
          </cell>
          <cell r="N783"/>
          <cell r="O783">
            <v>153</v>
          </cell>
          <cell r="P783">
            <v>1</v>
          </cell>
          <cell r="Q783">
            <v>0</v>
          </cell>
          <cell r="R783">
            <v>0</v>
          </cell>
          <cell r="S783">
            <v>0</v>
          </cell>
        </row>
        <row r="784">
          <cell r="D784" t="str">
            <v>Horizon Prisma Omega gebouw L</v>
          </cell>
          <cell r="E784" t="str">
            <v>1e</v>
          </cell>
          <cell r="F784" t="str">
            <v>E1.05</v>
          </cell>
          <cell r="G784" t="str">
            <v>Toilet</v>
          </cell>
          <cell r="H784" t="str">
            <v>sanitaire ruimte (toilet-/doucheruimte)</v>
          </cell>
          <cell r="I784" t="str">
            <v>Steen</v>
          </cell>
          <cell r="J784">
            <v>1.7</v>
          </cell>
          <cell r="K784"/>
          <cell r="L784">
            <v>4153</v>
          </cell>
          <cell r="M784">
            <v>104</v>
          </cell>
          <cell r="N784"/>
          <cell r="O784">
            <v>153</v>
          </cell>
          <cell r="P784">
            <v>1</v>
          </cell>
          <cell r="Q784">
            <v>0</v>
          </cell>
          <cell r="R784">
            <v>0</v>
          </cell>
          <cell r="S784">
            <v>0</v>
          </cell>
        </row>
        <row r="785">
          <cell r="D785" t="str">
            <v>Horizon Prisma Omega gebouw L</v>
          </cell>
          <cell r="E785" t="str">
            <v>1e</v>
          </cell>
          <cell r="F785" t="str">
            <v>E1.06</v>
          </cell>
          <cell r="G785" t="str">
            <v>Toilet</v>
          </cell>
          <cell r="H785" t="str">
            <v>sanitaire ruimte (toilet-/doucheruimte)</v>
          </cell>
          <cell r="I785" t="str">
            <v>Steen</v>
          </cell>
          <cell r="J785">
            <v>1.7</v>
          </cell>
          <cell r="K785"/>
          <cell r="L785">
            <v>4153</v>
          </cell>
          <cell r="M785">
            <v>104</v>
          </cell>
          <cell r="N785"/>
          <cell r="O785">
            <v>153</v>
          </cell>
          <cell r="P785">
            <v>1</v>
          </cell>
          <cell r="Q785">
            <v>0</v>
          </cell>
          <cell r="R785">
            <v>0</v>
          </cell>
          <cell r="S785">
            <v>0</v>
          </cell>
        </row>
        <row r="786">
          <cell r="D786" t="str">
            <v>Horizon Prisma Omega gebouw L</v>
          </cell>
          <cell r="E786" t="str">
            <v>1e</v>
          </cell>
          <cell r="F786" t="str">
            <v>E1.07</v>
          </cell>
          <cell r="G786" t="str">
            <v xml:space="preserve">Techniek </v>
          </cell>
          <cell r="H786" t="str">
            <v>niet van toepassing</v>
          </cell>
          <cell r="I786"/>
          <cell r="J786"/>
          <cell r="K786"/>
          <cell r="L786" t="str">
            <v>nvt</v>
          </cell>
          <cell r="M786">
            <v>0</v>
          </cell>
          <cell r="N786"/>
          <cell r="O786">
            <v>0</v>
          </cell>
          <cell r="P786">
            <v>1</v>
          </cell>
          <cell r="Q786">
            <v>0</v>
          </cell>
          <cell r="R786">
            <v>0</v>
          </cell>
          <cell r="S786">
            <v>0</v>
          </cell>
        </row>
        <row r="787">
          <cell r="D787" t="str">
            <v>Horizon Prisma Omega gebouw L</v>
          </cell>
          <cell r="E787" t="str">
            <v>1e</v>
          </cell>
          <cell r="F787" t="str">
            <v>E1.08</v>
          </cell>
          <cell r="G787" t="str">
            <v>kantoor</v>
          </cell>
          <cell r="H787" t="str">
            <v>administratieve -, personeels- en vergaderruimte</v>
          </cell>
          <cell r="I787" t="str">
            <v>Linoleum</v>
          </cell>
          <cell r="J787">
            <v>8.4</v>
          </cell>
          <cell r="K787"/>
          <cell r="L787">
            <v>1102</v>
          </cell>
          <cell r="M787">
            <v>101</v>
          </cell>
          <cell r="N787"/>
          <cell r="O787">
            <v>102</v>
          </cell>
          <cell r="P787">
            <v>1</v>
          </cell>
          <cell r="Q787">
            <v>0</v>
          </cell>
          <cell r="R787">
            <v>0</v>
          </cell>
          <cell r="S787">
            <v>0</v>
          </cell>
        </row>
        <row r="788">
          <cell r="D788" t="str">
            <v>Horizon Prisma Omega gebouw L</v>
          </cell>
          <cell r="E788" t="str">
            <v>1e</v>
          </cell>
          <cell r="F788" t="str">
            <v>E1.09</v>
          </cell>
          <cell r="G788" t="str">
            <v>Verkeersruimte/Gang</v>
          </cell>
          <cell r="H788" t="str">
            <v>entree, gang, hal, repro, kopieer, was/droogruimte</v>
          </cell>
          <cell r="I788" t="str">
            <v>Linoleum</v>
          </cell>
          <cell r="J788">
            <v>120</v>
          </cell>
          <cell r="K788"/>
          <cell r="L788">
            <v>3153</v>
          </cell>
          <cell r="M788">
            <v>103</v>
          </cell>
          <cell r="N788"/>
          <cell r="O788">
            <v>153</v>
          </cell>
          <cell r="P788">
            <v>1</v>
          </cell>
          <cell r="Q788">
            <v>0</v>
          </cell>
          <cell r="R788">
            <v>0</v>
          </cell>
          <cell r="S788">
            <v>0</v>
          </cell>
        </row>
        <row r="789">
          <cell r="D789" t="str">
            <v>Horizon Prisma Gebouw Onderhoud gebouw G</v>
          </cell>
          <cell r="E789" t="str">
            <v>bgg</v>
          </cell>
          <cell r="F789" t="str">
            <v>G0.001</v>
          </cell>
          <cell r="G789" t="str">
            <v>Gang</v>
          </cell>
          <cell r="H789" t="str">
            <v>entree, gang, hal, repro, kopieer, was/droogruimte</v>
          </cell>
          <cell r="I789" t="str">
            <v>tegel</v>
          </cell>
          <cell r="J789">
            <v>11.5</v>
          </cell>
          <cell r="K789"/>
          <cell r="L789">
            <v>3153</v>
          </cell>
          <cell r="M789">
            <v>103</v>
          </cell>
          <cell r="N789"/>
          <cell r="O789">
            <v>153</v>
          </cell>
          <cell r="P789">
            <v>1</v>
          </cell>
          <cell r="Q789">
            <v>0</v>
          </cell>
          <cell r="R789">
            <v>0</v>
          </cell>
          <cell r="S789">
            <v>0</v>
          </cell>
        </row>
        <row r="790">
          <cell r="D790" t="str">
            <v>Horizon Prisma Gebouw Onderhoud gebouw G</v>
          </cell>
          <cell r="E790" t="str">
            <v>bgg</v>
          </cell>
          <cell r="F790" t="str">
            <v>G0.002</v>
          </cell>
          <cell r="G790" t="str">
            <v xml:space="preserve">Kantine </v>
          </cell>
          <cell r="H790" t="str">
            <v>kantine, restaurant</v>
          </cell>
          <cell r="I790" t="str">
            <v>tegel</v>
          </cell>
          <cell r="J790">
            <v>16.600000000000001</v>
          </cell>
          <cell r="K790"/>
          <cell r="L790">
            <v>11255</v>
          </cell>
          <cell r="M790">
            <v>105</v>
          </cell>
          <cell r="N790"/>
          <cell r="O790">
            <v>255</v>
          </cell>
          <cell r="P790">
            <v>1</v>
          </cell>
          <cell r="Q790">
            <v>0</v>
          </cell>
          <cell r="R790">
            <v>0</v>
          </cell>
          <cell r="S790">
            <v>0</v>
          </cell>
        </row>
        <row r="791">
          <cell r="D791" t="str">
            <v>Horizon Prisma Gebouw Onderhoud gebouw G</v>
          </cell>
          <cell r="E791" t="str">
            <v>bgg</v>
          </cell>
          <cell r="F791" t="str">
            <v>G0.006</v>
          </cell>
          <cell r="G791" t="str">
            <v>Toilet</v>
          </cell>
          <cell r="H791" t="str">
            <v>sanitaire ruimte (toilet-/doucheruimte)</v>
          </cell>
          <cell r="I791" t="str">
            <v>tegel</v>
          </cell>
          <cell r="J791">
            <v>1.8</v>
          </cell>
          <cell r="K791"/>
          <cell r="L791">
            <v>4153</v>
          </cell>
          <cell r="M791">
            <v>104</v>
          </cell>
          <cell r="N791"/>
          <cell r="O791">
            <v>153</v>
          </cell>
          <cell r="P791">
            <v>1</v>
          </cell>
          <cell r="Q791">
            <v>0</v>
          </cell>
          <cell r="R791">
            <v>0</v>
          </cell>
          <cell r="S791">
            <v>0</v>
          </cell>
        </row>
        <row r="792">
          <cell r="D792" t="str">
            <v>Horizon Prisma Gebouw Onderhoud gebouw G</v>
          </cell>
          <cell r="E792" t="str">
            <v>bgg</v>
          </cell>
          <cell r="F792" t="str">
            <v>G0.008</v>
          </cell>
          <cell r="G792" t="str">
            <v>Pantry/Doka</v>
          </cell>
          <cell r="H792" t="str">
            <v>pantry</v>
          </cell>
          <cell r="I792" t="str">
            <v>tegel</v>
          </cell>
          <cell r="J792">
            <v>6.8</v>
          </cell>
          <cell r="K792"/>
          <cell r="L792">
            <v>5153</v>
          </cell>
          <cell r="M792">
            <v>105</v>
          </cell>
          <cell r="N792"/>
          <cell r="O792">
            <v>153</v>
          </cell>
          <cell r="P792">
            <v>1</v>
          </cell>
          <cell r="Q792">
            <v>0</v>
          </cell>
          <cell r="R792">
            <v>0</v>
          </cell>
          <cell r="S792">
            <v>0</v>
          </cell>
        </row>
        <row r="793">
          <cell r="D793" t="str">
            <v>Horizon Prisma Gebouw Onderhoud gebouw G</v>
          </cell>
          <cell r="E793" t="str">
            <v>bgg</v>
          </cell>
          <cell r="F793" t="str">
            <v>G0.015</v>
          </cell>
          <cell r="G793" t="str">
            <v>Toilet</v>
          </cell>
          <cell r="H793" t="str">
            <v>sanitaire ruimte (toilet-/doucheruimte)</v>
          </cell>
          <cell r="I793" t="str">
            <v>tegel</v>
          </cell>
          <cell r="J793">
            <v>1.8</v>
          </cell>
          <cell r="K793"/>
          <cell r="L793">
            <v>4153</v>
          </cell>
          <cell r="M793">
            <v>104</v>
          </cell>
          <cell r="N793"/>
          <cell r="O793">
            <v>153</v>
          </cell>
          <cell r="P793">
            <v>1</v>
          </cell>
          <cell r="Q793">
            <v>0</v>
          </cell>
          <cell r="R793">
            <v>0</v>
          </cell>
          <cell r="S793">
            <v>0</v>
          </cell>
        </row>
        <row r="794">
          <cell r="D794" t="str">
            <v>Horizon Prisma Multifunctioneel gebouw F</v>
          </cell>
          <cell r="E794" t="str">
            <v>bgg</v>
          </cell>
          <cell r="F794" t="str">
            <v>F0.01</v>
          </cell>
          <cell r="G794" t="str">
            <v>vergaderruimte</v>
          </cell>
          <cell r="H794" t="str">
            <v>administratieve -, personeels- en vergaderruimte</v>
          </cell>
          <cell r="I794" t="str">
            <v>linoleum</v>
          </cell>
          <cell r="J794">
            <v>103.7</v>
          </cell>
          <cell r="K794"/>
          <cell r="L794">
            <v>1153</v>
          </cell>
          <cell r="M794">
            <v>101</v>
          </cell>
          <cell r="N794"/>
          <cell r="O794">
            <v>153</v>
          </cell>
          <cell r="P794">
            <v>1</v>
          </cell>
          <cell r="Q794">
            <v>0</v>
          </cell>
          <cell r="R794">
            <v>0</v>
          </cell>
          <cell r="S794">
            <v>0</v>
          </cell>
        </row>
        <row r="795">
          <cell r="D795" t="str">
            <v>Horizon Prisma Multifunctioneel gebouw F</v>
          </cell>
          <cell r="E795" t="str">
            <v>bgg</v>
          </cell>
          <cell r="F795" t="str">
            <v>F0.02</v>
          </cell>
          <cell r="G795" t="str">
            <v>Berging</v>
          </cell>
          <cell r="H795" t="str">
            <v>niet van toepassing</v>
          </cell>
          <cell r="I795"/>
          <cell r="J795"/>
          <cell r="K795"/>
          <cell r="L795" t="str">
            <v>nvt</v>
          </cell>
          <cell r="M795">
            <v>0</v>
          </cell>
          <cell r="N795"/>
          <cell r="O795">
            <v>0</v>
          </cell>
          <cell r="P795">
            <v>1</v>
          </cell>
          <cell r="Q795">
            <v>0</v>
          </cell>
          <cell r="R795">
            <v>0</v>
          </cell>
          <cell r="S795">
            <v>0</v>
          </cell>
        </row>
        <row r="796">
          <cell r="D796" t="str">
            <v>Horizon Prisma Multifunctioneel gebouw F</v>
          </cell>
          <cell r="E796" t="str">
            <v>bgg</v>
          </cell>
          <cell r="F796" t="str">
            <v>F0.03</v>
          </cell>
          <cell r="G796" t="str">
            <v>Berging</v>
          </cell>
          <cell r="H796" t="str">
            <v>niet van toepassing</v>
          </cell>
          <cell r="I796"/>
          <cell r="J796"/>
          <cell r="K796"/>
          <cell r="L796" t="str">
            <v>nvt</v>
          </cell>
          <cell r="M796">
            <v>0</v>
          </cell>
          <cell r="N796"/>
          <cell r="O796">
            <v>0</v>
          </cell>
          <cell r="P796">
            <v>1</v>
          </cell>
          <cell r="Q796">
            <v>0</v>
          </cell>
          <cell r="R796">
            <v>0</v>
          </cell>
          <cell r="S796">
            <v>0</v>
          </cell>
        </row>
        <row r="797">
          <cell r="D797" t="str">
            <v>Horizon Prisma Multifunctioneel gebouw F</v>
          </cell>
          <cell r="E797" t="str">
            <v>bgg</v>
          </cell>
          <cell r="F797" t="str">
            <v>F0.04</v>
          </cell>
          <cell r="G797" t="str">
            <v>kantoor</v>
          </cell>
          <cell r="H797" t="str">
            <v>administratieve -, personeels- en vergaderruimte</v>
          </cell>
          <cell r="I797" t="str">
            <v>linoleum</v>
          </cell>
          <cell r="J797">
            <v>9.8000000000000007</v>
          </cell>
          <cell r="K797"/>
          <cell r="L797">
            <v>1102</v>
          </cell>
          <cell r="M797">
            <v>101</v>
          </cell>
          <cell r="N797"/>
          <cell r="O797">
            <v>102</v>
          </cell>
          <cell r="P797">
            <v>1</v>
          </cell>
          <cell r="Q797">
            <v>0</v>
          </cell>
          <cell r="R797">
            <v>0</v>
          </cell>
          <cell r="S797">
            <v>0</v>
          </cell>
        </row>
        <row r="798">
          <cell r="D798" t="str">
            <v>Horizon Prisma Multifunctioneel gebouw F</v>
          </cell>
          <cell r="E798" t="str">
            <v>bgg</v>
          </cell>
          <cell r="F798" t="str">
            <v>F0.05</v>
          </cell>
          <cell r="G798" t="str">
            <v>toilet</v>
          </cell>
          <cell r="H798" t="str">
            <v>sanitaire ruimte (toilet-/doucheruimte)</v>
          </cell>
          <cell r="I798" t="str">
            <v>steen</v>
          </cell>
          <cell r="J798">
            <v>1.5</v>
          </cell>
          <cell r="K798"/>
          <cell r="L798">
            <v>4153</v>
          </cell>
          <cell r="M798">
            <v>104</v>
          </cell>
          <cell r="N798"/>
          <cell r="O798">
            <v>153</v>
          </cell>
          <cell r="P798">
            <v>1</v>
          </cell>
          <cell r="Q798">
            <v>0</v>
          </cell>
          <cell r="R798">
            <v>0</v>
          </cell>
          <cell r="S798">
            <v>0</v>
          </cell>
        </row>
        <row r="799">
          <cell r="D799" t="str">
            <v>Horizon Prisma Multifunctioneel gebouw F</v>
          </cell>
          <cell r="E799" t="str">
            <v>bgg</v>
          </cell>
          <cell r="F799" t="str">
            <v>F0.06</v>
          </cell>
          <cell r="G799" t="str">
            <v>urinoirs</v>
          </cell>
          <cell r="H799" t="str">
            <v>sanitaire ruimte (toilet-/doucheruimte)</v>
          </cell>
          <cell r="I799" t="str">
            <v>steen</v>
          </cell>
          <cell r="J799">
            <v>4.7</v>
          </cell>
          <cell r="K799"/>
          <cell r="L799">
            <v>4153</v>
          </cell>
          <cell r="M799">
            <v>104</v>
          </cell>
          <cell r="N799"/>
          <cell r="O799">
            <v>153</v>
          </cell>
          <cell r="P799">
            <v>1</v>
          </cell>
          <cell r="Q799">
            <v>0</v>
          </cell>
          <cell r="R799">
            <v>0</v>
          </cell>
          <cell r="S799">
            <v>0</v>
          </cell>
        </row>
        <row r="800">
          <cell r="D800" t="str">
            <v>Horizon Prisma Multifunctioneel gebouw F</v>
          </cell>
          <cell r="E800" t="str">
            <v>bgg</v>
          </cell>
          <cell r="F800" t="str">
            <v>F0.07</v>
          </cell>
          <cell r="G800" t="str">
            <v>toilet</v>
          </cell>
          <cell r="H800" t="str">
            <v>sanitaire ruimte (toilet-/doucheruimte)</v>
          </cell>
          <cell r="I800" t="str">
            <v>steen</v>
          </cell>
          <cell r="J800">
            <v>1.5</v>
          </cell>
          <cell r="K800"/>
          <cell r="L800">
            <v>4153</v>
          </cell>
          <cell r="M800">
            <v>104</v>
          </cell>
          <cell r="N800"/>
          <cell r="O800">
            <v>153</v>
          </cell>
          <cell r="P800">
            <v>1</v>
          </cell>
          <cell r="Q800">
            <v>0</v>
          </cell>
          <cell r="R800">
            <v>0</v>
          </cell>
          <cell r="S800">
            <v>0</v>
          </cell>
        </row>
        <row r="801">
          <cell r="D801" t="str">
            <v>Horizon Prisma Multifunctioneel gebouw F</v>
          </cell>
          <cell r="E801" t="str">
            <v>bgg</v>
          </cell>
          <cell r="F801" t="str">
            <v>F0.08</v>
          </cell>
          <cell r="G801" t="str">
            <v>kleedruimte 2</v>
          </cell>
          <cell r="H801" t="str">
            <v>kleedruimten</v>
          </cell>
          <cell r="I801" t="str">
            <v>steen</v>
          </cell>
          <cell r="J801">
            <v>10.1</v>
          </cell>
          <cell r="K801"/>
          <cell r="L801">
            <v>13153</v>
          </cell>
          <cell r="M801">
            <v>103</v>
          </cell>
          <cell r="N801"/>
          <cell r="O801">
            <v>153</v>
          </cell>
          <cell r="P801">
            <v>1</v>
          </cell>
          <cell r="Q801">
            <v>0</v>
          </cell>
          <cell r="R801">
            <v>0</v>
          </cell>
          <cell r="S801">
            <v>0</v>
          </cell>
        </row>
        <row r="802">
          <cell r="D802" t="str">
            <v>Horizon Prisma Multifunctioneel gebouw F</v>
          </cell>
          <cell r="E802" t="str">
            <v>bgg</v>
          </cell>
          <cell r="F802" t="str">
            <v>F0.09</v>
          </cell>
          <cell r="G802" t="str">
            <v>kleedruimte 1</v>
          </cell>
          <cell r="H802" t="str">
            <v>kleedruimten</v>
          </cell>
          <cell r="I802" t="str">
            <v>steen</v>
          </cell>
          <cell r="J802">
            <v>10.1</v>
          </cell>
          <cell r="K802"/>
          <cell r="L802">
            <v>13153</v>
          </cell>
          <cell r="M802">
            <v>103</v>
          </cell>
          <cell r="N802"/>
          <cell r="O802">
            <v>153</v>
          </cell>
          <cell r="P802">
            <v>1</v>
          </cell>
          <cell r="Q802">
            <v>0</v>
          </cell>
          <cell r="R802">
            <v>0</v>
          </cell>
          <cell r="S802">
            <v>0</v>
          </cell>
        </row>
        <row r="803">
          <cell r="D803" t="str">
            <v>Horizon Prisma Multifunctioneel gebouw F</v>
          </cell>
          <cell r="E803" t="str">
            <v>bgg</v>
          </cell>
          <cell r="F803" t="str">
            <v>F0.10</v>
          </cell>
          <cell r="G803" t="str">
            <v>doucheruimte</v>
          </cell>
          <cell r="H803" t="str">
            <v>sanitaire ruimte (toilet-/doucheruimte)</v>
          </cell>
          <cell r="I803" t="str">
            <v>steen</v>
          </cell>
          <cell r="J803">
            <v>5.6</v>
          </cell>
          <cell r="K803"/>
          <cell r="L803">
            <v>4153</v>
          </cell>
          <cell r="M803">
            <v>104</v>
          </cell>
          <cell r="N803"/>
          <cell r="O803">
            <v>153</v>
          </cell>
          <cell r="P803">
            <v>1</v>
          </cell>
          <cell r="Q803">
            <v>0</v>
          </cell>
          <cell r="R803">
            <v>0</v>
          </cell>
          <cell r="S803">
            <v>0</v>
          </cell>
        </row>
        <row r="804">
          <cell r="D804" t="str">
            <v>Horizon Prisma Multifunctioneel gebouw F</v>
          </cell>
          <cell r="E804" t="str">
            <v>bgg</v>
          </cell>
          <cell r="F804" t="str">
            <v>F0.11</v>
          </cell>
          <cell r="G804" t="str">
            <v>doucheruimte</v>
          </cell>
          <cell r="H804" t="str">
            <v>sanitaire ruimte (toilet-/doucheruimte)</v>
          </cell>
          <cell r="I804" t="str">
            <v>steen</v>
          </cell>
          <cell r="J804">
            <v>6.6</v>
          </cell>
          <cell r="K804"/>
          <cell r="L804">
            <v>4153</v>
          </cell>
          <cell r="M804">
            <v>104</v>
          </cell>
          <cell r="N804"/>
          <cell r="O804">
            <v>153</v>
          </cell>
          <cell r="P804">
            <v>1</v>
          </cell>
          <cell r="Q804">
            <v>0</v>
          </cell>
          <cell r="R804">
            <v>0</v>
          </cell>
          <cell r="S804">
            <v>0</v>
          </cell>
        </row>
        <row r="805">
          <cell r="D805" t="str">
            <v>Horizon Prisma Multifunctioneel gebouw F</v>
          </cell>
          <cell r="E805" t="str">
            <v>bgg</v>
          </cell>
          <cell r="F805" t="str">
            <v>F0.12-13</v>
          </cell>
          <cell r="G805" t="str">
            <v>Sauna</v>
          </cell>
          <cell r="H805" t="str">
            <v>niet van toepassing</v>
          </cell>
          <cell r="I805" t="str">
            <v>steen</v>
          </cell>
          <cell r="J805"/>
          <cell r="K805"/>
          <cell r="L805" t="str">
            <v>nvt</v>
          </cell>
          <cell r="M805">
            <v>0</v>
          </cell>
          <cell r="N805"/>
          <cell r="O805">
            <v>0</v>
          </cell>
          <cell r="P805">
            <v>1</v>
          </cell>
          <cell r="Q805">
            <v>0</v>
          </cell>
          <cell r="R805">
            <v>0</v>
          </cell>
          <cell r="S805">
            <v>0</v>
          </cell>
        </row>
        <row r="806">
          <cell r="D806" t="str">
            <v>Horizon Prisma Multifunctioneel gebouw F</v>
          </cell>
          <cell r="E806" t="str">
            <v>bgg</v>
          </cell>
          <cell r="F806" t="str">
            <v>F0.14</v>
          </cell>
          <cell r="G806" t="str">
            <v>squasbaan</v>
          </cell>
          <cell r="H806" t="str">
            <v>fiitness</v>
          </cell>
          <cell r="I806" t="str">
            <v>hout</v>
          </cell>
          <cell r="J806">
            <v>62.7</v>
          </cell>
          <cell r="K806"/>
          <cell r="L806">
            <v>15153</v>
          </cell>
          <cell r="M806">
            <v>108</v>
          </cell>
          <cell r="N806"/>
          <cell r="O806">
            <v>153</v>
          </cell>
          <cell r="P806">
            <v>1</v>
          </cell>
          <cell r="Q806">
            <v>0</v>
          </cell>
          <cell r="R806">
            <v>0</v>
          </cell>
          <cell r="S806">
            <v>0</v>
          </cell>
        </row>
        <row r="807">
          <cell r="D807" t="str">
            <v>Horizon Prisma Multifunctioneel gebouw F</v>
          </cell>
          <cell r="E807" t="str">
            <v>bgg</v>
          </cell>
          <cell r="F807" t="str">
            <v>F0.15</v>
          </cell>
          <cell r="G807" t="str">
            <v>sportzaal / aula</v>
          </cell>
          <cell r="H807" t="str">
            <v>gymzaal</v>
          </cell>
          <cell r="I807" t="str">
            <v>sportvloer</v>
          </cell>
          <cell r="J807">
            <v>331.3</v>
          </cell>
          <cell r="K807"/>
          <cell r="L807">
            <v>14153</v>
          </cell>
          <cell r="M807">
            <v>108</v>
          </cell>
          <cell r="N807"/>
          <cell r="O807">
            <v>153</v>
          </cell>
          <cell r="P807">
            <v>1</v>
          </cell>
          <cell r="Q807">
            <v>0</v>
          </cell>
          <cell r="R807">
            <v>0</v>
          </cell>
          <cell r="S807">
            <v>0</v>
          </cell>
        </row>
        <row r="808">
          <cell r="D808" t="str">
            <v>Horizon Prisma Multifunctioneel gebouw F</v>
          </cell>
          <cell r="E808" t="str">
            <v>bgg</v>
          </cell>
          <cell r="F808" t="str">
            <v>F0.16</v>
          </cell>
          <cell r="G808" t="str">
            <v>sparruimte</v>
          </cell>
          <cell r="H808" t="str">
            <v>aula, gemeenschappelijke ruimte, bibliotheek</v>
          </cell>
          <cell r="I808" t="str">
            <v>mat</v>
          </cell>
          <cell r="J808">
            <v>16</v>
          </cell>
          <cell r="K808"/>
          <cell r="L808">
            <v>2153</v>
          </cell>
          <cell r="M808">
            <v>102</v>
          </cell>
          <cell r="N808"/>
          <cell r="O808">
            <v>153</v>
          </cell>
          <cell r="P808">
            <v>1</v>
          </cell>
          <cell r="Q808">
            <v>0</v>
          </cell>
          <cell r="R808">
            <v>0</v>
          </cell>
          <cell r="S808">
            <v>0</v>
          </cell>
        </row>
        <row r="809">
          <cell r="D809" t="str">
            <v>Horizon Prisma Multifunctioneel gebouw F</v>
          </cell>
          <cell r="E809" t="str">
            <v>bgg</v>
          </cell>
          <cell r="F809" t="str">
            <v>F0.17</v>
          </cell>
          <cell r="G809" t="str">
            <v>Berging</v>
          </cell>
          <cell r="H809" t="str">
            <v>niet van toepassing</v>
          </cell>
          <cell r="I809"/>
          <cell r="J809"/>
          <cell r="K809"/>
          <cell r="L809" t="str">
            <v>nvt</v>
          </cell>
          <cell r="M809">
            <v>0</v>
          </cell>
          <cell r="N809"/>
          <cell r="O809">
            <v>0</v>
          </cell>
          <cell r="P809">
            <v>1</v>
          </cell>
          <cell r="Q809">
            <v>0</v>
          </cell>
          <cell r="R809">
            <v>0</v>
          </cell>
          <cell r="S809">
            <v>0</v>
          </cell>
        </row>
        <row r="810">
          <cell r="D810" t="str">
            <v>Horizon Prisma Multifunctioneel gebouw F</v>
          </cell>
          <cell r="E810" t="str">
            <v>bgg</v>
          </cell>
          <cell r="F810" t="str">
            <v>F0.18</v>
          </cell>
          <cell r="G810" t="str">
            <v>Materiaal Berging</v>
          </cell>
          <cell r="H810" t="str">
            <v>niet van toepassing</v>
          </cell>
          <cell r="I810"/>
          <cell r="J810"/>
          <cell r="K810"/>
          <cell r="L810" t="str">
            <v>nvt</v>
          </cell>
          <cell r="M810">
            <v>0</v>
          </cell>
          <cell r="N810"/>
          <cell r="O810">
            <v>0</v>
          </cell>
          <cell r="P810">
            <v>1</v>
          </cell>
          <cell r="Q810">
            <v>0</v>
          </cell>
          <cell r="R810">
            <v>0</v>
          </cell>
          <cell r="S810">
            <v>0</v>
          </cell>
        </row>
        <row r="811">
          <cell r="D811" t="str">
            <v>Horizon Prisma Multifunctioneel gebouw F</v>
          </cell>
          <cell r="E811" t="str">
            <v>bgg</v>
          </cell>
          <cell r="F811" t="str">
            <v>F0.19</v>
          </cell>
          <cell r="G811" t="str">
            <v>entree</v>
          </cell>
          <cell r="H811" t="str">
            <v>entree, gang, hal, repro, kopieer, was/droogruimte</v>
          </cell>
          <cell r="I811" t="str">
            <v>tapijt</v>
          </cell>
          <cell r="J811">
            <v>9.3000000000000007</v>
          </cell>
          <cell r="K811"/>
          <cell r="L811">
            <v>3153</v>
          </cell>
          <cell r="M811">
            <v>103</v>
          </cell>
          <cell r="N811"/>
          <cell r="O811">
            <v>153</v>
          </cell>
          <cell r="P811">
            <v>1</v>
          </cell>
          <cell r="Q811">
            <v>0</v>
          </cell>
          <cell r="R811">
            <v>0</v>
          </cell>
          <cell r="S811">
            <v>0</v>
          </cell>
        </row>
        <row r="812">
          <cell r="D812" t="str">
            <v>Horizon Prisma Multifunctioneel gebouw F</v>
          </cell>
          <cell r="E812" t="str">
            <v>bgg</v>
          </cell>
          <cell r="F812" t="str">
            <v>F0.20</v>
          </cell>
          <cell r="G812" t="str">
            <v>Schakelkast</v>
          </cell>
          <cell r="H812" t="str">
            <v>niet van toepassing</v>
          </cell>
          <cell r="I812"/>
          <cell r="J812"/>
          <cell r="K812"/>
          <cell r="L812" t="str">
            <v>nvt</v>
          </cell>
          <cell r="M812">
            <v>0</v>
          </cell>
          <cell r="N812"/>
          <cell r="O812">
            <v>0</v>
          </cell>
          <cell r="P812">
            <v>1</v>
          </cell>
          <cell r="Q812">
            <v>0</v>
          </cell>
          <cell r="R812">
            <v>0</v>
          </cell>
          <cell r="S812">
            <v>0</v>
          </cell>
        </row>
        <row r="813">
          <cell r="D813" t="str">
            <v>Horizon Prisma Multifunctioneel gebouw F</v>
          </cell>
          <cell r="E813" t="str">
            <v>bgg</v>
          </cell>
          <cell r="F813" t="str">
            <v>F0.21</v>
          </cell>
          <cell r="G813" t="str">
            <v>Berging</v>
          </cell>
          <cell r="H813" t="str">
            <v>niet van toepassing</v>
          </cell>
          <cell r="I813"/>
          <cell r="J813"/>
          <cell r="K813"/>
          <cell r="L813" t="str">
            <v>nvt</v>
          </cell>
          <cell r="M813">
            <v>0</v>
          </cell>
          <cell r="N813"/>
          <cell r="O813">
            <v>0</v>
          </cell>
          <cell r="P813">
            <v>1</v>
          </cell>
          <cell r="Q813">
            <v>0</v>
          </cell>
          <cell r="R813">
            <v>0</v>
          </cell>
          <cell r="S813">
            <v>0</v>
          </cell>
        </row>
        <row r="814">
          <cell r="D814" t="str">
            <v>Horizon Prisma Multifunctioneel gebouw F</v>
          </cell>
          <cell r="E814" t="str">
            <v>bgg</v>
          </cell>
          <cell r="F814" t="str">
            <v>F0.22</v>
          </cell>
          <cell r="G814" t="str">
            <v>trap</v>
          </cell>
          <cell r="H814" t="str">
            <v>trappenhuis</v>
          </cell>
          <cell r="I814" t="str">
            <v>linoleum</v>
          </cell>
          <cell r="J814">
            <v>5.2</v>
          </cell>
          <cell r="K814"/>
          <cell r="L814">
            <v>9153</v>
          </cell>
          <cell r="M814">
            <v>109</v>
          </cell>
          <cell r="N814"/>
          <cell r="O814">
            <v>153</v>
          </cell>
          <cell r="P814">
            <v>1</v>
          </cell>
          <cell r="Q814">
            <v>0</v>
          </cell>
          <cell r="R814">
            <v>0</v>
          </cell>
          <cell r="S814">
            <v>0</v>
          </cell>
        </row>
        <row r="815">
          <cell r="D815" t="str">
            <v>Horizon Prisma Multifunctioneel gebouw F</v>
          </cell>
          <cell r="E815" t="str">
            <v>bgg</v>
          </cell>
          <cell r="F815" t="str">
            <v>F0.23</v>
          </cell>
          <cell r="G815" t="str">
            <v>gang</v>
          </cell>
          <cell r="H815" t="str">
            <v>entree, gang, hal, repro, kopieer, was/droogruimte</v>
          </cell>
          <cell r="I815" t="str">
            <v>linoleum</v>
          </cell>
          <cell r="J815">
            <v>39.299999999999997</v>
          </cell>
          <cell r="K815"/>
          <cell r="L815">
            <v>3153</v>
          </cell>
          <cell r="M815">
            <v>103</v>
          </cell>
          <cell r="N815"/>
          <cell r="O815">
            <v>153</v>
          </cell>
          <cell r="P815">
            <v>1</v>
          </cell>
          <cell r="Q815">
            <v>0</v>
          </cell>
          <cell r="R815">
            <v>0</v>
          </cell>
          <cell r="S815">
            <v>0</v>
          </cell>
        </row>
        <row r="816">
          <cell r="D816" t="str">
            <v>Horizon Prisma Multifunctioneel gebouw F</v>
          </cell>
          <cell r="E816" t="str">
            <v>1e</v>
          </cell>
          <cell r="F816" t="str">
            <v>F1.01</v>
          </cell>
          <cell r="G816" t="str">
            <v>fitnessruimte</v>
          </cell>
          <cell r="H816" t="str">
            <v>fiitness</v>
          </cell>
          <cell r="I816" t="str">
            <v>linoleum</v>
          </cell>
          <cell r="J816">
            <v>115.3</v>
          </cell>
          <cell r="K816"/>
          <cell r="L816">
            <v>15153</v>
          </cell>
          <cell r="M816">
            <v>108</v>
          </cell>
          <cell r="N816"/>
          <cell r="O816">
            <v>153</v>
          </cell>
          <cell r="P816">
            <v>1</v>
          </cell>
          <cell r="Q816">
            <v>0</v>
          </cell>
          <cell r="R816">
            <v>0</v>
          </cell>
          <cell r="S816">
            <v>0</v>
          </cell>
        </row>
        <row r="817">
          <cell r="D817" t="str">
            <v>Horizon Prisma Multifunctioneel gebouw F</v>
          </cell>
          <cell r="E817" t="str">
            <v>1e</v>
          </cell>
          <cell r="F817" t="str">
            <v>F1.02</v>
          </cell>
          <cell r="G817" t="str">
            <v>CV Techniek</v>
          </cell>
          <cell r="H817" t="str">
            <v>niet van toepassing</v>
          </cell>
          <cell r="I817"/>
          <cell r="J817"/>
          <cell r="K817"/>
          <cell r="L817" t="str">
            <v>nvt</v>
          </cell>
          <cell r="M817">
            <v>0</v>
          </cell>
          <cell r="N817"/>
          <cell r="O817">
            <v>0</v>
          </cell>
          <cell r="P817">
            <v>1</v>
          </cell>
          <cell r="Q817">
            <v>0</v>
          </cell>
          <cell r="R817">
            <v>0</v>
          </cell>
          <cell r="S817">
            <v>0</v>
          </cell>
        </row>
        <row r="818">
          <cell r="D818" t="str">
            <v>Horizon Prisma Multifunctioneel gebouw F</v>
          </cell>
          <cell r="E818" t="str">
            <v>1e</v>
          </cell>
          <cell r="F818" t="str">
            <v>F1.03</v>
          </cell>
          <cell r="G818" t="str">
            <v>Berging</v>
          </cell>
          <cell r="H818" t="str">
            <v>niet van toepassing</v>
          </cell>
          <cell r="I818"/>
          <cell r="J818"/>
          <cell r="K818"/>
          <cell r="L818" t="str">
            <v>nvt</v>
          </cell>
          <cell r="M818">
            <v>0</v>
          </cell>
          <cell r="N818"/>
          <cell r="O818">
            <v>0</v>
          </cell>
          <cell r="P818">
            <v>1</v>
          </cell>
          <cell r="Q818">
            <v>0</v>
          </cell>
          <cell r="R818">
            <v>0</v>
          </cell>
          <cell r="S818">
            <v>0</v>
          </cell>
        </row>
        <row r="819">
          <cell r="D819" t="str">
            <v>Horizon Prisma Multifunctioneel gebouw F</v>
          </cell>
          <cell r="E819" t="str">
            <v>1e</v>
          </cell>
          <cell r="F819" t="str">
            <v>F1.04</v>
          </cell>
          <cell r="G819" t="str">
            <v>Berging</v>
          </cell>
          <cell r="H819" t="str">
            <v>niet van toepassing</v>
          </cell>
          <cell r="I819"/>
          <cell r="J819"/>
          <cell r="K819"/>
          <cell r="L819" t="str">
            <v>nvt</v>
          </cell>
          <cell r="M819">
            <v>0</v>
          </cell>
          <cell r="N819"/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D820" t="str">
            <v>Horizon Prisma Multifunctioneel gebouw F</v>
          </cell>
          <cell r="E820" t="str">
            <v>1e</v>
          </cell>
          <cell r="F820" t="str">
            <v>F1.05</v>
          </cell>
          <cell r="G820" t="str">
            <v>muziektherapie</v>
          </cell>
          <cell r="H820" t="str">
            <v>praktijklokaal</v>
          </cell>
          <cell r="I820" t="str">
            <v>linoleum</v>
          </cell>
          <cell r="J820">
            <v>26.7</v>
          </cell>
          <cell r="K820"/>
          <cell r="L820">
            <v>6153</v>
          </cell>
          <cell r="M820">
            <v>107</v>
          </cell>
          <cell r="N820"/>
          <cell r="O820">
            <v>153</v>
          </cell>
          <cell r="P820">
            <v>1</v>
          </cell>
          <cell r="Q820">
            <v>0</v>
          </cell>
          <cell r="R820">
            <v>0</v>
          </cell>
          <cell r="S820">
            <v>0</v>
          </cell>
        </row>
        <row r="821">
          <cell r="D821" t="str">
            <v>Horizon Prisma Multifunctioneel gebouw F</v>
          </cell>
          <cell r="E821" t="str">
            <v>1e</v>
          </cell>
          <cell r="F821" t="str">
            <v>F1.05A</v>
          </cell>
          <cell r="G821" t="str">
            <v>sluis</v>
          </cell>
          <cell r="H821" t="str">
            <v>entree, gang, hal, repro, kopieer, was/droogruimte</v>
          </cell>
          <cell r="I821" t="str">
            <v>linoleum</v>
          </cell>
          <cell r="J821">
            <v>1.4</v>
          </cell>
          <cell r="K821"/>
          <cell r="L821">
            <v>3153</v>
          </cell>
          <cell r="M821">
            <v>103</v>
          </cell>
          <cell r="N821"/>
          <cell r="O821">
            <v>153</v>
          </cell>
          <cell r="P821">
            <v>1</v>
          </cell>
          <cell r="Q821">
            <v>0</v>
          </cell>
          <cell r="R821">
            <v>0</v>
          </cell>
          <cell r="S821">
            <v>0</v>
          </cell>
        </row>
        <row r="822">
          <cell r="D822" t="str">
            <v>Horizon Prisma Multifunctioneel gebouw F</v>
          </cell>
          <cell r="E822" t="str">
            <v>1e</v>
          </cell>
          <cell r="F822" t="str">
            <v>F1.06</v>
          </cell>
          <cell r="G822" t="str">
            <v>dramaruimte</v>
          </cell>
          <cell r="H822" t="str">
            <v>aula, gemeenschappelijke ruimte, bibliotheek</v>
          </cell>
          <cell r="I822" t="str">
            <v>linoleum</v>
          </cell>
          <cell r="J822">
            <v>31</v>
          </cell>
          <cell r="K822"/>
          <cell r="L822">
            <v>2153</v>
          </cell>
          <cell r="M822">
            <v>102</v>
          </cell>
          <cell r="N822"/>
          <cell r="O822">
            <v>153</v>
          </cell>
          <cell r="P822">
            <v>1</v>
          </cell>
          <cell r="Q822">
            <v>0</v>
          </cell>
          <cell r="R822">
            <v>0</v>
          </cell>
          <cell r="S822">
            <v>0</v>
          </cell>
        </row>
        <row r="823">
          <cell r="D823" t="str">
            <v>Horizon Prisma Multifunctioneel gebouw F</v>
          </cell>
          <cell r="E823" t="str">
            <v>1e</v>
          </cell>
          <cell r="F823" t="str">
            <v>F1.07</v>
          </cell>
          <cell r="G823" t="str">
            <v>Balkon</v>
          </cell>
          <cell r="H823" t="str">
            <v>niet van toepassing</v>
          </cell>
          <cell r="I823"/>
          <cell r="J823"/>
          <cell r="K823"/>
          <cell r="L823" t="str">
            <v>nvt</v>
          </cell>
          <cell r="M823">
            <v>0</v>
          </cell>
          <cell r="N823"/>
          <cell r="O823">
            <v>0</v>
          </cell>
          <cell r="P823">
            <v>1</v>
          </cell>
          <cell r="Q823">
            <v>0</v>
          </cell>
          <cell r="R823">
            <v>0</v>
          </cell>
          <cell r="S823">
            <v>0</v>
          </cell>
        </row>
        <row r="824">
          <cell r="D824" t="str">
            <v>Horizon Prisma Multifunctioneel gebouw F</v>
          </cell>
          <cell r="E824" t="str">
            <v>1e</v>
          </cell>
          <cell r="F824" t="str">
            <v>F1.08</v>
          </cell>
          <cell r="G824" t="str">
            <v>gangzone</v>
          </cell>
          <cell r="H824" t="str">
            <v>entree, gang, hal, repro, kopieer, was/droogruimte</v>
          </cell>
          <cell r="I824" t="str">
            <v>linoleum</v>
          </cell>
          <cell r="J824">
            <v>23.3</v>
          </cell>
          <cell r="K824"/>
          <cell r="L824">
            <v>3153</v>
          </cell>
          <cell r="M824">
            <v>103</v>
          </cell>
          <cell r="N824"/>
          <cell r="O824">
            <v>153</v>
          </cell>
          <cell r="P824">
            <v>1</v>
          </cell>
          <cell r="Q824">
            <v>0</v>
          </cell>
          <cell r="R824">
            <v>0</v>
          </cell>
          <cell r="S824">
            <v>0</v>
          </cell>
        </row>
        <row r="825">
          <cell r="D825" t="str">
            <v>Horizon Prisma Multifunctioneel gebouw F</v>
          </cell>
          <cell r="E825" t="str">
            <v>1e</v>
          </cell>
          <cell r="F825" t="str">
            <v>F1.09</v>
          </cell>
          <cell r="G825" t="str">
            <v>trappenhuis</v>
          </cell>
          <cell r="H825" t="str">
            <v>trappenhuis</v>
          </cell>
          <cell r="I825" t="str">
            <v>linoleum</v>
          </cell>
          <cell r="J825">
            <v>7.5</v>
          </cell>
          <cell r="K825"/>
          <cell r="L825">
            <v>9153</v>
          </cell>
          <cell r="M825">
            <v>109</v>
          </cell>
          <cell r="N825"/>
          <cell r="O825">
            <v>153</v>
          </cell>
          <cell r="P825">
            <v>1</v>
          </cell>
          <cell r="Q825">
            <v>0</v>
          </cell>
          <cell r="R825">
            <v>0</v>
          </cell>
          <cell r="S825">
            <v>0</v>
          </cell>
        </row>
      </sheetData>
      <sheetData sheetId="15"/>
      <sheetData sheetId="16"/>
      <sheetData sheetId="17">
        <row r="12">
          <cell r="A12">
            <v>0</v>
          </cell>
        </row>
        <row r="13">
          <cell r="A13" t="str">
            <v>11.01 Werknemer algemeen schoonmaakonderhoud 17 jaar 0 t/m 7 jaar</v>
          </cell>
        </row>
        <row r="14">
          <cell r="A14" t="str">
            <v>11.01 Werknemer algemeen schoonmaakonderhoud 18 jaar 0 t/m 7 jaar</v>
          </cell>
        </row>
        <row r="15">
          <cell r="A15" t="str">
            <v>11.01 Werknemer algemeen schoonmaakonderhoud 19 jaar 0 t/m 7 jaar</v>
          </cell>
        </row>
        <row r="16">
          <cell r="A16" t="str">
            <v>11.01 Werknemer algemeen schoonmaakonderhoud 20 jaar 0 t/m 7 jaar</v>
          </cell>
        </row>
        <row r="17">
          <cell r="A17" t="str">
            <v>11.01 Werknemer algemeen schoonmaakonderhoud 21 jaar 0 t/m 7 jaar</v>
          </cell>
        </row>
        <row r="18">
          <cell r="A18" t="str">
            <v>11.01 Werknemer algemeen schoonmaakonderhoud 0 t/m 7 jaar</v>
          </cell>
        </row>
        <row r="19">
          <cell r="A19" t="str">
            <v>11.01 Werknemer algemeen schoonmaakonderhoud 8 jaar en meer</v>
          </cell>
        </row>
        <row r="20">
          <cell r="A20" t="str">
            <v>11.03 Werknemer algemeen schoonmaakonderhoud (sleutelpand)  0 t/m 7 jaar</v>
          </cell>
        </row>
        <row r="21">
          <cell r="A21" t="str">
            <v>11.03 Werknemer algemeen schoonmaakonderhoud (sleutelpand)  8 jaar en meer</v>
          </cell>
        </row>
        <row r="22">
          <cell r="A22" t="str">
            <v>11.02 All-round werknemer algemeen schoonmaakonderhoud 0 t/m 7 jaar</v>
          </cell>
        </row>
        <row r="23">
          <cell r="A23" t="str">
            <v>11.02 All-round werknemer algemeen schoonmaakonderhoud 8 jaar en meer</v>
          </cell>
        </row>
        <row r="24">
          <cell r="A24" t="str">
            <v>11.04 All-round werknemer algemeen schoonmaakonderhoud (sleutelpand)  0 t/m 7 jaar</v>
          </cell>
        </row>
        <row r="25">
          <cell r="A25" t="str">
            <v>11.04 All-round werknemer algemeen schoonmaakonderhoud (sleutelpand)  8 jaar en meer</v>
          </cell>
        </row>
        <row r="26">
          <cell r="A26" t="str">
            <v>11.02 Werknemer meewerkend toezicht algemeen schoonmaakonderhoud 0 t/m 7 jaar</v>
          </cell>
        </row>
        <row r="27">
          <cell r="A27" t="str">
            <v>11.02 Werknemer meewerkend toezicht algemeen schoonmaakonderhoud 8 jaar en meer</v>
          </cell>
        </row>
        <row r="28">
          <cell r="A28" t="str">
            <v>11.02 Werknemer niet meewerkend toezicht algemeen schoonmaakonderhoud 0 t/m 7 jaar</v>
          </cell>
        </row>
        <row r="29">
          <cell r="A29" t="str">
            <v>11.02 Werknemer niet meewerkend toezicht algemeen schoonmaakonderhoud 8 jaar en meer</v>
          </cell>
        </row>
        <row r="30">
          <cell r="A30" t="str">
            <v xml:space="preserve">21.01 Objectleider (algemeen schoonmaakonderhoud) </v>
          </cell>
        </row>
        <row r="31">
          <cell r="A31" t="str">
            <v xml:space="preserve">21.02 Ambulant objectleider (algemeen schoonmaakonderhoud) </v>
          </cell>
        </row>
        <row r="32">
          <cell r="A32" t="str">
            <v xml:space="preserve">0 </v>
          </cell>
        </row>
        <row r="33">
          <cell r="A33" t="str">
            <v>12.01A Glazenwasser A 0 t/m 7 jaar</v>
          </cell>
        </row>
        <row r="34">
          <cell r="A34" t="str">
            <v>12.01B Glazenwasser B 0 t/m 7 jaar</v>
          </cell>
        </row>
      </sheetData>
      <sheetData sheetId="18"/>
      <sheetData sheetId="19"/>
      <sheetData sheetId="20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ISS Info"/>
      <sheetName val="begroting"/>
      <sheetName val="Contractblad perceel 3"/>
      <sheetName val="Basis ruimtestaat"/>
      <sheetName val="Kosten per locatie"/>
      <sheetName val="begroting tot 1-5-08"/>
      <sheetName val="Contractblad p3 tot 1-5-08"/>
      <sheetName val="Kosten per locatie tot 1-5-08"/>
      <sheetName val="Kosten per locatie tot 1-7-07"/>
      <sheetName val="Specifieke werkzaamheden"/>
      <sheetName val="Kengetal"/>
      <sheetName val="Afroepprijs"/>
      <sheetName val="premies en opslagen 2008"/>
      <sheetName val="opbouw uurtarieven 2008"/>
      <sheetName val="premies en opslagen 2007"/>
      <sheetName val="opbouw uurtarieven 2007"/>
      <sheetName val="Premies en opslagen 2006"/>
      <sheetName val="Opbouw uurtarieven 2006"/>
      <sheetName val="Tarievenmatrix 2006"/>
      <sheetName val="Prijsverhoging 2007"/>
      <sheetName val="Tarievenmatrix 2007"/>
      <sheetName val="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K11">
            <v>5.9</v>
          </cell>
          <cell r="Q11">
            <v>21.733036866780669</v>
          </cell>
          <cell r="R11">
            <v>3.372868396662581</v>
          </cell>
          <cell r="U11">
            <v>0</v>
          </cell>
          <cell r="V11">
            <v>0.2367568113847314</v>
          </cell>
          <cell r="W11">
            <v>0</v>
          </cell>
        </row>
        <row r="12">
          <cell r="K12">
            <v>14.6</v>
          </cell>
          <cell r="Q12">
            <v>484.76243507711115</v>
          </cell>
          <cell r="R12">
            <v>75.232923368384462</v>
          </cell>
          <cell r="U12">
            <v>0</v>
          </cell>
          <cell r="V12">
            <v>5.2809374553348274</v>
          </cell>
          <cell r="W12">
            <v>0</v>
          </cell>
        </row>
        <row r="13">
          <cell r="K13">
            <v>11.9</v>
          </cell>
          <cell r="Q13">
            <v>395.11458749435769</v>
          </cell>
          <cell r="R13">
            <v>61.319985485190074</v>
          </cell>
          <cell r="U13">
            <v>0</v>
          </cell>
          <cell r="V13">
            <v>4.3043257341427701</v>
          </cell>
          <cell r="W13">
            <v>0</v>
          </cell>
        </row>
        <row r="14">
          <cell r="K14">
            <v>3.5</v>
          </cell>
          <cell r="Q14">
            <v>0</v>
          </cell>
          <cell r="R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K15">
            <v>5.2</v>
          </cell>
          <cell r="Q15">
            <v>0</v>
          </cell>
          <cell r="R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K16">
            <v>0</v>
          </cell>
          <cell r="Q16">
            <v>0</v>
          </cell>
          <cell r="R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K17">
            <v>0</v>
          </cell>
          <cell r="Q17">
            <v>0</v>
          </cell>
          <cell r="R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K18">
            <v>0</v>
          </cell>
          <cell r="Q18">
            <v>0</v>
          </cell>
          <cell r="R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K19">
            <v>0</v>
          </cell>
          <cell r="Q19">
            <v>0</v>
          </cell>
          <cell r="R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K20">
            <v>0</v>
          </cell>
          <cell r="Q20">
            <v>0</v>
          </cell>
          <cell r="R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K21">
            <v>0</v>
          </cell>
          <cell r="Q21">
            <v>0</v>
          </cell>
          <cell r="R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K22">
            <v>0</v>
          </cell>
          <cell r="Q22">
            <v>0</v>
          </cell>
          <cell r="R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K23">
            <v>0</v>
          </cell>
          <cell r="Q23">
            <v>0</v>
          </cell>
          <cell r="R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K24">
            <v>0</v>
          </cell>
          <cell r="Q24">
            <v>0</v>
          </cell>
          <cell r="R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K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K26">
            <v>0</v>
          </cell>
          <cell r="Q26">
            <v>0</v>
          </cell>
          <cell r="R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K27">
            <v>0</v>
          </cell>
          <cell r="Q27">
            <v>0</v>
          </cell>
          <cell r="R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K28">
            <v>0</v>
          </cell>
          <cell r="Q28">
            <v>0</v>
          </cell>
          <cell r="R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K29">
            <v>0</v>
          </cell>
          <cell r="Q29">
            <v>0</v>
          </cell>
          <cell r="R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K30">
            <v>0</v>
          </cell>
          <cell r="Q30">
            <v>0</v>
          </cell>
          <cell r="R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K31">
            <v>118.5</v>
          </cell>
          <cell r="Q31">
            <v>2779.2626473441946</v>
          </cell>
          <cell r="R31">
            <v>431.32891214022982</v>
          </cell>
          <cell r="U31">
            <v>0</v>
          </cell>
          <cell r="V31">
            <v>30.276917414688498</v>
          </cell>
          <cell r="W31">
            <v>0</v>
          </cell>
        </row>
        <row r="32">
          <cell r="K32">
            <v>1.4</v>
          </cell>
          <cell r="Q32">
            <v>75.30543938323629</v>
          </cell>
          <cell r="R32">
            <v>11.687061414815144</v>
          </cell>
          <cell r="U32">
            <v>0</v>
          </cell>
          <cell r="V32">
            <v>0.82036743496042452</v>
          </cell>
          <cell r="W32">
            <v>0</v>
          </cell>
        </row>
        <row r="33">
          <cell r="K33">
            <v>1.4</v>
          </cell>
          <cell r="Q33">
            <v>75.30543938323629</v>
          </cell>
          <cell r="R33">
            <v>11.687061414815144</v>
          </cell>
          <cell r="U33">
            <v>0</v>
          </cell>
          <cell r="V33">
            <v>0.82036743496042452</v>
          </cell>
          <cell r="W33">
            <v>0</v>
          </cell>
        </row>
        <row r="34">
          <cell r="K34">
            <v>1.4</v>
          </cell>
          <cell r="Q34">
            <v>75.30543938323629</v>
          </cell>
          <cell r="R34">
            <v>11.687061414815144</v>
          </cell>
          <cell r="U34">
            <v>0</v>
          </cell>
          <cell r="V34">
            <v>0.82036743496042452</v>
          </cell>
          <cell r="W34">
            <v>0</v>
          </cell>
        </row>
        <row r="35">
          <cell r="K35">
            <v>1.4</v>
          </cell>
          <cell r="Q35">
            <v>75.30543938323629</v>
          </cell>
          <cell r="R35">
            <v>11.687061414815144</v>
          </cell>
          <cell r="U35">
            <v>0</v>
          </cell>
          <cell r="V35">
            <v>0.82036743496042452</v>
          </cell>
          <cell r="W35">
            <v>0</v>
          </cell>
        </row>
        <row r="36">
          <cell r="K36">
            <v>1.4</v>
          </cell>
          <cell r="Q36">
            <v>75.30543938323629</v>
          </cell>
          <cell r="R36">
            <v>11.687061414815144</v>
          </cell>
          <cell r="U36">
            <v>0</v>
          </cell>
          <cell r="V36">
            <v>0.82036743496042452</v>
          </cell>
          <cell r="W36">
            <v>0</v>
          </cell>
        </row>
        <row r="37">
          <cell r="K37">
            <v>11.7</v>
          </cell>
          <cell r="Q37">
            <v>237.01505215170721</v>
          </cell>
          <cell r="R37">
            <v>36.783657242019189</v>
          </cell>
          <cell r="U37">
            <v>0</v>
          </cell>
          <cell r="V37">
            <v>2.582010436074706</v>
          </cell>
          <cell r="W37">
            <v>0</v>
          </cell>
        </row>
        <row r="38">
          <cell r="K38">
            <v>11.7</v>
          </cell>
          <cell r="Q38">
            <v>237.01505215170721</v>
          </cell>
          <cell r="R38">
            <v>36.783657242019189</v>
          </cell>
          <cell r="U38">
            <v>0</v>
          </cell>
          <cell r="V38">
            <v>2.582010436074706</v>
          </cell>
          <cell r="W38">
            <v>0</v>
          </cell>
        </row>
        <row r="39">
          <cell r="K39">
            <v>1.3</v>
          </cell>
          <cell r="Q39">
            <v>69.926479427290843</v>
          </cell>
          <cell r="R39">
            <v>10.852271313756919</v>
          </cell>
          <cell r="U39">
            <v>0</v>
          </cell>
          <cell r="V39">
            <v>0.76176976103467986</v>
          </cell>
          <cell r="W39">
            <v>0</v>
          </cell>
        </row>
        <row r="40">
          <cell r="K40">
            <v>1.3</v>
          </cell>
          <cell r="Q40">
            <v>69.926479427290843</v>
          </cell>
          <cell r="R40">
            <v>10.852271313756919</v>
          </cell>
          <cell r="U40">
            <v>0</v>
          </cell>
          <cell r="V40">
            <v>0.76176976103467986</v>
          </cell>
          <cell r="W40">
            <v>0</v>
          </cell>
        </row>
        <row r="41">
          <cell r="K41">
            <v>1.6</v>
          </cell>
          <cell r="Q41">
            <v>83.345952404995941</v>
          </cell>
          <cell r="R41">
            <v>12.934912436754001</v>
          </cell>
          <cell r="U41">
            <v>18.760741028662935</v>
          </cell>
          <cell r="V41">
            <v>0.90795971378451212</v>
          </cell>
          <cell r="W41">
            <v>0</v>
          </cell>
        </row>
        <row r="42">
          <cell r="K42">
            <v>1.1000000000000001</v>
          </cell>
          <cell r="Q42">
            <v>57.300342278434712</v>
          </cell>
          <cell r="R42">
            <v>8.8927523002683753</v>
          </cell>
          <cell r="U42">
            <v>12.898009457205767</v>
          </cell>
          <cell r="V42">
            <v>0.62422230322685202</v>
          </cell>
          <cell r="W42">
            <v>0</v>
          </cell>
        </row>
        <row r="43">
          <cell r="K43">
            <v>2.6</v>
          </cell>
          <cell r="Q43">
            <v>135.43717265811841</v>
          </cell>
          <cell r="R43">
            <v>21.019232709725248</v>
          </cell>
          <cell r="U43">
            <v>30.486204171577267</v>
          </cell>
          <cell r="V43">
            <v>1.4754345348998319</v>
          </cell>
          <cell r="W43">
            <v>0</v>
          </cell>
        </row>
        <row r="44">
          <cell r="K44">
            <v>1.1000000000000001</v>
          </cell>
          <cell r="Q44">
            <v>57.300342278434712</v>
          </cell>
          <cell r="R44">
            <v>8.8927523002683753</v>
          </cell>
          <cell r="U44">
            <v>12.898009457205767</v>
          </cell>
          <cell r="V44">
            <v>0.62422230322685202</v>
          </cell>
          <cell r="W44">
            <v>0</v>
          </cell>
        </row>
        <row r="45">
          <cell r="Q45">
            <v>0</v>
          </cell>
          <cell r="R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K46">
            <v>1.3</v>
          </cell>
          <cell r="Q46">
            <v>67.718586329059207</v>
          </cell>
          <cell r="R46">
            <v>10.509616354862624</v>
          </cell>
          <cell r="U46">
            <v>15.243102085788633</v>
          </cell>
          <cell r="V46">
            <v>0.73771726744991595</v>
          </cell>
          <cell r="W46">
            <v>0</v>
          </cell>
        </row>
        <row r="47">
          <cell r="K47">
            <v>1.3</v>
          </cell>
          <cell r="Q47">
            <v>67.718586329059207</v>
          </cell>
          <cell r="R47">
            <v>10.509616354862624</v>
          </cell>
          <cell r="U47">
            <v>15.243102085788633</v>
          </cell>
          <cell r="V47">
            <v>0.73771726744991595</v>
          </cell>
          <cell r="W47">
            <v>0</v>
          </cell>
        </row>
        <row r="48">
          <cell r="K48">
            <v>1.1000000000000001</v>
          </cell>
          <cell r="Q48">
            <v>57.300342278434712</v>
          </cell>
          <cell r="R48">
            <v>8.8927523002683753</v>
          </cell>
          <cell r="U48">
            <v>12.898009457205767</v>
          </cell>
          <cell r="V48">
            <v>0.62422230322685202</v>
          </cell>
          <cell r="W48">
            <v>0</v>
          </cell>
        </row>
        <row r="49">
          <cell r="K49">
            <v>1.1000000000000001</v>
          </cell>
          <cell r="Q49">
            <v>57.300342278434712</v>
          </cell>
          <cell r="R49">
            <v>8.8927523002683753</v>
          </cell>
          <cell r="U49">
            <v>12.898009457205767</v>
          </cell>
          <cell r="V49">
            <v>0.62422230322685202</v>
          </cell>
          <cell r="W49">
            <v>0</v>
          </cell>
        </row>
        <row r="50">
          <cell r="K50">
            <v>2.6</v>
          </cell>
          <cell r="Q50">
            <v>135.43717265811841</v>
          </cell>
          <cell r="R50">
            <v>21.019232709725248</v>
          </cell>
          <cell r="U50">
            <v>30.486204171577267</v>
          </cell>
          <cell r="V50">
            <v>1.4754345348998319</v>
          </cell>
          <cell r="W50">
            <v>0</v>
          </cell>
        </row>
        <row r="51">
          <cell r="K51">
            <v>1.3</v>
          </cell>
          <cell r="Q51">
            <v>67.718586329059207</v>
          </cell>
          <cell r="R51">
            <v>10.509616354862624</v>
          </cell>
          <cell r="U51">
            <v>15.243102085788633</v>
          </cell>
          <cell r="V51">
            <v>0.73771726744991595</v>
          </cell>
          <cell r="W51">
            <v>0</v>
          </cell>
        </row>
        <row r="52">
          <cell r="K52">
            <v>7.8</v>
          </cell>
          <cell r="Q52">
            <v>107.40551382909608</v>
          </cell>
          <cell r="R52">
            <v>16.668846854771221</v>
          </cell>
          <cell r="U52">
            <v>0</v>
          </cell>
          <cell r="V52">
            <v>1.170061374081784</v>
          </cell>
          <cell r="W52">
            <v>0</v>
          </cell>
        </row>
        <row r="53">
          <cell r="K53">
            <v>15.6</v>
          </cell>
          <cell r="Q53">
            <v>552.37121397820829</v>
          </cell>
          <cell r="R53">
            <v>85.725498110251991</v>
          </cell>
          <cell r="U53">
            <v>0</v>
          </cell>
          <cell r="V53">
            <v>6.0174584952777455</v>
          </cell>
          <cell r="W53">
            <v>0</v>
          </cell>
        </row>
        <row r="54">
          <cell r="K54">
            <v>4.9000000000000004</v>
          </cell>
          <cell r="Q54">
            <v>255.24697924030008</v>
          </cell>
          <cell r="R54">
            <v>39.613169337559128</v>
          </cell>
          <cell r="U54">
            <v>57.454769400280234</v>
          </cell>
          <cell r="V54">
            <v>2.7806266234650683</v>
          </cell>
          <cell r="W54">
            <v>0</v>
          </cell>
        </row>
        <row r="55">
          <cell r="K55">
            <v>1.2</v>
          </cell>
          <cell r="Q55">
            <v>62.509464303746952</v>
          </cell>
          <cell r="R55">
            <v>9.7011843275654996</v>
          </cell>
          <cell r="U55">
            <v>14.070555771497197</v>
          </cell>
          <cell r="V55">
            <v>0.68096978533838393</v>
          </cell>
          <cell r="W55">
            <v>0</v>
          </cell>
        </row>
        <row r="56">
          <cell r="K56">
            <v>1.8</v>
          </cell>
          <cell r="Q56">
            <v>96.821279207018094</v>
          </cell>
          <cell r="R56">
            <v>15.026221819048041</v>
          </cell>
          <cell r="U56">
            <v>0</v>
          </cell>
          <cell r="V56">
            <v>1.0547581306634028</v>
          </cell>
          <cell r="W56">
            <v>0</v>
          </cell>
        </row>
        <row r="57">
          <cell r="K57">
            <v>1.2</v>
          </cell>
          <cell r="Q57">
            <v>62.509464303746952</v>
          </cell>
          <cell r="R57">
            <v>9.7011843275654996</v>
          </cell>
          <cell r="U57">
            <v>14.070555771497197</v>
          </cell>
          <cell r="V57">
            <v>0.68096978533838393</v>
          </cell>
          <cell r="W57">
            <v>0</v>
          </cell>
        </row>
        <row r="58">
          <cell r="K58">
            <v>1.2</v>
          </cell>
          <cell r="Q58">
            <v>62.509464303746952</v>
          </cell>
          <cell r="R58">
            <v>9.7011843275654996</v>
          </cell>
          <cell r="U58">
            <v>14.070555771497197</v>
          </cell>
          <cell r="V58">
            <v>0.68096978533838393</v>
          </cell>
          <cell r="W58">
            <v>0</v>
          </cell>
        </row>
        <row r="59">
          <cell r="K59">
            <v>1.9</v>
          </cell>
          <cell r="Q59">
            <v>102.20023916296354</v>
          </cell>
          <cell r="R59">
            <v>15.861011920106268</v>
          </cell>
          <cell r="U59">
            <v>0</v>
          </cell>
          <cell r="V59">
            <v>1.1133558045891476</v>
          </cell>
          <cell r="W59">
            <v>0</v>
          </cell>
        </row>
        <row r="60">
          <cell r="K60">
            <v>1.9</v>
          </cell>
          <cell r="Q60">
            <v>102.20023916296354</v>
          </cell>
          <cell r="R60">
            <v>15.861011920106268</v>
          </cell>
          <cell r="U60">
            <v>0</v>
          </cell>
          <cell r="V60">
            <v>1.1133558045891476</v>
          </cell>
          <cell r="W60">
            <v>0</v>
          </cell>
        </row>
        <row r="61">
          <cell r="K61">
            <v>1.2</v>
          </cell>
          <cell r="Q61">
            <v>62.509464303746952</v>
          </cell>
          <cell r="R61">
            <v>9.7011843275654996</v>
          </cell>
          <cell r="U61">
            <v>14.070555771497197</v>
          </cell>
          <cell r="V61">
            <v>0.68096978533838393</v>
          </cell>
          <cell r="W61">
            <v>0</v>
          </cell>
        </row>
        <row r="62">
          <cell r="K62">
            <v>1.2</v>
          </cell>
          <cell r="Q62">
            <v>62.509464303746952</v>
          </cell>
          <cell r="R62">
            <v>9.7011843275654996</v>
          </cell>
          <cell r="U62">
            <v>14.070555771497197</v>
          </cell>
          <cell r="V62">
            <v>0.68096978533838393</v>
          </cell>
          <cell r="W62">
            <v>0</v>
          </cell>
        </row>
        <row r="63">
          <cell r="K63">
            <v>1.8</v>
          </cell>
          <cell r="Q63">
            <v>96.821279207018094</v>
          </cell>
          <cell r="R63">
            <v>15.026221819048041</v>
          </cell>
          <cell r="U63">
            <v>0</v>
          </cell>
          <cell r="V63">
            <v>1.0547581306634028</v>
          </cell>
          <cell r="W63">
            <v>0</v>
          </cell>
        </row>
        <row r="64">
          <cell r="K64">
            <v>1.8</v>
          </cell>
          <cell r="Q64">
            <v>96.821279207018094</v>
          </cell>
          <cell r="R64">
            <v>15.026221819048041</v>
          </cell>
          <cell r="U64">
            <v>0</v>
          </cell>
          <cell r="V64">
            <v>1.0547581306634028</v>
          </cell>
          <cell r="W64">
            <v>0</v>
          </cell>
        </row>
        <row r="65">
          <cell r="K65">
            <v>1.2</v>
          </cell>
          <cell r="Q65">
            <v>62.509464303746952</v>
          </cell>
          <cell r="R65">
            <v>9.7011843275654996</v>
          </cell>
          <cell r="U65">
            <v>14.070555771497197</v>
          </cell>
          <cell r="V65">
            <v>0.68096978533838393</v>
          </cell>
          <cell r="W65">
            <v>0</v>
          </cell>
        </row>
        <row r="66">
          <cell r="K66">
            <v>1.2</v>
          </cell>
          <cell r="Q66">
            <v>62.509464303746952</v>
          </cell>
          <cell r="R66">
            <v>9.7011843275654996</v>
          </cell>
          <cell r="U66">
            <v>14.070555771497197</v>
          </cell>
          <cell r="V66">
            <v>0.68096978533838393</v>
          </cell>
          <cell r="W66">
            <v>0</v>
          </cell>
        </row>
        <row r="67">
          <cell r="K67">
            <v>1.8</v>
          </cell>
          <cell r="Q67">
            <v>96.821279207018094</v>
          </cell>
          <cell r="R67">
            <v>15.026221819048041</v>
          </cell>
          <cell r="U67">
            <v>0</v>
          </cell>
          <cell r="V67">
            <v>1.0547581306634028</v>
          </cell>
          <cell r="W67">
            <v>0</v>
          </cell>
        </row>
        <row r="68">
          <cell r="K68">
            <v>1.8</v>
          </cell>
          <cell r="Q68">
            <v>96.821279207018094</v>
          </cell>
          <cell r="R68">
            <v>15.026221819048041</v>
          </cell>
          <cell r="U68">
            <v>0</v>
          </cell>
          <cell r="V68">
            <v>1.0547581306634028</v>
          </cell>
          <cell r="W68">
            <v>0</v>
          </cell>
        </row>
        <row r="69">
          <cell r="K69">
            <v>1.2</v>
          </cell>
          <cell r="Q69">
            <v>62.509464303746952</v>
          </cell>
          <cell r="R69">
            <v>9.7011843275654996</v>
          </cell>
          <cell r="U69">
            <v>14.070555771497197</v>
          </cell>
          <cell r="V69">
            <v>0.68096978533838393</v>
          </cell>
          <cell r="W69">
            <v>0</v>
          </cell>
        </row>
        <row r="70">
          <cell r="K70">
            <v>2.8</v>
          </cell>
          <cell r="Q70">
            <v>145.85541670874289</v>
          </cell>
          <cell r="R70">
            <v>22.636096764319497</v>
          </cell>
          <cell r="U70">
            <v>32.831296800160125</v>
          </cell>
          <cell r="V70">
            <v>1.5889294991228959</v>
          </cell>
          <cell r="W70">
            <v>0</v>
          </cell>
        </row>
        <row r="71">
          <cell r="K71">
            <v>1.8</v>
          </cell>
          <cell r="Q71">
            <v>96.821279207018094</v>
          </cell>
          <cell r="R71">
            <v>15.026221819048041</v>
          </cell>
          <cell r="U71">
            <v>0</v>
          </cell>
          <cell r="V71">
            <v>1.0547581306634028</v>
          </cell>
          <cell r="W71">
            <v>0</v>
          </cell>
        </row>
        <row r="72">
          <cell r="K72">
            <v>1.2</v>
          </cell>
          <cell r="Q72">
            <v>62.509464303746952</v>
          </cell>
          <cell r="R72">
            <v>9.7011843275654996</v>
          </cell>
          <cell r="U72">
            <v>14.070555771497197</v>
          </cell>
          <cell r="V72">
            <v>0.68096978533838393</v>
          </cell>
          <cell r="W72">
            <v>0</v>
          </cell>
        </row>
        <row r="73">
          <cell r="K73">
            <v>1.8</v>
          </cell>
          <cell r="Q73">
            <v>96.821279207018094</v>
          </cell>
          <cell r="R73">
            <v>15.026221819048041</v>
          </cell>
          <cell r="U73">
            <v>0</v>
          </cell>
          <cell r="V73">
            <v>1.0547581306634028</v>
          </cell>
          <cell r="W73">
            <v>0</v>
          </cell>
        </row>
        <row r="74">
          <cell r="K74">
            <v>1.2</v>
          </cell>
          <cell r="Q74">
            <v>62.509464303746952</v>
          </cell>
          <cell r="R74">
            <v>9.7011843275654996</v>
          </cell>
          <cell r="U74">
            <v>14.070555771497197</v>
          </cell>
          <cell r="V74">
            <v>0.68096978533838393</v>
          </cell>
          <cell r="W74">
            <v>0</v>
          </cell>
        </row>
        <row r="75">
          <cell r="K75">
            <v>11</v>
          </cell>
          <cell r="Q75">
            <v>573.00342278434709</v>
          </cell>
          <cell r="R75">
            <v>88.927523002683742</v>
          </cell>
          <cell r="U75">
            <v>128.98009457205765</v>
          </cell>
          <cell r="V75">
            <v>6.2422230322685204</v>
          </cell>
          <cell r="W75">
            <v>0</v>
          </cell>
        </row>
        <row r="76">
          <cell r="Q76">
            <v>0</v>
          </cell>
          <cell r="R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Q77">
            <v>0</v>
          </cell>
          <cell r="R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K78">
            <v>0.5</v>
          </cell>
          <cell r="Q78">
            <v>0</v>
          </cell>
          <cell r="R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K79">
            <v>5.0999999999999996</v>
          </cell>
          <cell r="Q79">
            <v>274.32695775321787</v>
          </cell>
          <cell r="R79">
            <v>42.574295153969452</v>
          </cell>
          <cell r="U79">
            <v>0</v>
          </cell>
          <cell r="V79">
            <v>2.9884813702129747</v>
          </cell>
          <cell r="W79">
            <v>0</v>
          </cell>
        </row>
        <row r="80">
          <cell r="K80">
            <v>3.6</v>
          </cell>
          <cell r="Q80">
            <v>193.64255841403619</v>
          </cell>
          <cell r="R80">
            <v>30.052443638096083</v>
          </cell>
          <cell r="U80">
            <v>0</v>
          </cell>
          <cell r="V80">
            <v>2.1095162613268057</v>
          </cell>
          <cell r="W80">
            <v>0</v>
          </cell>
        </row>
        <row r="81">
          <cell r="K81">
            <v>1.3</v>
          </cell>
          <cell r="Q81">
            <v>69.926479427290843</v>
          </cell>
          <cell r="R81">
            <v>10.852271313756919</v>
          </cell>
          <cell r="U81">
            <v>0</v>
          </cell>
          <cell r="V81">
            <v>0.76176976103467986</v>
          </cell>
          <cell r="W81">
            <v>0</v>
          </cell>
        </row>
        <row r="82">
          <cell r="K82">
            <v>1.3</v>
          </cell>
          <cell r="Q82">
            <v>69.926479427290843</v>
          </cell>
          <cell r="R82">
            <v>10.852271313756919</v>
          </cell>
          <cell r="U82">
            <v>0</v>
          </cell>
          <cell r="V82">
            <v>0.76176976103467986</v>
          </cell>
          <cell r="W82">
            <v>0</v>
          </cell>
        </row>
        <row r="83">
          <cell r="K83">
            <v>6.6</v>
          </cell>
          <cell r="Q83">
            <v>355.01135709239963</v>
          </cell>
          <cell r="R83">
            <v>55.096146669842824</v>
          </cell>
          <cell r="U83">
            <v>0</v>
          </cell>
          <cell r="V83">
            <v>3.8674464790991441</v>
          </cell>
          <cell r="W83">
            <v>0</v>
          </cell>
        </row>
        <row r="84">
          <cell r="K84">
            <v>5.0999999999999996</v>
          </cell>
          <cell r="Q84">
            <v>274.32695775321787</v>
          </cell>
          <cell r="R84">
            <v>42.574295153969452</v>
          </cell>
          <cell r="U84">
            <v>0</v>
          </cell>
          <cell r="V84">
            <v>2.9884813702129747</v>
          </cell>
          <cell r="W84">
            <v>0</v>
          </cell>
        </row>
        <row r="85">
          <cell r="K85">
            <v>1.1000000000000001</v>
          </cell>
          <cell r="Q85">
            <v>59.168559515399949</v>
          </cell>
          <cell r="R85">
            <v>9.1826911116404712</v>
          </cell>
          <cell r="U85">
            <v>0</v>
          </cell>
          <cell r="V85">
            <v>0.64457441318319075</v>
          </cell>
          <cell r="W85">
            <v>0</v>
          </cell>
        </row>
        <row r="86">
          <cell r="K86">
            <v>1.1000000000000001</v>
          </cell>
          <cell r="Q86">
            <v>59.168559515399949</v>
          </cell>
          <cell r="R86">
            <v>9.1826911116404712</v>
          </cell>
          <cell r="U86">
            <v>0</v>
          </cell>
          <cell r="V86">
            <v>0.64457441318319075</v>
          </cell>
          <cell r="W86">
            <v>0</v>
          </cell>
        </row>
        <row r="87">
          <cell r="K87">
            <v>20.100000000000001</v>
          </cell>
          <cell r="Q87">
            <v>143.16460221886615</v>
          </cell>
          <cell r="R87">
            <v>22.218494603617348</v>
          </cell>
          <cell r="U87">
            <v>0</v>
          </cell>
          <cell r="V87">
            <v>1.5596161241649387</v>
          </cell>
          <cell r="W87">
            <v>0</v>
          </cell>
        </row>
        <row r="88">
          <cell r="K88">
            <v>14.2</v>
          </cell>
          <cell r="Q88">
            <v>101.14116176656213</v>
          </cell>
          <cell r="R88">
            <v>15.696647928923698</v>
          </cell>
          <cell r="U88">
            <v>0</v>
          </cell>
          <cell r="V88">
            <v>1.1018183563752302</v>
          </cell>
          <cell r="W88">
            <v>0</v>
          </cell>
        </row>
        <row r="89">
          <cell r="K89">
            <v>14.7</v>
          </cell>
          <cell r="Q89">
            <v>104.70247027946927</v>
          </cell>
          <cell r="R89">
            <v>16.249346799660451</v>
          </cell>
          <cell r="U89">
            <v>0</v>
          </cell>
          <cell r="V89">
            <v>1.140614777374358</v>
          </cell>
          <cell r="W89">
            <v>0</v>
          </cell>
        </row>
        <row r="90">
          <cell r="K90">
            <v>14.7</v>
          </cell>
          <cell r="Q90">
            <v>104.70247027946927</v>
          </cell>
          <cell r="R90">
            <v>16.249346799660451</v>
          </cell>
          <cell r="U90">
            <v>0</v>
          </cell>
          <cell r="V90">
            <v>1.140614777374358</v>
          </cell>
          <cell r="W90">
            <v>0</v>
          </cell>
        </row>
        <row r="91">
          <cell r="K91">
            <v>14.7</v>
          </cell>
          <cell r="Q91">
            <v>104.70247027946927</v>
          </cell>
          <cell r="R91">
            <v>16.249346799660451</v>
          </cell>
          <cell r="U91">
            <v>0</v>
          </cell>
          <cell r="V91">
            <v>1.140614777374358</v>
          </cell>
          <cell r="W91">
            <v>0</v>
          </cell>
        </row>
        <row r="92">
          <cell r="K92">
            <v>14.7</v>
          </cell>
          <cell r="Q92">
            <v>104.70247027946927</v>
          </cell>
          <cell r="R92">
            <v>16.249346799660451</v>
          </cell>
          <cell r="U92">
            <v>0</v>
          </cell>
          <cell r="V92">
            <v>1.140614777374358</v>
          </cell>
          <cell r="W92">
            <v>0</v>
          </cell>
        </row>
        <row r="93">
          <cell r="K93">
            <v>14.7</v>
          </cell>
          <cell r="Q93">
            <v>104.70247027946927</v>
          </cell>
          <cell r="R93">
            <v>16.249346799660451</v>
          </cell>
          <cell r="U93">
            <v>0</v>
          </cell>
          <cell r="V93">
            <v>1.140614777374358</v>
          </cell>
          <cell r="W93">
            <v>0</v>
          </cell>
        </row>
        <row r="94">
          <cell r="K94">
            <v>20.399999999999999</v>
          </cell>
          <cell r="Q94">
            <v>297.5450500858355</v>
          </cell>
          <cell r="R94">
            <v>46.177637399211768</v>
          </cell>
          <cell r="U94">
            <v>66.975845472326668</v>
          </cell>
          <cell r="V94">
            <v>3.2414161782107076</v>
          </cell>
          <cell r="W94">
            <v>0</v>
          </cell>
        </row>
        <row r="95">
          <cell r="K95">
            <v>14.2</v>
          </cell>
          <cell r="Q95">
            <v>101.14116176656213</v>
          </cell>
          <cell r="R95">
            <v>15.696647928923698</v>
          </cell>
          <cell r="U95">
            <v>0</v>
          </cell>
          <cell r="V95">
            <v>1.1018183563752302</v>
          </cell>
          <cell r="W95">
            <v>0</v>
          </cell>
        </row>
        <row r="96">
          <cell r="K96">
            <v>14.7</v>
          </cell>
          <cell r="Q96">
            <v>104.70247027946927</v>
          </cell>
          <cell r="R96">
            <v>16.249346799660451</v>
          </cell>
          <cell r="U96">
            <v>0</v>
          </cell>
          <cell r="V96">
            <v>1.140614777374358</v>
          </cell>
          <cell r="W96">
            <v>0</v>
          </cell>
        </row>
        <row r="97">
          <cell r="K97">
            <v>14.7</v>
          </cell>
          <cell r="Q97">
            <v>104.70247027946927</v>
          </cell>
          <cell r="R97">
            <v>16.249346799660451</v>
          </cell>
          <cell r="U97">
            <v>0</v>
          </cell>
          <cell r="V97">
            <v>1.140614777374358</v>
          </cell>
          <cell r="W97">
            <v>0</v>
          </cell>
        </row>
        <row r="98">
          <cell r="K98">
            <v>14.7</v>
          </cell>
          <cell r="Q98">
            <v>104.70247027946927</v>
          </cell>
          <cell r="R98">
            <v>16.249346799660451</v>
          </cell>
          <cell r="U98">
            <v>0</v>
          </cell>
          <cell r="V98">
            <v>1.140614777374358</v>
          </cell>
          <cell r="W98">
            <v>0</v>
          </cell>
        </row>
        <row r="99">
          <cell r="K99">
            <v>14.7</v>
          </cell>
          <cell r="Q99">
            <v>104.70247027946927</v>
          </cell>
          <cell r="R99">
            <v>16.249346799660451</v>
          </cell>
          <cell r="U99">
            <v>0</v>
          </cell>
          <cell r="V99">
            <v>1.140614777374358</v>
          </cell>
          <cell r="W99">
            <v>0</v>
          </cell>
        </row>
        <row r="100">
          <cell r="K100">
            <v>14.7</v>
          </cell>
          <cell r="Q100">
            <v>104.70247027946927</v>
          </cell>
          <cell r="R100">
            <v>16.249346799660451</v>
          </cell>
          <cell r="U100">
            <v>0</v>
          </cell>
          <cell r="V100">
            <v>1.140614777374358</v>
          </cell>
          <cell r="W100">
            <v>0</v>
          </cell>
        </row>
        <row r="101">
          <cell r="K101">
            <v>14.7</v>
          </cell>
          <cell r="Q101">
            <v>104.70247027946927</v>
          </cell>
          <cell r="R101">
            <v>16.249346799660451</v>
          </cell>
          <cell r="U101">
            <v>0</v>
          </cell>
          <cell r="V101">
            <v>1.140614777374358</v>
          </cell>
          <cell r="W101">
            <v>0</v>
          </cell>
        </row>
        <row r="102">
          <cell r="K102">
            <v>29.4</v>
          </cell>
          <cell r="Q102">
            <v>209.40494055893853</v>
          </cell>
          <cell r="R102">
            <v>32.498693599320902</v>
          </cell>
          <cell r="U102">
            <v>0</v>
          </cell>
          <cell r="V102">
            <v>2.281229554748716</v>
          </cell>
          <cell r="W102">
            <v>0</v>
          </cell>
        </row>
        <row r="103">
          <cell r="K103">
            <v>3.1</v>
          </cell>
          <cell r="Q103">
            <v>166.74775863430892</v>
          </cell>
          <cell r="R103">
            <v>25.878493132804962</v>
          </cell>
          <cell r="U103">
            <v>0</v>
          </cell>
          <cell r="V103">
            <v>1.8165278916980827</v>
          </cell>
          <cell r="W103">
            <v>0</v>
          </cell>
        </row>
        <row r="104">
          <cell r="K104">
            <v>14</v>
          </cell>
          <cell r="Q104">
            <v>223.07299026043032</v>
          </cell>
          <cell r="R104">
            <v>34.619912698371003</v>
          </cell>
          <cell r="U104">
            <v>0</v>
          </cell>
          <cell r="V104">
            <v>2.430127469246782</v>
          </cell>
          <cell r="W104">
            <v>0</v>
          </cell>
        </row>
        <row r="105">
          <cell r="K105">
            <v>8.6</v>
          </cell>
          <cell r="Q105">
            <v>0</v>
          </cell>
          <cell r="R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K106">
            <v>37</v>
          </cell>
          <cell r="Q106">
            <v>136.29192611370928</v>
          </cell>
          <cell r="R106">
            <v>21.151886555341608</v>
          </cell>
          <cell r="U106">
            <v>0</v>
          </cell>
          <cell r="V106">
            <v>1.4847461052940782</v>
          </cell>
          <cell r="W106">
            <v>0</v>
          </cell>
        </row>
        <row r="107">
          <cell r="K107">
            <v>13.7</v>
          </cell>
          <cell r="Q107">
            <v>50.464848317778831</v>
          </cell>
          <cell r="R107">
            <v>7.8319147515724321</v>
          </cell>
          <cell r="U107">
            <v>0</v>
          </cell>
          <cell r="V107">
            <v>0.54975734168996948</v>
          </cell>
          <cell r="W107">
            <v>0</v>
          </cell>
        </row>
        <row r="108">
          <cell r="K108">
            <v>15.6</v>
          </cell>
          <cell r="Q108">
            <v>141.80163299319659</v>
          </cell>
          <cell r="R108">
            <v>22.006967983795928</v>
          </cell>
          <cell r="U108">
            <v>0</v>
          </cell>
          <cell r="V108">
            <v>1.5447681188050308</v>
          </cell>
          <cell r="W108">
            <v>0</v>
          </cell>
        </row>
        <row r="109">
          <cell r="K109">
            <v>3.6</v>
          </cell>
          <cell r="Q109">
            <v>32.723453767660757</v>
          </cell>
          <cell r="R109">
            <v>5.0785310731836768</v>
          </cell>
          <cell r="U109">
            <v>0</v>
          </cell>
          <cell r="V109">
            <v>0.35648495049346868</v>
          </cell>
          <cell r="W109">
            <v>0</v>
          </cell>
        </row>
        <row r="110">
          <cell r="K110">
            <v>4.7</v>
          </cell>
          <cell r="Q110">
            <v>99.947789679698118</v>
          </cell>
          <cell r="R110">
            <v>15.511442013067764</v>
          </cell>
          <cell r="U110">
            <v>0</v>
          </cell>
          <cell r="V110">
            <v>1.0888179196754086</v>
          </cell>
          <cell r="W110">
            <v>0</v>
          </cell>
        </row>
        <row r="111">
          <cell r="K111">
            <v>19.899999999999999</v>
          </cell>
          <cell r="Q111">
            <v>518.3076415185684</v>
          </cell>
          <cell r="R111">
            <v>80.438986716063923</v>
          </cell>
          <cell r="U111">
            <v>116.6683582719976</v>
          </cell>
          <cell r="V111">
            <v>5.6463744700974337</v>
          </cell>
          <cell r="W111">
            <v>0</v>
          </cell>
        </row>
        <row r="112">
          <cell r="K112">
            <v>68</v>
          </cell>
          <cell r="Q112">
            <v>2213.8768607577044</v>
          </cell>
          <cell r="R112">
            <v>343.58361160127805</v>
          </cell>
          <cell r="U112">
            <v>498.33218357385908</v>
          </cell>
          <cell r="V112">
            <v>24.1176798974011</v>
          </cell>
          <cell r="W112">
            <v>0</v>
          </cell>
        </row>
        <row r="113">
          <cell r="K113">
            <v>23</v>
          </cell>
          <cell r="Q113">
            <v>599.04903291090829</v>
          </cell>
          <cell r="R113">
            <v>92.969683139169376</v>
          </cell>
          <cell r="U113">
            <v>134.84282614351483</v>
          </cell>
          <cell r="V113">
            <v>6.5259604428261797</v>
          </cell>
          <cell r="W113">
            <v>0</v>
          </cell>
        </row>
        <row r="114">
          <cell r="K114">
            <v>29.3</v>
          </cell>
          <cell r="Q114">
            <v>763.13637670824414</v>
          </cell>
          <cell r="R114">
            <v>118.43529199902882</v>
          </cell>
          <cell r="U114">
            <v>171.77803504369498</v>
          </cell>
          <cell r="V114">
            <v>8.313506129339439</v>
          </cell>
          <cell r="W114">
            <v>0</v>
          </cell>
        </row>
        <row r="115">
          <cell r="K115">
            <v>42.3</v>
          </cell>
          <cell r="Q115">
            <v>1099.7365356327398</v>
          </cell>
          <cell r="R115">
            <v>170.67410451783383</v>
          </cell>
          <cell r="U115">
            <v>0</v>
          </cell>
          <cell r="V115">
            <v>11.980383465767677</v>
          </cell>
          <cell r="W115">
            <v>0</v>
          </cell>
        </row>
        <row r="116">
          <cell r="K116">
            <v>17.899999999999999</v>
          </cell>
          <cell r="Q116">
            <v>466.216421265446</v>
          </cell>
          <cell r="R116">
            <v>72.354666443092682</v>
          </cell>
          <cell r="U116">
            <v>104.94289512908327</v>
          </cell>
          <cell r="V116">
            <v>5.0788996489821141</v>
          </cell>
          <cell r="W116">
            <v>0</v>
          </cell>
        </row>
        <row r="117">
          <cell r="K117">
            <v>64.8</v>
          </cell>
          <cell r="Q117">
            <v>589.02216781789366</v>
          </cell>
          <cell r="R117">
            <v>91.413559317306166</v>
          </cell>
          <cell r="U117">
            <v>0</v>
          </cell>
          <cell r="V117">
            <v>6.4167291088824356</v>
          </cell>
          <cell r="W117">
            <v>0</v>
          </cell>
        </row>
        <row r="118">
          <cell r="K118">
            <v>10.7</v>
          </cell>
          <cell r="Q118">
            <v>162.37285685623158</v>
          </cell>
          <cell r="R118">
            <v>25.199528290650996</v>
          </cell>
          <cell r="U118">
            <v>0</v>
          </cell>
          <cell r="V118">
            <v>1.7688682939415352</v>
          </cell>
          <cell r="W118">
            <v>0</v>
          </cell>
        </row>
        <row r="119">
          <cell r="K119">
            <v>10.9</v>
          </cell>
          <cell r="Q119">
            <v>165.40786352644153</v>
          </cell>
          <cell r="R119">
            <v>25.670547511037</v>
          </cell>
          <cell r="U119">
            <v>0</v>
          </cell>
          <cell r="V119">
            <v>1.8019312527067979</v>
          </cell>
          <cell r="W119">
            <v>0</v>
          </cell>
        </row>
        <row r="120">
          <cell r="K120">
            <v>10.9</v>
          </cell>
          <cell r="Q120">
            <v>165.40786352644153</v>
          </cell>
          <cell r="R120">
            <v>25.670547511037</v>
          </cell>
          <cell r="U120">
            <v>0</v>
          </cell>
          <cell r="V120">
            <v>1.8019312527067979</v>
          </cell>
          <cell r="W120">
            <v>0</v>
          </cell>
        </row>
        <row r="121">
          <cell r="K121">
            <v>18.2</v>
          </cell>
          <cell r="Q121">
            <v>276.1856069891042</v>
          </cell>
          <cell r="R121">
            <v>42.862749055125995</v>
          </cell>
          <cell r="U121">
            <v>0</v>
          </cell>
          <cell r="V121">
            <v>3.0087292476388732</v>
          </cell>
          <cell r="W121">
            <v>0</v>
          </cell>
        </row>
        <row r="122">
          <cell r="K122">
            <v>22.8</v>
          </cell>
          <cell r="Q122">
            <v>592.7657922559448</v>
          </cell>
          <cell r="R122">
            <v>91.994552789754422</v>
          </cell>
          <cell r="U122">
            <v>0</v>
          </cell>
          <cell r="V122">
            <v>6.4575116553074006</v>
          </cell>
          <cell r="W122">
            <v>0</v>
          </cell>
        </row>
        <row r="123">
          <cell r="K123">
            <v>136.5</v>
          </cell>
          <cell r="Q123">
            <v>1240.7642886904703</v>
          </cell>
          <cell r="R123">
            <v>192.56096985821441</v>
          </cell>
          <cell r="U123">
            <v>0</v>
          </cell>
          <cell r="V123">
            <v>13.51672103954402</v>
          </cell>
          <cell r="W123">
            <v>0</v>
          </cell>
        </row>
        <row r="124">
          <cell r="K124">
            <v>11.2</v>
          </cell>
          <cell r="Q124">
            <v>26.229782114203843</v>
          </cell>
          <cell r="R124">
            <v>4.0707427906484117</v>
          </cell>
          <cell r="U124">
            <v>0</v>
          </cell>
          <cell r="V124">
            <v>0.28574375568135058</v>
          </cell>
          <cell r="W124">
            <v>0</v>
          </cell>
        </row>
        <row r="125">
          <cell r="K125">
            <v>11.2</v>
          </cell>
          <cell r="Q125">
            <v>169.9603735317564</v>
          </cell>
          <cell r="R125">
            <v>26.377076341615997</v>
          </cell>
          <cell r="U125">
            <v>0</v>
          </cell>
          <cell r="V125">
            <v>1.8515256908546909</v>
          </cell>
          <cell r="W125">
            <v>0</v>
          </cell>
        </row>
        <row r="126">
          <cell r="K126">
            <v>11.2</v>
          </cell>
          <cell r="Q126">
            <v>169.9603735317564</v>
          </cell>
          <cell r="R126">
            <v>26.377076341615997</v>
          </cell>
          <cell r="U126">
            <v>0</v>
          </cell>
          <cell r="V126">
            <v>1.8515256908546909</v>
          </cell>
          <cell r="W126">
            <v>0</v>
          </cell>
        </row>
        <row r="127">
          <cell r="K127">
            <v>11.2</v>
          </cell>
          <cell r="Q127">
            <v>169.9603735317564</v>
          </cell>
          <cell r="R127">
            <v>26.377076341615997</v>
          </cell>
          <cell r="U127">
            <v>0</v>
          </cell>
          <cell r="V127">
            <v>1.8515256908546909</v>
          </cell>
          <cell r="W127">
            <v>0</v>
          </cell>
        </row>
        <row r="128">
          <cell r="K128">
            <v>11.2</v>
          </cell>
          <cell r="Q128">
            <v>169.9603735317564</v>
          </cell>
          <cell r="R128">
            <v>26.377076341615997</v>
          </cell>
          <cell r="U128">
            <v>0</v>
          </cell>
          <cell r="V128">
            <v>1.8515256908546909</v>
          </cell>
          <cell r="W128">
            <v>0</v>
          </cell>
        </row>
        <row r="129">
          <cell r="K129">
            <v>11.4</v>
          </cell>
          <cell r="Q129">
            <v>172.99538020196636</v>
          </cell>
          <cell r="R129">
            <v>26.848095562002001</v>
          </cell>
          <cell r="U129">
            <v>0</v>
          </cell>
          <cell r="V129">
            <v>1.8845886496199535</v>
          </cell>
          <cell r="W129">
            <v>0</v>
          </cell>
        </row>
        <row r="130">
          <cell r="K130">
            <v>18.100000000000001</v>
          </cell>
          <cell r="Q130">
            <v>274.66810365399925</v>
          </cell>
          <cell r="R130">
            <v>42.627239444932997</v>
          </cell>
          <cell r="U130">
            <v>0</v>
          </cell>
          <cell r="V130">
            <v>2.9921977682562422</v>
          </cell>
          <cell r="W130">
            <v>0</v>
          </cell>
        </row>
        <row r="131">
          <cell r="K131">
            <v>18</v>
          </cell>
          <cell r="Q131">
            <v>273.15060031889425</v>
          </cell>
          <cell r="R131">
            <v>42.391729834739998</v>
          </cell>
          <cell r="U131">
            <v>0</v>
          </cell>
          <cell r="V131">
            <v>2.9756662888736107</v>
          </cell>
          <cell r="W131">
            <v>0</v>
          </cell>
        </row>
        <row r="132">
          <cell r="K132">
            <v>14.6</v>
          </cell>
          <cell r="Q132">
            <v>221.55548692532534</v>
          </cell>
          <cell r="R132">
            <v>34.384403088177997</v>
          </cell>
          <cell r="U132">
            <v>0</v>
          </cell>
          <cell r="V132">
            <v>2.413595989864151</v>
          </cell>
          <cell r="W132">
            <v>0</v>
          </cell>
        </row>
        <row r="133">
          <cell r="K133">
            <v>10.199999999999999</v>
          </cell>
          <cell r="Q133">
            <v>23.887837282578499</v>
          </cell>
          <cell r="R133">
            <v>3.7072836129119464</v>
          </cell>
          <cell r="U133">
            <v>0</v>
          </cell>
          <cell r="V133">
            <v>0.26023092035265855</v>
          </cell>
          <cell r="W133">
            <v>0</v>
          </cell>
        </row>
        <row r="134">
          <cell r="K134">
            <v>20.5</v>
          </cell>
          <cell r="Q134">
            <v>311.0881836965184</v>
          </cell>
          <cell r="R134">
            <v>48.279470089564995</v>
          </cell>
          <cell r="U134">
            <v>0</v>
          </cell>
          <cell r="V134">
            <v>3.3889532734393897</v>
          </cell>
          <cell r="W134">
            <v>0</v>
          </cell>
        </row>
        <row r="135">
          <cell r="K135">
            <v>22.8</v>
          </cell>
          <cell r="Q135">
            <v>345.99076040393271</v>
          </cell>
          <cell r="R135">
            <v>53.696191124004002</v>
          </cell>
          <cell r="U135">
            <v>0</v>
          </cell>
          <cell r="V135">
            <v>3.7691772992399071</v>
          </cell>
          <cell r="W135">
            <v>0</v>
          </cell>
        </row>
        <row r="136">
          <cell r="K136">
            <v>15.5</v>
          </cell>
          <cell r="Q136">
            <v>402.9767447354011</v>
          </cell>
          <cell r="R136">
            <v>62.540156501806734</v>
          </cell>
          <cell r="U136">
            <v>0</v>
          </cell>
          <cell r="V136">
            <v>4.3899750288273998</v>
          </cell>
          <cell r="W136">
            <v>0</v>
          </cell>
        </row>
        <row r="137">
          <cell r="K137">
            <v>16.399999999999999</v>
          </cell>
          <cell r="Q137">
            <v>284.7653373837361</v>
          </cell>
          <cell r="R137">
            <v>44.194284158909497</v>
          </cell>
          <cell r="U137">
            <v>0</v>
          </cell>
          <cell r="V137">
            <v>3.1021956887637492</v>
          </cell>
          <cell r="W137">
            <v>0</v>
          </cell>
        </row>
        <row r="138">
          <cell r="K138">
            <v>3.9</v>
          </cell>
          <cell r="Q138">
            <v>174.58839684936663</v>
          </cell>
          <cell r="R138">
            <v>27.095324494539561</v>
          </cell>
          <cell r="U138">
            <v>0</v>
          </cell>
          <cell r="V138">
            <v>1.9019427609773851</v>
          </cell>
          <cell r="W138">
            <v>0</v>
          </cell>
        </row>
        <row r="139">
          <cell r="K139">
            <v>67.900000000000006</v>
          </cell>
          <cell r="Q139">
            <v>1650.5971324206071</v>
          </cell>
          <cell r="R139">
            <v>256.16516171621566</v>
          </cell>
          <cell r="U139">
            <v>0</v>
          </cell>
          <cell r="V139">
            <v>17.981385498407441</v>
          </cell>
          <cell r="W139">
            <v>0</v>
          </cell>
        </row>
        <row r="140">
          <cell r="K140">
            <v>38.9</v>
          </cell>
          <cell r="Q140">
            <v>945.62928499501641</v>
          </cell>
          <cell r="R140">
            <v>146.75736068867141</v>
          </cell>
          <cell r="U140">
            <v>0</v>
          </cell>
          <cell r="V140">
            <v>10.301559585980108</v>
          </cell>
          <cell r="W140">
            <v>0</v>
          </cell>
        </row>
        <row r="141">
          <cell r="K141">
            <v>6.8</v>
          </cell>
          <cell r="Q141">
            <v>61.810968227803649</v>
          </cell>
          <cell r="R141">
            <v>9.5927809160136093</v>
          </cell>
          <cell r="U141">
            <v>0</v>
          </cell>
          <cell r="V141">
            <v>0.67336046204321853</v>
          </cell>
          <cell r="W141">
            <v>0</v>
          </cell>
        </row>
        <row r="142">
          <cell r="K142">
            <v>52.8</v>
          </cell>
          <cell r="Q142">
            <v>479.9439885923577</v>
          </cell>
          <cell r="R142">
            <v>74.485122406693918</v>
          </cell>
          <cell r="U142">
            <v>0</v>
          </cell>
          <cell r="V142">
            <v>5.2284459405708734</v>
          </cell>
          <cell r="W142">
            <v>0</v>
          </cell>
        </row>
        <row r="143">
          <cell r="K143">
            <v>6.2</v>
          </cell>
          <cell r="Q143">
            <v>56.357059266526861</v>
          </cell>
          <cell r="R143">
            <v>8.746359070482999</v>
          </cell>
          <cell r="U143">
            <v>0</v>
          </cell>
          <cell r="V143">
            <v>0.61394630362764047</v>
          </cell>
          <cell r="W143">
            <v>0</v>
          </cell>
        </row>
        <row r="144">
          <cell r="K144">
            <v>29.4</v>
          </cell>
          <cell r="Q144">
            <v>446.14598052086063</v>
          </cell>
          <cell r="R144">
            <v>69.239825396742006</v>
          </cell>
          <cell r="U144">
            <v>0</v>
          </cell>
          <cell r="V144">
            <v>4.860254938493564</v>
          </cell>
          <cell r="W144">
            <v>0</v>
          </cell>
        </row>
        <row r="145">
          <cell r="K145">
            <v>29.9</v>
          </cell>
          <cell r="Q145">
            <v>212.96624907184565</v>
          </cell>
          <cell r="R145">
            <v>33.05139247005765</v>
          </cell>
          <cell r="U145">
            <v>0</v>
          </cell>
          <cell r="V145">
            <v>2.3200259757478441</v>
          </cell>
          <cell r="W145">
            <v>0</v>
          </cell>
        </row>
        <row r="146">
          <cell r="K146">
            <v>44</v>
          </cell>
          <cell r="Q146">
            <v>399.95332382696483</v>
          </cell>
          <cell r="R146">
            <v>62.070935338911603</v>
          </cell>
          <cell r="U146">
            <v>0</v>
          </cell>
          <cell r="V146">
            <v>4.3570382838090618</v>
          </cell>
          <cell r="W146">
            <v>0</v>
          </cell>
        </row>
        <row r="147">
          <cell r="K147">
            <v>260</v>
          </cell>
          <cell r="Q147">
            <v>2370.1505215170723</v>
          </cell>
          <cell r="R147">
            <v>367.83657242019189</v>
          </cell>
          <cell r="U147">
            <v>0</v>
          </cell>
          <cell r="V147">
            <v>25.820104360747063</v>
          </cell>
          <cell r="W147">
            <v>0</v>
          </cell>
        </row>
        <row r="148">
          <cell r="K148">
            <v>7.3</v>
          </cell>
          <cell r="Q148">
            <v>93.691359165970439</v>
          </cell>
          <cell r="R148">
            <v>14.540472475537438</v>
          </cell>
          <cell r="U148">
            <v>21.089438361626488</v>
          </cell>
          <cell r="V148">
            <v>1.0206611982673472</v>
          </cell>
          <cell r="W148">
            <v>0</v>
          </cell>
        </row>
        <row r="149">
          <cell r="K149">
            <v>7.5</v>
          </cell>
          <cell r="Q149">
            <v>228.01366834024506</v>
          </cell>
          <cell r="R149">
            <v>35.386683447237772</v>
          </cell>
          <cell r="U149">
            <v>0</v>
          </cell>
          <cell r="V149">
            <v>2.4839505587407009</v>
          </cell>
          <cell r="W149">
            <v>0</v>
          </cell>
        </row>
        <row r="150">
          <cell r="K150">
            <v>13.6</v>
          </cell>
          <cell r="Q150">
            <v>96.867591551073602</v>
          </cell>
          <cell r="R150">
            <v>15.0334092840396</v>
          </cell>
          <cell r="U150">
            <v>0</v>
          </cell>
          <cell r="V150">
            <v>1.0552626511762768</v>
          </cell>
          <cell r="W150">
            <v>0</v>
          </cell>
        </row>
        <row r="151">
          <cell r="K151">
            <v>6</v>
          </cell>
          <cell r="Q151">
            <v>127.59292299535929</v>
          </cell>
          <cell r="R151">
            <v>19.801840867746076</v>
          </cell>
          <cell r="U151">
            <v>0</v>
          </cell>
          <cell r="V151">
            <v>1.3899803229898833</v>
          </cell>
          <cell r="W151">
            <v>0</v>
          </cell>
        </row>
        <row r="152">
          <cell r="K152">
            <v>3.5</v>
          </cell>
          <cell r="Q152">
            <v>188.26359845809074</v>
          </cell>
          <cell r="R152">
            <v>29.217653537037862</v>
          </cell>
          <cell r="U152">
            <v>0</v>
          </cell>
          <cell r="V152">
            <v>2.0509185874010614</v>
          </cell>
          <cell r="W152">
            <v>0</v>
          </cell>
        </row>
        <row r="153">
          <cell r="K153">
            <v>6</v>
          </cell>
          <cell r="Q153">
            <v>127.59292299535929</v>
          </cell>
          <cell r="R153">
            <v>19.801840867746076</v>
          </cell>
          <cell r="U153">
            <v>0</v>
          </cell>
          <cell r="V153">
            <v>1.3899803229898833</v>
          </cell>
          <cell r="W153">
            <v>0</v>
          </cell>
        </row>
        <row r="154">
          <cell r="K154">
            <v>3.3</v>
          </cell>
          <cell r="Q154">
            <v>177.50567854619982</v>
          </cell>
          <cell r="R154">
            <v>27.548073334921412</v>
          </cell>
          <cell r="U154">
            <v>0</v>
          </cell>
          <cell r="V154">
            <v>1.933723239549572</v>
          </cell>
          <cell r="W154">
            <v>0</v>
          </cell>
        </row>
        <row r="155">
          <cell r="K155">
            <v>6</v>
          </cell>
          <cell r="Q155">
            <v>127.59292299535929</v>
          </cell>
          <cell r="R155">
            <v>19.801840867746076</v>
          </cell>
          <cell r="U155">
            <v>0</v>
          </cell>
          <cell r="V155">
            <v>1.3899803229898833</v>
          </cell>
          <cell r="W155">
            <v>0</v>
          </cell>
        </row>
        <row r="156">
          <cell r="K156">
            <v>3.3</v>
          </cell>
          <cell r="Q156">
            <v>177.50567854619982</v>
          </cell>
          <cell r="R156">
            <v>27.548073334921412</v>
          </cell>
          <cell r="U156">
            <v>0</v>
          </cell>
          <cell r="V156">
            <v>1.933723239549572</v>
          </cell>
          <cell r="W156">
            <v>0</v>
          </cell>
        </row>
        <row r="157">
          <cell r="K157">
            <v>3.4</v>
          </cell>
          <cell r="Q157">
            <v>182.88463850214526</v>
          </cell>
          <cell r="R157">
            <v>28.382863435979633</v>
          </cell>
          <cell r="U157">
            <v>0</v>
          </cell>
          <cell r="V157">
            <v>1.9923209134753166</v>
          </cell>
          <cell r="W157">
            <v>0</v>
          </cell>
        </row>
        <row r="158">
          <cell r="K158">
            <v>11.8</v>
          </cell>
          <cell r="Q158">
            <v>634.71727480156312</v>
          </cell>
          <cell r="R158">
            <v>98.505231924870515</v>
          </cell>
          <cell r="U158">
            <v>0</v>
          </cell>
          <cell r="V158">
            <v>6.914525523237864</v>
          </cell>
          <cell r="W158">
            <v>0</v>
          </cell>
        </row>
        <row r="159">
          <cell r="K159">
            <v>66.599999999999994</v>
          </cell>
          <cell r="Q159">
            <v>605.38389470172399</v>
          </cell>
          <cell r="R159">
            <v>93.952824853897994</v>
          </cell>
          <cell r="U159">
            <v>0</v>
          </cell>
          <cell r="V159">
            <v>6.5949715841291692</v>
          </cell>
          <cell r="W159">
            <v>0</v>
          </cell>
        </row>
        <row r="160">
          <cell r="K160">
            <v>3</v>
          </cell>
          <cell r="Q160">
            <v>134.29876680720511</v>
          </cell>
          <cell r="R160">
            <v>20.842557303491972</v>
          </cell>
          <cell r="U160">
            <v>0</v>
          </cell>
          <cell r="V160">
            <v>1.4630328930595271</v>
          </cell>
          <cell r="W160">
            <v>0</v>
          </cell>
        </row>
        <row r="161">
          <cell r="K161">
            <v>49.3</v>
          </cell>
          <cell r="Q161">
            <v>1281.7260332551787</v>
          </cell>
          <cell r="R161">
            <v>198.91804616381106</v>
          </cell>
          <cell r="U161">
            <v>0</v>
          </cell>
          <cell r="V161">
            <v>13.962952833625211</v>
          </cell>
          <cell r="W161">
            <v>0</v>
          </cell>
        </row>
        <row r="162">
          <cell r="K162">
            <v>6.6</v>
          </cell>
          <cell r="Q162">
            <v>171.90102683530409</v>
          </cell>
          <cell r="R162">
            <v>26.67825690080512</v>
          </cell>
          <cell r="U162">
            <v>0</v>
          </cell>
          <cell r="V162">
            <v>1.8726669096805559</v>
          </cell>
          <cell r="W162">
            <v>0</v>
          </cell>
        </row>
        <row r="163">
          <cell r="K163">
            <v>53.2</v>
          </cell>
          <cell r="Q163">
            <v>1383.1201819305381</v>
          </cell>
          <cell r="R163">
            <v>214.65395650942702</v>
          </cell>
          <cell r="U163">
            <v>0</v>
          </cell>
          <cell r="V163">
            <v>15.06752719571727</v>
          </cell>
          <cell r="W163">
            <v>0</v>
          </cell>
        </row>
        <row r="164">
          <cell r="K164">
            <v>66.099999999999994</v>
          </cell>
          <cell r="Q164">
            <v>600.83897056732667</v>
          </cell>
          <cell r="R164">
            <v>93.247473315955816</v>
          </cell>
          <cell r="U164">
            <v>0</v>
          </cell>
          <cell r="V164">
            <v>6.5454597854495207</v>
          </cell>
          <cell r="W164">
            <v>0</v>
          </cell>
        </row>
        <row r="165">
          <cell r="K165">
            <v>53.2</v>
          </cell>
          <cell r="Q165">
            <v>1383.1201819305381</v>
          </cell>
          <cell r="R165">
            <v>214.65395650942702</v>
          </cell>
          <cell r="U165">
            <v>0</v>
          </cell>
          <cell r="V165">
            <v>15.06752719571727</v>
          </cell>
          <cell r="W165">
            <v>0</v>
          </cell>
        </row>
        <row r="166">
          <cell r="K166">
            <v>66.099999999999994</v>
          </cell>
          <cell r="Q166">
            <v>600.83897056732667</v>
          </cell>
          <cell r="R166">
            <v>93.247473315955816</v>
          </cell>
          <cell r="U166">
            <v>0</v>
          </cell>
          <cell r="V166">
            <v>6.5454597854495207</v>
          </cell>
          <cell r="W166">
            <v>0</v>
          </cell>
        </row>
        <row r="167">
          <cell r="K167">
            <v>28.07</v>
          </cell>
          <cell r="Q167">
            <v>130.18001739314511</v>
          </cell>
          <cell r="R167">
            <v>20.203346142271808</v>
          </cell>
          <cell r="U167">
            <v>0</v>
          </cell>
          <cell r="V167">
            <v>1.4181637850677169</v>
          </cell>
          <cell r="W167">
            <v>0</v>
          </cell>
        </row>
        <row r="168">
          <cell r="K168">
            <v>27.74</v>
          </cell>
          <cell r="Q168">
            <v>252.15239097636373</v>
          </cell>
          <cell r="R168">
            <v>39.132903325031997</v>
          </cell>
          <cell r="U168">
            <v>0</v>
          </cell>
          <cell r="V168">
            <v>2.7469145907468944</v>
          </cell>
          <cell r="W168">
            <v>0</v>
          </cell>
        </row>
        <row r="169">
          <cell r="K169">
            <v>13.3</v>
          </cell>
          <cell r="Q169">
            <v>346.40661468326437</v>
          </cell>
          <cell r="R169">
            <v>53.760729815258806</v>
          </cell>
          <cell r="U169">
            <v>0</v>
          </cell>
          <cell r="V169">
            <v>3.7737075604168782</v>
          </cell>
          <cell r="W169">
            <v>0</v>
          </cell>
        </row>
        <row r="170">
          <cell r="K170">
            <v>6.9</v>
          </cell>
          <cell r="Q170">
            <v>62.719953054683117</v>
          </cell>
          <cell r="R170">
            <v>9.7338512236020449</v>
          </cell>
          <cell r="U170">
            <v>0</v>
          </cell>
          <cell r="V170">
            <v>0.68326282177914821</v>
          </cell>
          <cell r="W170">
            <v>0</v>
          </cell>
        </row>
        <row r="171">
          <cell r="K171">
            <v>6.6</v>
          </cell>
          <cell r="Q171">
            <v>59.992998574044712</v>
          </cell>
          <cell r="R171">
            <v>9.3106403008367398</v>
          </cell>
          <cell r="U171">
            <v>0</v>
          </cell>
          <cell r="V171">
            <v>0.65355574257135918</v>
          </cell>
          <cell r="W171">
            <v>0</v>
          </cell>
        </row>
        <row r="172">
          <cell r="K172">
            <v>6.6</v>
          </cell>
          <cell r="Q172">
            <v>59.992998574044712</v>
          </cell>
          <cell r="R172">
            <v>9.3106403008367398</v>
          </cell>
          <cell r="U172">
            <v>0</v>
          </cell>
          <cell r="V172">
            <v>0.65355574257135918</v>
          </cell>
          <cell r="W172">
            <v>0</v>
          </cell>
        </row>
        <row r="173">
          <cell r="K173">
            <v>6.7</v>
          </cell>
          <cell r="Q173">
            <v>60.901983400924188</v>
          </cell>
          <cell r="R173">
            <v>9.4517106084251754</v>
          </cell>
          <cell r="U173">
            <v>0</v>
          </cell>
          <cell r="V173">
            <v>0.66345810230728897</v>
          </cell>
          <cell r="W173">
            <v>0</v>
          </cell>
        </row>
        <row r="174">
          <cell r="K174">
            <v>6.6</v>
          </cell>
          <cell r="Q174">
            <v>59.992998574044712</v>
          </cell>
          <cell r="R174">
            <v>9.3106403008367398</v>
          </cell>
          <cell r="U174">
            <v>0</v>
          </cell>
          <cell r="V174">
            <v>0.65355574257135918</v>
          </cell>
          <cell r="W174">
            <v>0</v>
          </cell>
        </row>
        <row r="175">
          <cell r="K175">
            <v>6.7</v>
          </cell>
          <cell r="Q175">
            <v>60.901983400924188</v>
          </cell>
          <cell r="R175">
            <v>9.4517106084251754</v>
          </cell>
          <cell r="U175">
            <v>0</v>
          </cell>
          <cell r="V175">
            <v>0.66345810230728897</v>
          </cell>
          <cell r="W175">
            <v>0</v>
          </cell>
        </row>
        <row r="176">
          <cell r="K176">
            <v>3.8</v>
          </cell>
          <cell r="Q176">
            <v>0</v>
          </cell>
          <cell r="R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K177">
            <v>3.3</v>
          </cell>
          <cell r="Q177">
            <v>0</v>
          </cell>
          <cell r="R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K178">
            <v>3.8</v>
          </cell>
          <cell r="Q178">
            <v>0</v>
          </cell>
          <cell r="R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K179">
            <v>21.2</v>
          </cell>
          <cell r="Q179">
            <v>49.649230430457273</v>
          </cell>
          <cell r="R179">
            <v>7.7053345680130647</v>
          </cell>
          <cell r="U179">
            <v>0</v>
          </cell>
          <cell r="V179">
            <v>0.54087210896827076</v>
          </cell>
          <cell r="W179">
            <v>0</v>
          </cell>
        </row>
        <row r="180">
          <cell r="K180">
            <v>4.7</v>
          </cell>
          <cell r="Q180">
            <v>11.007140708639113</v>
          </cell>
          <cell r="R180">
            <v>1.7082581353613873</v>
          </cell>
          <cell r="U180">
            <v>0</v>
          </cell>
          <cell r="V180">
            <v>0.11991032604485248</v>
          </cell>
          <cell r="W180">
            <v>0</v>
          </cell>
        </row>
        <row r="181">
          <cell r="K181">
            <v>5.8</v>
          </cell>
          <cell r="Q181">
            <v>13.58328002342699</v>
          </cell>
          <cell r="R181">
            <v>2.1080632308714993</v>
          </cell>
          <cell r="U181">
            <v>0</v>
          </cell>
          <cell r="V181">
            <v>0.1479744449064137</v>
          </cell>
          <cell r="W181">
            <v>0</v>
          </cell>
        </row>
        <row r="182">
          <cell r="K182">
            <v>18</v>
          </cell>
          <cell r="Q182">
            <v>0</v>
          </cell>
          <cell r="R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K183">
            <v>18.100000000000001</v>
          </cell>
          <cell r="Q183">
            <v>0</v>
          </cell>
          <cell r="R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K184">
            <v>18.100000000000001</v>
          </cell>
          <cell r="Q184">
            <v>0</v>
          </cell>
          <cell r="R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K185">
            <v>18</v>
          </cell>
          <cell r="Q185">
            <v>0</v>
          </cell>
          <cell r="R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K186">
            <v>18</v>
          </cell>
          <cell r="Q186">
            <v>0</v>
          </cell>
          <cell r="R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K187">
            <v>18.100000000000001</v>
          </cell>
          <cell r="Q187">
            <v>0</v>
          </cell>
          <cell r="R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K188">
            <v>18.100000000000001</v>
          </cell>
          <cell r="Q188">
            <v>0</v>
          </cell>
          <cell r="R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K189">
            <v>18</v>
          </cell>
          <cell r="Q189">
            <v>0</v>
          </cell>
          <cell r="R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Q190">
            <v>0</v>
          </cell>
          <cell r="R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Q191">
            <v>0</v>
          </cell>
          <cell r="R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Q192">
            <v>0</v>
          </cell>
          <cell r="R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Q193">
            <v>0</v>
          </cell>
          <cell r="R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Q194">
            <v>0</v>
          </cell>
          <cell r="R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Q195">
            <v>0</v>
          </cell>
          <cell r="R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Q196">
            <v>0</v>
          </cell>
          <cell r="R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Q197">
            <v>0</v>
          </cell>
          <cell r="R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Q198">
            <v>0</v>
          </cell>
          <cell r="R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K199">
            <v>18</v>
          </cell>
          <cell r="Q199">
            <v>0</v>
          </cell>
          <cell r="R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K200">
            <v>18.100000000000001</v>
          </cell>
          <cell r="Q200">
            <v>0</v>
          </cell>
          <cell r="R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K201">
            <v>18.100000000000001</v>
          </cell>
          <cell r="Q201">
            <v>0</v>
          </cell>
          <cell r="R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K202">
            <v>18</v>
          </cell>
          <cell r="Q202">
            <v>0</v>
          </cell>
          <cell r="R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K203">
            <v>18</v>
          </cell>
          <cell r="Q203">
            <v>0</v>
          </cell>
          <cell r="R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K204">
            <v>18.100000000000001</v>
          </cell>
          <cell r="Q204">
            <v>0</v>
          </cell>
          <cell r="R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K205">
            <v>18.100000000000001</v>
          </cell>
          <cell r="Q205">
            <v>0</v>
          </cell>
          <cell r="R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K206">
            <v>18</v>
          </cell>
          <cell r="Q206">
            <v>0</v>
          </cell>
          <cell r="R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Q207">
            <v>0</v>
          </cell>
          <cell r="R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Q208">
            <v>0</v>
          </cell>
          <cell r="R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Q209">
            <v>0</v>
          </cell>
          <cell r="R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Q210">
            <v>0</v>
          </cell>
          <cell r="R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Q211">
            <v>0</v>
          </cell>
          <cell r="R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Q212">
            <v>0</v>
          </cell>
          <cell r="R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Q213">
            <v>0</v>
          </cell>
          <cell r="R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Q214">
            <v>0</v>
          </cell>
          <cell r="R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Q215">
            <v>0</v>
          </cell>
          <cell r="R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K216">
            <v>3.3</v>
          </cell>
          <cell r="Q216">
            <v>0</v>
          </cell>
          <cell r="R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K217">
            <v>18</v>
          </cell>
          <cell r="Q217">
            <v>0</v>
          </cell>
          <cell r="R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K218">
            <v>18.100000000000001</v>
          </cell>
          <cell r="Q218">
            <v>0</v>
          </cell>
          <cell r="R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K219">
            <v>18.100000000000001</v>
          </cell>
          <cell r="Q219">
            <v>0</v>
          </cell>
          <cell r="R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K220">
            <v>18</v>
          </cell>
          <cell r="Q220">
            <v>0</v>
          </cell>
          <cell r="R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K221">
            <v>18</v>
          </cell>
          <cell r="Q221">
            <v>0</v>
          </cell>
          <cell r="R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K222">
            <v>18.100000000000001</v>
          </cell>
          <cell r="Q222">
            <v>0</v>
          </cell>
          <cell r="R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K223">
            <v>18.100000000000001</v>
          </cell>
          <cell r="Q223">
            <v>0</v>
          </cell>
          <cell r="R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K224">
            <v>18</v>
          </cell>
          <cell r="Q224">
            <v>0</v>
          </cell>
          <cell r="R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Q225">
            <v>0</v>
          </cell>
          <cell r="R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Q226">
            <v>0</v>
          </cell>
          <cell r="R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Q227">
            <v>0</v>
          </cell>
          <cell r="R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Q228">
            <v>0</v>
          </cell>
          <cell r="R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Q229">
            <v>0</v>
          </cell>
          <cell r="R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Q230">
            <v>0</v>
          </cell>
          <cell r="R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Q231">
            <v>0</v>
          </cell>
          <cell r="R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Q232">
            <v>0</v>
          </cell>
          <cell r="R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Q233">
            <v>0</v>
          </cell>
          <cell r="R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K234">
            <v>29</v>
          </cell>
          <cell r="Q234">
            <v>263.60559979504501</v>
          </cell>
          <cell r="R234">
            <v>40.910389200646279</v>
          </cell>
          <cell r="U234">
            <v>0</v>
          </cell>
          <cell r="V234">
            <v>2.8716843234196086</v>
          </cell>
          <cell r="W234">
            <v>0</v>
          </cell>
        </row>
        <row r="235">
          <cell r="K235">
            <v>59</v>
          </cell>
          <cell r="Q235">
            <v>267.50622815783311</v>
          </cell>
          <cell r="R235">
            <v>41.515748967558721</v>
          </cell>
          <cell r="U235">
            <v>0</v>
          </cell>
          <cell r="V235">
            <v>2.9141772497065075</v>
          </cell>
          <cell r="W235">
            <v>0</v>
          </cell>
        </row>
        <row r="236">
          <cell r="K236">
            <v>18</v>
          </cell>
          <cell r="Q236">
            <v>128.20710646465625</v>
          </cell>
          <cell r="R236">
            <v>19.897159346522997</v>
          </cell>
          <cell r="U236">
            <v>0</v>
          </cell>
          <cell r="V236">
            <v>1.3966711559686016</v>
          </cell>
          <cell r="W236">
            <v>0</v>
          </cell>
        </row>
        <row r="237">
          <cell r="K237">
            <v>74</v>
          </cell>
          <cell r="Q237">
            <v>672.64877189080448</v>
          </cell>
          <cell r="R237">
            <v>104.39202761544223</v>
          </cell>
          <cell r="U237">
            <v>0</v>
          </cell>
          <cell r="V237">
            <v>7.3277462045879673</v>
          </cell>
          <cell r="W237">
            <v>0</v>
          </cell>
        </row>
        <row r="238">
          <cell r="K238">
            <v>18</v>
          </cell>
          <cell r="Q238">
            <v>128.20710646465625</v>
          </cell>
          <cell r="R238">
            <v>19.897159346522997</v>
          </cell>
          <cell r="U238">
            <v>0</v>
          </cell>
          <cell r="V238">
            <v>1.3966711559686016</v>
          </cell>
          <cell r="W238">
            <v>0</v>
          </cell>
        </row>
        <row r="239">
          <cell r="K239">
            <v>18</v>
          </cell>
          <cell r="Q239">
            <v>128.20710646465625</v>
          </cell>
          <cell r="R239">
            <v>19.897159346522997</v>
          </cell>
          <cell r="U239">
            <v>0</v>
          </cell>
          <cell r="V239">
            <v>1.3966711559686016</v>
          </cell>
          <cell r="W239">
            <v>0</v>
          </cell>
        </row>
        <row r="240">
          <cell r="K240">
            <v>18</v>
          </cell>
          <cell r="Q240">
            <v>128.20710646465625</v>
          </cell>
          <cell r="R240">
            <v>19.897159346522997</v>
          </cell>
          <cell r="U240">
            <v>0</v>
          </cell>
          <cell r="V240">
            <v>1.3966711559686016</v>
          </cell>
          <cell r="W240">
            <v>0</v>
          </cell>
        </row>
        <row r="241">
          <cell r="K241">
            <v>34</v>
          </cell>
          <cell r="Q241">
            <v>421.36009271414616</v>
          </cell>
          <cell r="R241">
            <v>65.393168430256324</v>
          </cell>
          <cell r="U241">
            <v>0</v>
          </cell>
          <cell r="V241">
            <v>4.590240775243922</v>
          </cell>
          <cell r="W241">
            <v>0</v>
          </cell>
        </row>
        <row r="242">
          <cell r="K242">
            <v>28</v>
          </cell>
          <cell r="Q242">
            <v>347.0024292940027</v>
          </cell>
          <cell r="R242">
            <v>53.853197530799328</v>
          </cell>
          <cell r="U242">
            <v>0</v>
          </cell>
          <cell r="V242">
            <v>3.7801982854949943</v>
          </cell>
          <cell r="W242">
            <v>0</v>
          </cell>
        </row>
        <row r="243">
          <cell r="K243">
            <v>18</v>
          </cell>
          <cell r="Q243">
            <v>128.20710646465625</v>
          </cell>
          <cell r="R243">
            <v>19.897159346522997</v>
          </cell>
          <cell r="U243">
            <v>0</v>
          </cell>
          <cell r="V243">
            <v>1.3966711559686016</v>
          </cell>
          <cell r="W243">
            <v>0</v>
          </cell>
        </row>
        <row r="244">
          <cell r="K244">
            <v>18</v>
          </cell>
          <cell r="Q244">
            <v>128.20710646465625</v>
          </cell>
          <cell r="R244">
            <v>19.897159346522997</v>
          </cell>
          <cell r="U244">
            <v>0</v>
          </cell>
          <cell r="V244">
            <v>1.3966711559686016</v>
          </cell>
          <cell r="W244">
            <v>0</v>
          </cell>
        </row>
        <row r="245">
          <cell r="K245">
            <v>18</v>
          </cell>
          <cell r="Q245">
            <v>128.20710646465625</v>
          </cell>
          <cell r="R245">
            <v>19.897159346522997</v>
          </cell>
          <cell r="U245">
            <v>0</v>
          </cell>
          <cell r="V245">
            <v>1.3966711559686016</v>
          </cell>
          <cell r="W245">
            <v>0</v>
          </cell>
        </row>
        <row r="246">
          <cell r="K246">
            <v>17</v>
          </cell>
          <cell r="Q246">
            <v>121.084489438842</v>
          </cell>
          <cell r="R246">
            <v>18.791761605049498</v>
          </cell>
          <cell r="U246">
            <v>0</v>
          </cell>
          <cell r="V246">
            <v>1.3190783139703461</v>
          </cell>
          <cell r="W246">
            <v>0</v>
          </cell>
        </row>
        <row r="247">
          <cell r="K247">
            <v>19</v>
          </cell>
          <cell r="Q247">
            <v>86.852188830905249</v>
          </cell>
          <cell r="R247">
            <v>13.479064370267396</v>
          </cell>
          <cell r="U247">
            <v>0</v>
          </cell>
          <cell r="V247">
            <v>0.94615618679690294</v>
          </cell>
          <cell r="W247">
            <v>0</v>
          </cell>
        </row>
        <row r="248">
          <cell r="K248">
            <v>17</v>
          </cell>
          <cell r="Q248">
            <v>121.084489438842</v>
          </cell>
          <cell r="R248">
            <v>18.791761605049498</v>
          </cell>
          <cell r="U248">
            <v>0</v>
          </cell>
          <cell r="V248">
            <v>1.3190783139703461</v>
          </cell>
          <cell r="W248">
            <v>0</v>
          </cell>
        </row>
        <row r="249">
          <cell r="K249">
            <v>29</v>
          </cell>
          <cell r="Q249">
            <v>359.39537319735996</v>
          </cell>
          <cell r="R249">
            <v>55.776526014042162</v>
          </cell>
          <cell r="U249">
            <v>0</v>
          </cell>
          <cell r="V249">
            <v>3.9152053671198157</v>
          </cell>
          <cell r="W249">
            <v>0</v>
          </cell>
        </row>
        <row r="250">
          <cell r="K250">
            <v>31</v>
          </cell>
          <cell r="Q250">
            <v>220.80112780024132</v>
          </cell>
          <cell r="R250">
            <v>34.267329985678501</v>
          </cell>
          <cell r="U250">
            <v>0</v>
          </cell>
          <cell r="V250">
            <v>2.4053781019459253</v>
          </cell>
          <cell r="W250">
            <v>0</v>
          </cell>
        </row>
        <row r="251">
          <cell r="K251">
            <v>31</v>
          </cell>
          <cell r="Q251">
            <v>220.80112780024132</v>
          </cell>
          <cell r="R251">
            <v>34.267329985678501</v>
          </cell>
          <cell r="U251">
            <v>0</v>
          </cell>
          <cell r="V251">
            <v>2.4053781019459253</v>
          </cell>
          <cell r="W251">
            <v>0</v>
          </cell>
        </row>
        <row r="252">
          <cell r="K252">
            <v>18</v>
          </cell>
          <cell r="Q252">
            <v>128.20710646465625</v>
          </cell>
          <cell r="R252">
            <v>19.897159346522997</v>
          </cell>
          <cell r="U252">
            <v>0</v>
          </cell>
          <cell r="V252">
            <v>1.3966711559686016</v>
          </cell>
          <cell r="W252">
            <v>0</v>
          </cell>
        </row>
        <row r="253">
          <cell r="K253">
            <v>18</v>
          </cell>
          <cell r="Q253">
            <v>128.20710646465625</v>
          </cell>
          <cell r="R253">
            <v>19.897159346522997</v>
          </cell>
          <cell r="U253">
            <v>0</v>
          </cell>
          <cell r="V253">
            <v>1.3966711559686016</v>
          </cell>
          <cell r="W253">
            <v>0</v>
          </cell>
        </row>
        <row r="254">
          <cell r="K254">
            <v>20</v>
          </cell>
          <cell r="Q254">
            <v>142.45234051628469</v>
          </cell>
          <cell r="R254">
            <v>22.107954829469996</v>
          </cell>
          <cell r="U254">
            <v>0</v>
          </cell>
          <cell r="V254">
            <v>1.5518568399651129</v>
          </cell>
          <cell r="W254">
            <v>0</v>
          </cell>
        </row>
        <row r="255">
          <cell r="K255">
            <v>3</v>
          </cell>
          <cell r="Q255">
            <v>161.36879867836348</v>
          </cell>
          <cell r="R255">
            <v>25.043703031746738</v>
          </cell>
          <cell r="U255">
            <v>0</v>
          </cell>
          <cell r="V255">
            <v>1.7579302177723382</v>
          </cell>
          <cell r="W255">
            <v>0</v>
          </cell>
        </row>
        <row r="256">
          <cell r="K256">
            <v>2</v>
          </cell>
          <cell r="Q256">
            <v>107.57919911890899</v>
          </cell>
          <cell r="R256">
            <v>16.695802021164493</v>
          </cell>
          <cell r="U256">
            <v>0</v>
          </cell>
          <cell r="V256">
            <v>1.1719534785148922</v>
          </cell>
          <cell r="W256">
            <v>0</v>
          </cell>
        </row>
        <row r="257">
          <cell r="K257">
            <v>5</v>
          </cell>
          <cell r="Q257">
            <v>268.94799779727248</v>
          </cell>
          <cell r="R257">
            <v>41.739505052911227</v>
          </cell>
          <cell r="U257">
            <v>0</v>
          </cell>
          <cell r="V257">
            <v>2.9298836962872303</v>
          </cell>
          <cell r="W257">
            <v>0</v>
          </cell>
        </row>
        <row r="258">
          <cell r="K258">
            <v>57</v>
          </cell>
          <cell r="Q258">
            <v>844.92071036233619</v>
          </cell>
          <cell r="R258">
            <v>131.12784831386364</v>
          </cell>
          <cell r="U258">
            <v>0</v>
          </cell>
          <cell r="V258">
            <v>9.2044537762725049</v>
          </cell>
          <cell r="W258">
            <v>0</v>
          </cell>
        </row>
        <row r="259">
          <cell r="K259">
            <v>9</v>
          </cell>
          <cell r="Q259">
            <v>254.79401210766423</v>
          </cell>
          <cell r="R259">
            <v>39.542870900402853</v>
          </cell>
          <cell r="U259">
            <v>0</v>
          </cell>
          <cell r="V259">
            <v>2.7756920598031956</v>
          </cell>
          <cell r="W259">
            <v>0</v>
          </cell>
        </row>
        <row r="260">
          <cell r="K260">
            <v>48</v>
          </cell>
          <cell r="Q260">
            <v>1247.9279836967257</v>
          </cell>
          <cell r="R260">
            <v>193.67274271527242</v>
          </cell>
          <cell r="U260">
            <v>0</v>
          </cell>
          <cell r="V260">
            <v>13.594761379594527</v>
          </cell>
          <cell r="W260">
            <v>0</v>
          </cell>
        </row>
        <row r="261">
          <cell r="K261">
            <v>57</v>
          </cell>
          <cell r="Q261">
            <v>844.92071036233619</v>
          </cell>
          <cell r="R261">
            <v>131.12784831386364</v>
          </cell>
          <cell r="U261">
            <v>0</v>
          </cell>
          <cell r="V261">
            <v>9.2044537762725049</v>
          </cell>
          <cell r="W261">
            <v>0</v>
          </cell>
        </row>
        <row r="262">
          <cell r="K262">
            <v>10</v>
          </cell>
          <cell r="Q262">
            <v>332.02906512130897</v>
          </cell>
          <cell r="R262">
            <v>51.529399567386612</v>
          </cell>
          <cell r="U262">
            <v>0</v>
          </cell>
          <cell r="V262">
            <v>3.6170804488594706</v>
          </cell>
          <cell r="W262">
            <v>0</v>
          </cell>
        </row>
        <row r="263">
          <cell r="K263">
            <v>17</v>
          </cell>
          <cell r="Q263">
            <v>121.084489438842</v>
          </cell>
          <cell r="R263">
            <v>18.791761605049498</v>
          </cell>
          <cell r="U263">
            <v>0</v>
          </cell>
          <cell r="V263">
            <v>1.3190783139703461</v>
          </cell>
          <cell r="W263">
            <v>0</v>
          </cell>
        </row>
        <row r="264">
          <cell r="K264">
            <v>1</v>
          </cell>
          <cell r="Q264">
            <v>0</v>
          </cell>
          <cell r="R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K265">
            <v>2</v>
          </cell>
          <cell r="Q265">
            <v>0</v>
          </cell>
          <cell r="R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K266">
            <v>1.3</v>
          </cell>
          <cell r="Q266">
            <v>69.926479427290843</v>
          </cell>
          <cell r="R266">
            <v>10.852271313756919</v>
          </cell>
          <cell r="U266">
            <v>0</v>
          </cell>
          <cell r="V266">
            <v>0.76176976103467986</v>
          </cell>
          <cell r="W266">
            <v>0</v>
          </cell>
        </row>
        <row r="267">
          <cell r="K267">
            <v>25</v>
          </cell>
          <cell r="Q267">
            <v>885.21027881123132</v>
          </cell>
          <cell r="R267">
            <v>137.38060594591664</v>
          </cell>
          <cell r="U267">
            <v>0</v>
          </cell>
          <cell r="V267">
            <v>9.6433629732015156</v>
          </cell>
          <cell r="W267">
            <v>0</v>
          </cell>
        </row>
        <row r="268">
          <cell r="K268">
            <v>3.6</v>
          </cell>
          <cell r="Q268">
            <v>193.64255841403619</v>
          </cell>
          <cell r="R268">
            <v>30.052443638096083</v>
          </cell>
          <cell r="U268">
            <v>0</v>
          </cell>
          <cell r="V268">
            <v>2.1095162613268057</v>
          </cell>
          <cell r="W268">
            <v>0</v>
          </cell>
        </row>
        <row r="269">
          <cell r="K269">
            <v>7.3</v>
          </cell>
          <cell r="Q269">
            <v>392.66407678401777</v>
          </cell>
          <cell r="R269">
            <v>60.939677377250391</v>
          </cell>
          <cell r="U269">
            <v>0</v>
          </cell>
          <cell r="V269">
            <v>4.2776301965793557</v>
          </cell>
          <cell r="W269">
            <v>0</v>
          </cell>
        </row>
        <row r="270">
          <cell r="K270">
            <v>2.2999999999999998</v>
          </cell>
          <cell r="Q270">
            <v>123.71607898674532</v>
          </cell>
          <cell r="R270">
            <v>19.200172324339164</v>
          </cell>
          <cell r="U270">
            <v>0</v>
          </cell>
          <cell r="V270">
            <v>1.3477465002921258</v>
          </cell>
          <cell r="W270">
            <v>0</v>
          </cell>
        </row>
        <row r="271">
          <cell r="K271">
            <v>1.2</v>
          </cell>
          <cell r="Q271">
            <v>27.156485984156408</v>
          </cell>
          <cell r="R271">
            <v>4.2145630130677425</v>
          </cell>
          <cell r="U271">
            <v>0</v>
          </cell>
          <cell r="V271">
            <v>0.29583914431446068</v>
          </cell>
          <cell r="W271">
            <v>0</v>
          </cell>
        </row>
        <row r="272">
          <cell r="K272">
            <v>1.1000000000000001</v>
          </cell>
          <cell r="Q272">
            <v>24.893445485476708</v>
          </cell>
          <cell r="R272">
            <v>3.8633494286454311</v>
          </cell>
          <cell r="U272">
            <v>0</v>
          </cell>
          <cell r="V272">
            <v>0.27118588228825563</v>
          </cell>
          <cell r="W272">
            <v>0</v>
          </cell>
        </row>
        <row r="273">
          <cell r="K273">
            <v>1.3</v>
          </cell>
          <cell r="Q273">
            <v>29.419526482836108</v>
          </cell>
          <cell r="R273">
            <v>4.5657765974900544</v>
          </cell>
          <cell r="U273">
            <v>0</v>
          </cell>
          <cell r="V273">
            <v>0.32049240634066573</v>
          </cell>
          <cell r="W273">
            <v>0</v>
          </cell>
        </row>
        <row r="274">
          <cell r="K274">
            <v>1.3</v>
          </cell>
          <cell r="Q274">
            <v>29.419526482836108</v>
          </cell>
          <cell r="R274">
            <v>4.5657765974900544</v>
          </cell>
          <cell r="U274">
            <v>0</v>
          </cell>
          <cell r="V274">
            <v>0.32049240634066573</v>
          </cell>
          <cell r="W274">
            <v>0</v>
          </cell>
        </row>
        <row r="275">
          <cell r="K275">
            <v>1.3</v>
          </cell>
          <cell r="Q275">
            <v>29.419526482836108</v>
          </cell>
          <cell r="R275">
            <v>4.5657765974900544</v>
          </cell>
          <cell r="U275">
            <v>0</v>
          </cell>
          <cell r="V275">
            <v>0.32049240634066573</v>
          </cell>
          <cell r="W275">
            <v>0</v>
          </cell>
        </row>
        <row r="276">
          <cell r="K276">
            <v>1.3</v>
          </cell>
          <cell r="Q276">
            <v>29.419526482836108</v>
          </cell>
          <cell r="R276">
            <v>4.5657765974900544</v>
          </cell>
          <cell r="U276">
            <v>0</v>
          </cell>
          <cell r="V276">
            <v>0.32049240634066573</v>
          </cell>
          <cell r="W276">
            <v>0</v>
          </cell>
        </row>
        <row r="277">
          <cell r="K277">
            <v>1.4</v>
          </cell>
          <cell r="Q277">
            <v>31.682566981515809</v>
          </cell>
          <cell r="R277">
            <v>4.9169901819123663</v>
          </cell>
          <cell r="U277">
            <v>0</v>
          </cell>
          <cell r="V277">
            <v>0.34514566836687077</v>
          </cell>
          <cell r="W277">
            <v>0</v>
          </cell>
        </row>
        <row r="278">
          <cell r="K278">
            <v>1.2</v>
          </cell>
          <cell r="Q278">
            <v>27.156485984156408</v>
          </cell>
          <cell r="R278">
            <v>4.2145630130677425</v>
          </cell>
          <cell r="U278">
            <v>0</v>
          </cell>
          <cell r="V278">
            <v>0.29583914431446068</v>
          </cell>
          <cell r="W278">
            <v>0</v>
          </cell>
        </row>
        <row r="279">
          <cell r="K279">
            <v>1.4</v>
          </cell>
          <cell r="Q279">
            <v>31.682566981515809</v>
          </cell>
          <cell r="R279">
            <v>4.9169901819123663</v>
          </cell>
          <cell r="U279">
            <v>0</v>
          </cell>
          <cell r="V279">
            <v>0.34514566836687077</v>
          </cell>
          <cell r="W279">
            <v>0</v>
          </cell>
        </row>
        <row r="280">
          <cell r="K280">
            <v>1.3</v>
          </cell>
          <cell r="Q280">
            <v>29.419526482836108</v>
          </cell>
          <cell r="R280">
            <v>4.5657765974900544</v>
          </cell>
          <cell r="U280">
            <v>0</v>
          </cell>
          <cell r="V280">
            <v>0.32049240634066573</v>
          </cell>
          <cell r="W280">
            <v>0</v>
          </cell>
        </row>
        <row r="281">
          <cell r="K281">
            <v>1.4</v>
          </cell>
          <cell r="Q281">
            <v>31.682566981515809</v>
          </cell>
          <cell r="R281">
            <v>4.9169901819123663</v>
          </cell>
          <cell r="U281">
            <v>0</v>
          </cell>
          <cell r="V281">
            <v>0.34514566836687077</v>
          </cell>
          <cell r="W281">
            <v>0</v>
          </cell>
        </row>
        <row r="282">
          <cell r="K282">
            <v>1.4</v>
          </cell>
          <cell r="Q282">
            <v>31.682566981515809</v>
          </cell>
          <cell r="R282">
            <v>4.9169901819123663</v>
          </cell>
          <cell r="U282">
            <v>0</v>
          </cell>
          <cell r="V282">
            <v>0.34514566836687077</v>
          </cell>
          <cell r="W282">
            <v>0</v>
          </cell>
        </row>
        <row r="283">
          <cell r="K283">
            <v>1.4</v>
          </cell>
          <cell r="Q283">
            <v>31.682566981515809</v>
          </cell>
          <cell r="R283">
            <v>4.9169901819123663</v>
          </cell>
          <cell r="U283">
            <v>0</v>
          </cell>
          <cell r="V283">
            <v>0.34514566836687077</v>
          </cell>
          <cell r="W283">
            <v>0</v>
          </cell>
        </row>
        <row r="284">
          <cell r="K284">
            <v>1.3</v>
          </cell>
          <cell r="Q284">
            <v>29.419526482836108</v>
          </cell>
          <cell r="R284">
            <v>4.5657765974900544</v>
          </cell>
          <cell r="U284">
            <v>0</v>
          </cell>
          <cell r="V284">
            <v>0.32049240634066573</v>
          </cell>
          <cell r="W284">
            <v>0</v>
          </cell>
        </row>
        <row r="285">
          <cell r="K285">
            <v>1.4</v>
          </cell>
          <cell r="Q285">
            <v>31.682566981515809</v>
          </cell>
          <cell r="R285">
            <v>4.9169901819123663</v>
          </cell>
          <cell r="U285">
            <v>0</v>
          </cell>
          <cell r="V285">
            <v>0.34514566836687077</v>
          </cell>
          <cell r="W285">
            <v>0</v>
          </cell>
        </row>
        <row r="286">
          <cell r="K286">
            <v>1.2</v>
          </cell>
          <cell r="Q286">
            <v>27.156485984156408</v>
          </cell>
          <cell r="R286">
            <v>4.2145630130677425</v>
          </cell>
          <cell r="U286">
            <v>0</v>
          </cell>
          <cell r="V286">
            <v>0.29583914431446068</v>
          </cell>
          <cell r="W286">
            <v>0</v>
          </cell>
        </row>
        <row r="287">
          <cell r="K287">
            <v>1.2</v>
          </cell>
          <cell r="Q287">
            <v>27.156485984156408</v>
          </cell>
          <cell r="R287">
            <v>4.2145630130677425</v>
          </cell>
          <cell r="U287">
            <v>0</v>
          </cell>
          <cell r="V287">
            <v>0.29583914431446068</v>
          </cell>
          <cell r="W287">
            <v>0</v>
          </cell>
        </row>
        <row r="288">
          <cell r="K288">
            <v>1.4</v>
          </cell>
          <cell r="Q288">
            <v>31.682566981515809</v>
          </cell>
          <cell r="R288">
            <v>4.9169901819123663</v>
          </cell>
          <cell r="U288">
            <v>0</v>
          </cell>
          <cell r="V288">
            <v>0.34514566836687077</v>
          </cell>
          <cell r="W288">
            <v>0</v>
          </cell>
        </row>
        <row r="289">
          <cell r="K289">
            <v>1.3</v>
          </cell>
          <cell r="Q289">
            <v>29.419526482836108</v>
          </cell>
          <cell r="R289">
            <v>4.5657765974900544</v>
          </cell>
          <cell r="U289">
            <v>0</v>
          </cell>
          <cell r="V289">
            <v>0.32049240634066573</v>
          </cell>
          <cell r="W289">
            <v>0</v>
          </cell>
        </row>
        <row r="290">
          <cell r="K290">
            <v>1.3</v>
          </cell>
          <cell r="Q290">
            <v>29.419526482836108</v>
          </cell>
          <cell r="R290">
            <v>4.5657765974900544</v>
          </cell>
          <cell r="U290">
            <v>0</v>
          </cell>
          <cell r="V290">
            <v>0.32049240634066573</v>
          </cell>
          <cell r="W290">
            <v>0</v>
          </cell>
        </row>
        <row r="291">
          <cell r="K291">
            <v>1.3</v>
          </cell>
          <cell r="Q291">
            <v>29.419526482836108</v>
          </cell>
          <cell r="R291">
            <v>4.5657765974900544</v>
          </cell>
          <cell r="U291">
            <v>0</v>
          </cell>
          <cell r="V291">
            <v>0.32049240634066573</v>
          </cell>
          <cell r="W291">
            <v>0</v>
          </cell>
        </row>
        <row r="292">
          <cell r="K292">
            <v>1.3</v>
          </cell>
          <cell r="Q292">
            <v>29.419526482836108</v>
          </cell>
          <cell r="R292">
            <v>4.5657765974900544</v>
          </cell>
          <cell r="U292">
            <v>0</v>
          </cell>
          <cell r="V292">
            <v>0.32049240634066573</v>
          </cell>
          <cell r="W292">
            <v>0</v>
          </cell>
        </row>
        <row r="293">
          <cell r="K293">
            <v>1.4</v>
          </cell>
          <cell r="Q293">
            <v>31.682566981515809</v>
          </cell>
          <cell r="R293">
            <v>4.9169901819123663</v>
          </cell>
          <cell r="U293">
            <v>0</v>
          </cell>
          <cell r="V293">
            <v>0.34514566836687077</v>
          </cell>
          <cell r="W293">
            <v>0</v>
          </cell>
        </row>
        <row r="294">
          <cell r="K294">
            <v>1.2</v>
          </cell>
          <cell r="Q294">
            <v>27.156485984156408</v>
          </cell>
          <cell r="R294">
            <v>4.2145630130677425</v>
          </cell>
          <cell r="U294">
            <v>0</v>
          </cell>
          <cell r="V294">
            <v>0.29583914431446068</v>
          </cell>
          <cell r="W294">
            <v>0</v>
          </cell>
        </row>
        <row r="295">
          <cell r="K295">
            <v>13.2</v>
          </cell>
          <cell r="Q295">
            <v>193.09546503409453</v>
          </cell>
          <cell r="R295">
            <v>29.96753723580451</v>
          </cell>
          <cell r="U295">
            <v>0</v>
          </cell>
          <cell r="V295">
            <v>2.103556298853146</v>
          </cell>
          <cell r="W295">
            <v>0</v>
          </cell>
        </row>
        <row r="296">
          <cell r="K296">
            <v>4.3</v>
          </cell>
          <cell r="Q296">
            <v>15.839331953755401</v>
          </cell>
          <cell r="R296">
            <v>2.4581922212964571</v>
          </cell>
          <cell r="U296">
            <v>0</v>
          </cell>
          <cell r="V296">
            <v>0.17255157439904151</v>
          </cell>
          <cell r="W296">
            <v>0</v>
          </cell>
        </row>
        <row r="297">
          <cell r="K297">
            <v>21.4</v>
          </cell>
          <cell r="Q297">
            <v>194.52275295220559</v>
          </cell>
          <cell r="R297">
            <v>30.189045823925181</v>
          </cell>
          <cell r="U297">
            <v>0</v>
          </cell>
          <cell r="V297">
            <v>2.1191049834889522</v>
          </cell>
          <cell r="W297">
            <v>0</v>
          </cell>
        </row>
        <row r="298">
          <cell r="K298">
            <v>33.799999999999997</v>
          </cell>
          <cell r="Q298">
            <v>307.23687148525931</v>
          </cell>
          <cell r="R298">
            <v>47.681763964891175</v>
          </cell>
          <cell r="U298">
            <v>0</v>
          </cell>
          <cell r="V298">
            <v>3.3469975907442331</v>
          </cell>
          <cell r="W298">
            <v>0</v>
          </cell>
        </row>
        <row r="299">
          <cell r="K299">
            <v>10.1</v>
          </cell>
          <cell r="Q299">
            <v>71.938431960723776</v>
          </cell>
          <cell r="R299">
            <v>11.164517188882348</v>
          </cell>
          <cell r="U299">
            <v>0</v>
          </cell>
          <cell r="V299">
            <v>0.78368770418238198</v>
          </cell>
          <cell r="W299">
            <v>0</v>
          </cell>
        </row>
        <row r="300">
          <cell r="K300">
            <v>14.8</v>
          </cell>
          <cell r="Q300">
            <v>134.5297543781609</v>
          </cell>
          <cell r="R300">
            <v>20.87840552308845</v>
          </cell>
          <cell r="U300">
            <v>0</v>
          </cell>
          <cell r="V300">
            <v>1.4655492409175934</v>
          </cell>
          <cell r="W300">
            <v>0</v>
          </cell>
        </row>
        <row r="301">
          <cell r="K301">
            <v>60</v>
          </cell>
          <cell r="Q301">
            <v>545.3908961276793</v>
          </cell>
          <cell r="R301">
            <v>84.64218455306127</v>
          </cell>
          <cell r="U301">
            <v>0</v>
          </cell>
          <cell r="V301">
            <v>5.9414158415578111</v>
          </cell>
          <cell r="W301">
            <v>0</v>
          </cell>
        </row>
        <row r="302">
          <cell r="K302">
            <v>7.9</v>
          </cell>
          <cell r="Q302">
            <v>167.9973486105564</v>
          </cell>
          <cell r="R302">
            <v>26.072423809199005</v>
          </cell>
          <cell r="U302">
            <v>0</v>
          </cell>
          <cell r="V302">
            <v>1.8301407586033465</v>
          </cell>
          <cell r="W302">
            <v>0</v>
          </cell>
        </row>
        <row r="303">
          <cell r="K303">
            <v>21.6</v>
          </cell>
          <cell r="Q303">
            <v>561.56759266352674</v>
          </cell>
          <cell r="R303">
            <v>87.15273422187262</v>
          </cell>
          <cell r="U303">
            <v>0</v>
          </cell>
          <cell r="V303">
            <v>6.1176426208175378</v>
          </cell>
          <cell r="W303">
            <v>0</v>
          </cell>
        </row>
        <row r="304">
          <cell r="K304">
            <v>21.6</v>
          </cell>
          <cell r="Q304">
            <v>561.56759266352674</v>
          </cell>
          <cell r="R304">
            <v>87.15273422187262</v>
          </cell>
          <cell r="U304">
            <v>0</v>
          </cell>
          <cell r="V304">
            <v>6.1176426208175378</v>
          </cell>
          <cell r="W304">
            <v>0</v>
          </cell>
        </row>
        <row r="305">
          <cell r="K305">
            <v>6.6</v>
          </cell>
          <cell r="Q305">
            <v>68.161191468464807</v>
          </cell>
          <cell r="R305">
            <v>10.578306657835581</v>
          </cell>
          <cell r="U305">
            <v>0</v>
          </cell>
          <cell r="V305">
            <v>0.74253894893651662</v>
          </cell>
          <cell r="W305">
            <v>0</v>
          </cell>
        </row>
        <row r="306">
          <cell r="K306">
            <v>21.6</v>
          </cell>
          <cell r="Q306">
            <v>561.56759266352674</v>
          </cell>
          <cell r="R306">
            <v>87.15273422187262</v>
          </cell>
          <cell r="U306">
            <v>0</v>
          </cell>
          <cell r="V306">
            <v>6.1176426208175378</v>
          </cell>
          <cell r="W306">
            <v>0</v>
          </cell>
        </row>
        <row r="307">
          <cell r="K307">
            <v>21.6</v>
          </cell>
          <cell r="Q307">
            <v>561.56759266352674</v>
          </cell>
          <cell r="R307">
            <v>87.15273422187262</v>
          </cell>
          <cell r="U307">
            <v>0</v>
          </cell>
          <cell r="V307">
            <v>6.1176426208175378</v>
          </cell>
          <cell r="W307">
            <v>0</v>
          </cell>
        </row>
        <row r="308">
          <cell r="K308">
            <v>2.4</v>
          </cell>
          <cell r="Q308">
            <v>21.81563584510717</v>
          </cell>
          <cell r="R308">
            <v>3.3856873821224509</v>
          </cell>
          <cell r="U308">
            <v>0</v>
          </cell>
          <cell r="V308">
            <v>0.23765663366231243</v>
          </cell>
          <cell r="W308">
            <v>0</v>
          </cell>
        </row>
        <row r="309">
          <cell r="K309">
            <v>11.5</v>
          </cell>
          <cell r="Q309">
            <v>244.55310240777197</v>
          </cell>
          <cell r="R309">
            <v>37.953528329846648</v>
          </cell>
          <cell r="U309">
            <v>0</v>
          </cell>
          <cell r="V309">
            <v>2.6641289523972764</v>
          </cell>
          <cell r="W309">
            <v>0</v>
          </cell>
        </row>
        <row r="310">
          <cell r="K310">
            <v>21.6</v>
          </cell>
          <cell r="Q310">
            <v>561.56759266352674</v>
          </cell>
          <cell r="R310">
            <v>87.15273422187262</v>
          </cell>
          <cell r="U310">
            <v>0</v>
          </cell>
          <cell r="V310">
            <v>6.1176426208175378</v>
          </cell>
          <cell r="W310">
            <v>0</v>
          </cell>
        </row>
        <row r="311">
          <cell r="K311">
            <v>21.6</v>
          </cell>
          <cell r="Q311">
            <v>561.56759266352674</v>
          </cell>
          <cell r="R311">
            <v>87.15273422187262</v>
          </cell>
          <cell r="U311">
            <v>0</v>
          </cell>
          <cell r="V311">
            <v>6.1176426208175378</v>
          </cell>
          <cell r="W311">
            <v>0</v>
          </cell>
        </row>
        <row r="312">
          <cell r="K312">
            <v>5.8</v>
          </cell>
          <cell r="Q312">
            <v>123.33982556218065</v>
          </cell>
          <cell r="R312">
            <v>19.141779505487879</v>
          </cell>
          <cell r="U312">
            <v>0</v>
          </cell>
          <cell r="V312">
            <v>1.3436476455568873</v>
          </cell>
          <cell r="W312">
            <v>0</v>
          </cell>
        </row>
        <row r="313">
          <cell r="K313">
            <v>20.3</v>
          </cell>
          <cell r="Q313">
            <v>184.52391985653148</v>
          </cell>
          <cell r="R313">
            <v>28.637272440452392</v>
          </cell>
          <cell r="U313">
            <v>0</v>
          </cell>
          <cell r="V313">
            <v>2.0101790263937258</v>
          </cell>
          <cell r="W313">
            <v>0</v>
          </cell>
        </row>
        <row r="314">
          <cell r="K314">
            <v>18.7</v>
          </cell>
          <cell r="Q314">
            <v>169.98016262646004</v>
          </cell>
          <cell r="R314">
            <v>26.380147519037429</v>
          </cell>
          <cell r="U314">
            <v>0</v>
          </cell>
          <cell r="V314">
            <v>1.851741270618851</v>
          </cell>
          <cell r="W314">
            <v>0</v>
          </cell>
        </row>
        <row r="315">
          <cell r="K315">
            <v>3.1</v>
          </cell>
          <cell r="Q315">
            <v>28.17852963326343</v>
          </cell>
          <cell r="R315">
            <v>4.3731795352414995</v>
          </cell>
          <cell r="U315">
            <v>0</v>
          </cell>
          <cell r="V315">
            <v>0.30697315181382023</v>
          </cell>
          <cell r="W315">
            <v>0</v>
          </cell>
        </row>
        <row r="316">
          <cell r="K316">
            <v>4.3</v>
          </cell>
          <cell r="Q316">
            <v>0</v>
          </cell>
          <cell r="R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Q317">
            <v>0</v>
          </cell>
          <cell r="R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Q318">
            <v>0</v>
          </cell>
          <cell r="R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Q319">
            <v>0</v>
          </cell>
          <cell r="R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Q320">
            <v>0</v>
          </cell>
          <cell r="R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Q321">
            <v>0</v>
          </cell>
          <cell r="R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Q322">
            <v>0</v>
          </cell>
          <cell r="R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Q323">
            <v>0</v>
          </cell>
          <cell r="R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Q324">
            <v>0</v>
          </cell>
          <cell r="R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Q325">
            <v>0</v>
          </cell>
          <cell r="R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Q326">
            <v>0</v>
          </cell>
          <cell r="R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Q327">
            <v>0</v>
          </cell>
          <cell r="R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Q328">
            <v>0</v>
          </cell>
          <cell r="R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Q329">
            <v>0</v>
          </cell>
          <cell r="R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Q330">
            <v>0</v>
          </cell>
          <cell r="R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Q331">
            <v>0</v>
          </cell>
          <cell r="R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Q332">
            <v>0</v>
          </cell>
          <cell r="R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K333">
            <v>7.1</v>
          </cell>
          <cell r="Q333">
            <v>0</v>
          </cell>
          <cell r="R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Q334">
            <v>0</v>
          </cell>
          <cell r="R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Q335">
            <v>0</v>
          </cell>
          <cell r="R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Q336">
            <v>0</v>
          </cell>
          <cell r="R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Q337">
            <v>0</v>
          </cell>
          <cell r="R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Q338">
            <v>0</v>
          </cell>
          <cell r="R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Q339">
            <v>0</v>
          </cell>
          <cell r="R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Q340">
            <v>0</v>
          </cell>
          <cell r="R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Q341">
            <v>0</v>
          </cell>
          <cell r="R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K342">
            <v>10.9</v>
          </cell>
          <cell r="Q342">
            <v>0</v>
          </cell>
          <cell r="R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K343">
            <v>11.3</v>
          </cell>
          <cell r="Q343">
            <v>0</v>
          </cell>
          <cell r="R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K344">
            <v>11.3</v>
          </cell>
          <cell r="Q344">
            <v>0</v>
          </cell>
          <cell r="R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K345">
            <v>11.2</v>
          </cell>
          <cell r="Q345">
            <v>0</v>
          </cell>
          <cell r="R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K346">
            <v>11.2</v>
          </cell>
          <cell r="Q346">
            <v>0</v>
          </cell>
          <cell r="R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K347">
            <v>11.3</v>
          </cell>
          <cell r="Q347">
            <v>0</v>
          </cell>
          <cell r="R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K348">
            <v>11.3</v>
          </cell>
          <cell r="Q348">
            <v>0</v>
          </cell>
          <cell r="R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K349">
            <v>11.5</v>
          </cell>
          <cell r="Q349">
            <v>0</v>
          </cell>
          <cell r="R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Q350">
            <v>0</v>
          </cell>
          <cell r="R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Q351">
            <v>0</v>
          </cell>
          <cell r="R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Q352">
            <v>0</v>
          </cell>
          <cell r="R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Q353">
            <v>0</v>
          </cell>
          <cell r="R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Q354">
            <v>0</v>
          </cell>
          <cell r="R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Q355">
            <v>0</v>
          </cell>
          <cell r="R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Q356">
            <v>0</v>
          </cell>
          <cell r="R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Q357">
            <v>0</v>
          </cell>
          <cell r="R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K358">
            <v>0</v>
          </cell>
          <cell r="Q358">
            <v>0</v>
          </cell>
          <cell r="R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K359">
            <v>0</v>
          </cell>
          <cell r="Q359">
            <v>0</v>
          </cell>
          <cell r="R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K360">
            <v>0</v>
          </cell>
          <cell r="Q360">
            <v>0</v>
          </cell>
          <cell r="R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K361">
            <v>0</v>
          </cell>
          <cell r="Q361">
            <v>0</v>
          </cell>
          <cell r="R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K362">
            <v>0</v>
          </cell>
          <cell r="Q362">
            <v>0</v>
          </cell>
          <cell r="R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K363">
            <v>0</v>
          </cell>
          <cell r="Q363">
            <v>0</v>
          </cell>
          <cell r="R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K364">
            <v>0</v>
          </cell>
          <cell r="Q364">
            <v>0</v>
          </cell>
          <cell r="R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K365">
            <v>0</v>
          </cell>
          <cell r="Q365">
            <v>0</v>
          </cell>
          <cell r="R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K366">
            <v>0</v>
          </cell>
          <cell r="Q366">
            <v>0</v>
          </cell>
          <cell r="R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K367">
            <v>0</v>
          </cell>
          <cell r="Q367">
            <v>0</v>
          </cell>
          <cell r="R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K368">
            <v>10.9</v>
          </cell>
          <cell r="Q368">
            <v>0</v>
          </cell>
          <cell r="R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K369">
            <v>11.3</v>
          </cell>
          <cell r="Q369">
            <v>0</v>
          </cell>
          <cell r="R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K370">
            <v>11.3</v>
          </cell>
          <cell r="Q370">
            <v>0</v>
          </cell>
          <cell r="R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K371">
            <v>11.2</v>
          </cell>
          <cell r="Q371">
            <v>0</v>
          </cell>
          <cell r="R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K372">
            <v>11.2</v>
          </cell>
          <cell r="Q372">
            <v>0</v>
          </cell>
          <cell r="R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K373">
            <v>11.3</v>
          </cell>
          <cell r="Q373">
            <v>0</v>
          </cell>
          <cell r="R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K374">
            <v>11.3</v>
          </cell>
          <cell r="Q374">
            <v>0</v>
          </cell>
          <cell r="R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K375">
            <v>11.5</v>
          </cell>
          <cell r="Q375">
            <v>0</v>
          </cell>
          <cell r="R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K376">
            <v>11.5</v>
          </cell>
          <cell r="Q376">
            <v>0</v>
          </cell>
          <cell r="R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K377">
            <v>11.3</v>
          </cell>
          <cell r="Q377">
            <v>0</v>
          </cell>
          <cell r="R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K378">
            <v>11.3</v>
          </cell>
          <cell r="Q378">
            <v>0</v>
          </cell>
          <cell r="R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K379">
            <v>10.9</v>
          </cell>
          <cell r="Q379">
            <v>0</v>
          </cell>
          <cell r="R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K380">
            <v>11.3</v>
          </cell>
          <cell r="Q380">
            <v>0</v>
          </cell>
          <cell r="R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K381">
            <v>11.3</v>
          </cell>
          <cell r="Q381">
            <v>0</v>
          </cell>
          <cell r="R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K382">
            <v>11.3</v>
          </cell>
          <cell r="Q382">
            <v>0</v>
          </cell>
          <cell r="R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K383">
            <v>11.5</v>
          </cell>
          <cell r="Q383">
            <v>0</v>
          </cell>
          <cell r="R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Q384">
            <v>0</v>
          </cell>
          <cell r="R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Q385">
            <v>0</v>
          </cell>
          <cell r="R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Q386">
            <v>0</v>
          </cell>
          <cell r="R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Q387">
            <v>0</v>
          </cell>
          <cell r="R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Q388">
            <v>0</v>
          </cell>
          <cell r="R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Q389">
            <v>0</v>
          </cell>
          <cell r="R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Q390">
            <v>0</v>
          </cell>
          <cell r="R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Q391">
            <v>0</v>
          </cell>
          <cell r="R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Q392">
            <v>0</v>
          </cell>
          <cell r="R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Q393">
            <v>0</v>
          </cell>
          <cell r="R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Q394">
            <v>0</v>
          </cell>
          <cell r="R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Q395">
            <v>0</v>
          </cell>
          <cell r="R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Q396">
            <v>0</v>
          </cell>
          <cell r="R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Q397">
            <v>0</v>
          </cell>
          <cell r="R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Q398">
            <v>0</v>
          </cell>
          <cell r="R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Q399">
            <v>0</v>
          </cell>
          <cell r="R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Q400">
            <v>0</v>
          </cell>
          <cell r="R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Q401">
            <v>0</v>
          </cell>
          <cell r="R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Q402">
            <v>0</v>
          </cell>
          <cell r="R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Q403">
            <v>0</v>
          </cell>
          <cell r="R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K404">
            <v>0</v>
          </cell>
          <cell r="Q404">
            <v>0</v>
          </cell>
          <cell r="R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Q405">
            <v>0</v>
          </cell>
          <cell r="R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Q406">
            <v>0</v>
          </cell>
          <cell r="R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Q407">
            <v>2859.9101315439784</v>
          </cell>
          <cell r="R407">
            <v>443.84503459450002</v>
          </cell>
          <cell r="U407">
            <v>0</v>
          </cell>
          <cell r="V407">
            <v>31.155480374958749</v>
          </cell>
          <cell r="W407">
            <v>0</v>
          </cell>
        </row>
        <row r="408">
          <cell r="Q408">
            <v>5958.1461073832888</v>
          </cell>
          <cell r="R408">
            <v>924.6771554052084</v>
          </cell>
          <cell r="U408">
            <v>0</v>
          </cell>
          <cell r="V408">
            <v>64.907250781164052</v>
          </cell>
          <cell r="W408">
            <v>0</v>
          </cell>
        </row>
        <row r="409">
          <cell r="Q409">
            <v>3813.2135087253046</v>
          </cell>
          <cell r="R409">
            <v>591.79337945933332</v>
          </cell>
          <cell r="U409">
            <v>0</v>
          </cell>
          <cell r="V409">
            <v>41.540640499944999</v>
          </cell>
          <cell r="W409">
            <v>0</v>
          </cell>
        </row>
        <row r="410">
          <cell r="Q410">
            <v>0</v>
          </cell>
          <cell r="R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Q411">
            <v>0</v>
          </cell>
          <cell r="R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K412">
            <v>21</v>
          </cell>
          <cell r="Q412">
            <v>231.144086366648</v>
          </cell>
          <cell r="R412">
            <v>35.872510075808776</v>
          </cell>
          <cell r="U412">
            <v>0</v>
          </cell>
          <cell r="V412">
            <v>2.5180529161229455</v>
          </cell>
          <cell r="W412">
            <v>0</v>
          </cell>
        </row>
        <row r="413">
          <cell r="K413">
            <v>20</v>
          </cell>
          <cell r="Q413">
            <v>220.13722511109333</v>
          </cell>
          <cell r="R413">
            <v>34.164295310294072</v>
          </cell>
          <cell r="U413">
            <v>0</v>
          </cell>
          <cell r="V413">
            <v>2.3981456344028054</v>
          </cell>
          <cell r="W413">
            <v>0</v>
          </cell>
        </row>
        <row r="414">
          <cell r="K414">
            <v>19</v>
          </cell>
          <cell r="Q414">
            <v>209.13036385553866</v>
          </cell>
          <cell r="R414">
            <v>32.456080544779375</v>
          </cell>
          <cell r="U414">
            <v>0</v>
          </cell>
          <cell r="V414">
            <v>2.2782383526826648</v>
          </cell>
          <cell r="W414">
            <v>0</v>
          </cell>
        </row>
        <row r="415">
          <cell r="K415">
            <v>28</v>
          </cell>
          <cell r="Q415">
            <v>308.1921151555307</v>
          </cell>
          <cell r="R415">
            <v>47.830013434411704</v>
          </cell>
          <cell r="U415">
            <v>0</v>
          </cell>
          <cell r="V415">
            <v>3.3574038881639274</v>
          </cell>
          <cell r="W415">
            <v>0</v>
          </cell>
        </row>
        <row r="416">
          <cell r="K416">
            <v>20</v>
          </cell>
          <cell r="Q416">
            <v>220.13722511109333</v>
          </cell>
          <cell r="R416">
            <v>34.164295310294072</v>
          </cell>
          <cell r="U416">
            <v>0</v>
          </cell>
          <cell r="V416">
            <v>2.3981456344028054</v>
          </cell>
          <cell r="W416">
            <v>0</v>
          </cell>
        </row>
        <row r="417">
          <cell r="K417">
            <v>9</v>
          </cell>
          <cell r="Q417">
            <v>99.061751299991997</v>
          </cell>
          <cell r="R417">
            <v>15.373932889632334</v>
          </cell>
          <cell r="U417">
            <v>0</v>
          </cell>
          <cell r="V417">
            <v>1.0791655354812624</v>
          </cell>
          <cell r="W417">
            <v>0</v>
          </cell>
        </row>
        <row r="418">
          <cell r="K418">
            <v>18</v>
          </cell>
          <cell r="Q418">
            <v>198.12350259998399</v>
          </cell>
          <cell r="R418">
            <v>30.747865779264668</v>
          </cell>
          <cell r="U418">
            <v>0</v>
          </cell>
          <cell r="V418">
            <v>2.1583310709625247</v>
          </cell>
          <cell r="W418">
            <v>0</v>
          </cell>
        </row>
        <row r="419">
          <cell r="K419">
            <v>12</v>
          </cell>
          <cell r="Q419">
            <v>132.08233506665601</v>
          </cell>
          <cell r="R419">
            <v>20.498577186176448</v>
          </cell>
          <cell r="U419">
            <v>0</v>
          </cell>
          <cell r="V419">
            <v>1.4388873806416833</v>
          </cell>
          <cell r="W419">
            <v>0</v>
          </cell>
        </row>
        <row r="420">
          <cell r="K420">
            <v>24</v>
          </cell>
          <cell r="Q420">
            <v>264.16467013331203</v>
          </cell>
          <cell r="R420">
            <v>40.997154372352895</v>
          </cell>
          <cell r="U420">
            <v>0</v>
          </cell>
          <cell r="V420">
            <v>2.8777747612833666</v>
          </cell>
          <cell r="W420">
            <v>0</v>
          </cell>
        </row>
        <row r="421">
          <cell r="K421">
            <v>20</v>
          </cell>
          <cell r="Q421">
            <v>220.13722511109333</v>
          </cell>
          <cell r="R421">
            <v>34.164295310294072</v>
          </cell>
          <cell r="U421">
            <v>0</v>
          </cell>
          <cell r="V421">
            <v>2.3981456344028054</v>
          </cell>
          <cell r="W421">
            <v>0</v>
          </cell>
        </row>
        <row r="422">
          <cell r="K422">
            <v>60</v>
          </cell>
          <cell r="Q422">
            <v>983.77276836881435</v>
          </cell>
          <cell r="R422">
            <v>152.67705568568107</v>
          </cell>
          <cell r="U422">
            <v>0</v>
          </cell>
          <cell r="V422">
            <v>10.717089617702944</v>
          </cell>
          <cell r="W422">
            <v>0</v>
          </cell>
        </row>
        <row r="423">
          <cell r="K423">
            <v>20</v>
          </cell>
          <cell r="Q423">
            <v>220.13722511109333</v>
          </cell>
          <cell r="R423">
            <v>34.164295310294072</v>
          </cell>
          <cell r="U423">
            <v>0</v>
          </cell>
          <cell r="V423">
            <v>2.3981456344028054</v>
          </cell>
          <cell r="W423">
            <v>0</v>
          </cell>
        </row>
        <row r="424">
          <cell r="K424">
            <v>24</v>
          </cell>
          <cell r="Q424">
            <v>264.16467013331203</v>
          </cell>
          <cell r="R424">
            <v>40.997154372352895</v>
          </cell>
          <cell r="U424">
            <v>0</v>
          </cell>
          <cell r="V424">
            <v>2.8777747612833666</v>
          </cell>
          <cell r="W424">
            <v>0</v>
          </cell>
        </row>
        <row r="425">
          <cell r="K425">
            <v>5</v>
          </cell>
          <cell r="Q425">
            <v>166.01453256065449</v>
          </cell>
          <cell r="R425">
            <v>25.764699783693306</v>
          </cell>
          <cell r="U425">
            <v>0</v>
          </cell>
          <cell r="V425">
            <v>1.8085402244297353</v>
          </cell>
          <cell r="W425">
            <v>0</v>
          </cell>
        </row>
        <row r="426">
          <cell r="K426">
            <v>48</v>
          </cell>
          <cell r="Q426">
            <v>308.0348917629459</v>
          </cell>
          <cell r="R426">
            <v>47.805613079536514</v>
          </cell>
          <cell r="U426">
            <v>0</v>
          </cell>
          <cell r="V426">
            <v>3.3556911174484663</v>
          </cell>
          <cell r="W426">
            <v>0</v>
          </cell>
        </row>
        <row r="427">
          <cell r="K427">
            <v>7.5</v>
          </cell>
          <cell r="Q427">
            <v>403.42199669590866</v>
          </cell>
          <cell r="R427">
            <v>62.609257579366833</v>
          </cell>
          <cell r="U427">
            <v>0</v>
          </cell>
          <cell r="V427">
            <v>4.3948255444308453</v>
          </cell>
          <cell r="W427">
            <v>0</v>
          </cell>
        </row>
        <row r="428">
          <cell r="K428">
            <v>7.5</v>
          </cell>
          <cell r="Q428">
            <v>403.42199669590866</v>
          </cell>
          <cell r="R428">
            <v>62.609257579366833</v>
          </cell>
          <cell r="U428">
            <v>0</v>
          </cell>
          <cell r="V428">
            <v>4.3948255444308453</v>
          </cell>
          <cell r="W428">
            <v>0</v>
          </cell>
        </row>
        <row r="429">
          <cell r="K429">
            <v>29</v>
          </cell>
          <cell r="Q429">
            <v>186.10441377344648</v>
          </cell>
          <cell r="R429">
            <v>28.882557902219972</v>
          </cell>
          <cell r="U429">
            <v>0</v>
          </cell>
          <cell r="V429">
            <v>2.0273967167917819</v>
          </cell>
          <cell r="W429">
            <v>0</v>
          </cell>
        </row>
        <row r="430">
          <cell r="K430">
            <v>35</v>
          </cell>
          <cell r="Q430">
            <v>224.60877524381473</v>
          </cell>
          <cell r="R430">
            <v>34.858259537162034</v>
          </cell>
          <cell r="U430">
            <v>0</v>
          </cell>
          <cell r="V430">
            <v>2.4468581064728401</v>
          </cell>
          <cell r="W430">
            <v>0</v>
          </cell>
        </row>
        <row r="431">
          <cell r="K431">
            <v>11</v>
          </cell>
          <cell r="Q431">
            <v>77.898504535388355</v>
          </cell>
          <cell r="R431">
            <v>12.089493323240665</v>
          </cell>
          <cell r="U431">
            <v>0</v>
          </cell>
          <cell r="V431">
            <v>0.84861594164173337</v>
          </cell>
          <cell r="W431">
            <v>0</v>
          </cell>
        </row>
        <row r="432">
          <cell r="K432">
            <v>4</v>
          </cell>
          <cell r="Q432">
            <v>25.669574313578828</v>
          </cell>
          <cell r="R432">
            <v>3.9838010899613758</v>
          </cell>
          <cell r="U432">
            <v>0</v>
          </cell>
          <cell r="V432">
            <v>0.27964092645403887</v>
          </cell>
          <cell r="W432">
            <v>0</v>
          </cell>
        </row>
        <row r="433">
          <cell r="K433">
            <v>4</v>
          </cell>
          <cell r="Q433">
            <v>25.669574313578828</v>
          </cell>
          <cell r="R433">
            <v>3.9838010899613758</v>
          </cell>
          <cell r="U433">
            <v>0</v>
          </cell>
          <cell r="V433">
            <v>0.27964092645403887</v>
          </cell>
          <cell r="W433">
            <v>0</v>
          </cell>
        </row>
        <row r="434">
          <cell r="K434">
            <v>8</v>
          </cell>
          <cell r="Q434">
            <v>94.422429739864683</v>
          </cell>
          <cell r="R434">
            <v>14.653931300897776</v>
          </cell>
          <cell r="U434">
            <v>0</v>
          </cell>
          <cell r="V434">
            <v>1.0286253838081616</v>
          </cell>
          <cell r="W434">
            <v>0</v>
          </cell>
        </row>
        <row r="435">
          <cell r="K435">
            <v>5</v>
          </cell>
          <cell r="Q435">
            <v>32.086967891973529</v>
          </cell>
          <cell r="R435">
            <v>4.9797513624517187</v>
          </cell>
          <cell r="U435">
            <v>0</v>
          </cell>
          <cell r="V435">
            <v>0.34955115806754855</v>
          </cell>
          <cell r="W435">
            <v>0</v>
          </cell>
        </row>
        <row r="436">
          <cell r="K436">
            <v>10</v>
          </cell>
          <cell r="Q436">
            <v>64.173935783947059</v>
          </cell>
          <cell r="R436">
            <v>9.9595027249034374</v>
          </cell>
          <cell r="U436">
            <v>0</v>
          </cell>
          <cell r="V436">
            <v>0.6991023161350971</v>
          </cell>
          <cell r="W436">
            <v>0</v>
          </cell>
        </row>
        <row r="437">
          <cell r="K437">
            <v>8</v>
          </cell>
          <cell r="Q437">
            <v>18.735558653002744</v>
          </cell>
          <cell r="R437">
            <v>2.9076734218917228</v>
          </cell>
          <cell r="U437">
            <v>0</v>
          </cell>
          <cell r="V437">
            <v>0.20410268262953613</v>
          </cell>
          <cell r="W437">
            <v>0</v>
          </cell>
        </row>
        <row r="438">
          <cell r="K438">
            <v>9</v>
          </cell>
          <cell r="Q438">
            <v>273.61640200829407</v>
          </cell>
          <cell r="R438">
            <v>42.464020136685328</v>
          </cell>
          <cell r="U438">
            <v>0</v>
          </cell>
          <cell r="V438">
            <v>2.9807406704888413</v>
          </cell>
          <cell r="W438">
            <v>0</v>
          </cell>
        </row>
        <row r="439">
          <cell r="K439">
            <v>22</v>
          </cell>
          <cell r="Q439">
            <v>0</v>
          </cell>
          <cell r="R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K440">
            <v>13</v>
          </cell>
          <cell r="Q440">
            <v>431.63778465770167</v>
          </cell>
          <cell r="R440">
            <v>66.988219437602595</v>
          </cell>
          <cell r="U440">
            <v>0</v>
          </cell>
          <cell r="V440">
            <v>4.7022045835173119</v>
          </cell>
          <cell r="W440">
            <v>0</v>
          </cell>
        </row>
        <row r="441">
          <cell r="K441">
            <v>3</v>
          </cell>
          <cell r="Q441">
            <v>99.608719536392698</v>
          </cell>
          <cell r="R441">
            <v>15.458819870215985</v>
          </cell>
          <cell r="U441">
            <v>0</v>
          </cell>
          <cell r="V441">
            <v>1.0851241346578413</v>
          </cell>
          <cell r="W441">
            <v>0</v>
          </cell>
        </row>
        <row r="442">
          <cell r="K442">
            <v>2</v>
          </cell>
          <cell r="Q442">
            <v>107.57919911890899</v>
          </cell>
          <cell r="R442">
            <v>16.695802021164493</v>
          </cell>
          <cell r="U442">
            <v>0</v>
          </cell>
          <cell r="V442">
            <v>1.1719534785148922</v>
          </cell>
          <cell r="W442">
            <v>0</v>
          </cell>
        </row>
        <row r="443">
          <cell r="K443">
            <v>3</v>
          </cell>
          <cell r="Q443">
            <v>161.36879867836348</v>
          </cell>
          <cell r="R443">
            <v>25.043703031746738</v>
          </cell>
          <cell r="U443">
            <v>0</v>
          </cell>
          <cell r="V443">
            <v>1.7579302177723382</v>
          </cell>
          <cell r="W443">
            <v>0</v>
          </cell>
        </row>
        <row r="444">
          <cell r="K444">
            <v>15</v>
          </cell>
          <cell r="Q444">
            <v>0</v>
          </cell>
          <cell r="R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K445">
            <v>2</v>
          </cell>
          <cell r="Q445">
            <v>42.530974331786432</v>
          </cell>
          <cell r="R445">
            <v>6.600613622582026</v>
          </cell>
          <cell r="U445">
            <v>0</v>
          </cell>
          <cell r="V445">
            <v>0.46332677432996111</v>
          </cell>
          <cell r="W445">
            <v>0</v>
          </cell>
        </row>
        <row r="446">
          <cell r="K446">
            <v>13</v>
          </cell>
          <cell r="Q446">
            <v>118.16802749433052</v>
          </cell>
          <cell r="R446">
            <v>18.339139986496608</v>
          </cell>
          <cell r="U446">
            <v>0</v>
          </cell>
          <cell r="V446">
            <v>1.287306765670859</v>
          </cell>
          <cell r="W446">
            <v>0</v>
          </cell>
        </row>
        <row r="447">
          <cell r="K447">
            <v>13</v>
          </cell>
          <cell r="Q447">
            <v>0</v>
          </cell>
          <cell r="R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K448">
            <v>7</v>
          </cell>
          <cell r="Q448">
            <v>376.52719691618148</v>
          </cell>
          <cell r="R448">
            <v>58.435307074075723</v>
          </cell>
          <cell r="U448">
            <v>0</v>
          </cell>
          <cell r="V448">
            <v>4.1018371748021227</v>
          </cell>
          <cell r="W448">
            <v>0</v>
          </cell>
        </row>
        <row r="449">
          <cell r="K449">
            <v>1</v>
          </cell>
          <cell r="Q449">
            <v>53.789599559454494</v>
          </cell>
          <cell r="R449">
            <v>8.3479010105822464</v>
          </cell>
          <cell r="U449">
            <v>0</v>
          </cell>
          <cell r="V449">
            <v>0.58597673925744609</v>
          </cell>
          <cell r="W449">
            <v>0</v>
          </cell>
        </row>
        <row r="450">
          <cell r="K450">
            <v>13</v>
          </cell>
          <cell r="Q450">
            <v>0</v>
          </cell>
          <cell r="R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K451">
            <v>11</v>
          </cell>
          <cell r="Q451">
            <v>0</v>
          </cell>
          <cell r="R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K452">
            <v>2</v>
          </cell>
          <cell r="Q452">
            <v>42.530974331786432</v>
          </cell>
          <cell r="R452">
            <v>6.600613622582026</v>
          </cell>
          <cell r="U452">
            <v>0</v>
          </cell>
          <cell r="V452">
            <v>0.46332677432996111</v>
          </cell>
          <cell r="W452">
            <v>0</v>
          </cell>
        </row>
        <row r="453">
          <cell r="K453">
            <v>14</v>
          </cell>
          <cell r="Q453">
            <v>32.7872276427548</v>
          </cell>
          <cell r="R453">
            <v>5.0884284883105151</v>
          </cell>
          <cell r="U453">
            <v>0</v>
          </cell>
          <cell r="V453">
            <v>0.35717969460168819</v>
          </cell>
          <cell r="W453">
            <v>0</v>
          </cell>
        </row>
        <row r="454">
          <cell r="K454">
            <v>4</v>
          </cell>
          <cell r="Q454">
            <v>121.60728978146402</v>
          </cell>
          <cell r="R454">
            <v>18.872897838526811</v>
          </cell>
          <cell r="U454">
            <v>0</v>
          </cell>
          <cell r="V454">
            <v>1.3247736313283738</v>
          </cell>
          <cell r="W454">
            <v>0</v>
          </cell>
        </row>
        <row r="455">
          <cell r="K455">
            <v>8</v>
          </cell>
          <cell r="Q455">
            <v>117.0275545661179</v>
          </cell>
          <cell r="R455">
            <v>18.162143779275461</v>
          </cell>
          <cell r="U455">
            <v>0</v>
          </cell>
          <cell r="V455">
            <v>1.2748826053655429</v>
          </cell>
          <cell r="W455">
            <v>0</v>
          </cell>
        </row>
        <row r="456">
          <cell r="K456">
            <v>16</v>
          </cell>
          <cell r="Q456">
            <v>145.43757230071446</v>
          </cell>
          <cell r="R456">
            <v>22.571249214149674</v>
          </cell>
          <cell r="U456">
            <v>0</v>
          </cell>
          <cell r="V456">
            <v>1.5843775577487496</v>
          </cell>
          <cell r="W456">
            <v>0</v>
          </cell>
        </row>
        <row r="457">
          <cell r="K457">
            <v>16</v>
          </cell>
          <cell r="Q457">
            <v>0</v>
          </cell>
          <cell r="R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K458">
            <v>41</v>
          </cell>
          <cell r="Q458">
            <v>1361.3191669973667</v>
          </cell>
          <cell r="R458">
            <v>211.27053822628511</v>
          </cell>
          <cell r="U458">
            <v>0</v>
          </cell>
          <cell r="V458">
            <v>14.83002984032383</v>
          </cell>
          <cell r="W458">
            <v>0</v>
          </cell>
        </row>
        <row r="459">
          <cell r="K459">
            <v>16</v>
          </cell>
          <cell r="Q459">
            <v>0</v>
          </cell>
          <cell r="R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K460">
            <v>16</v>
          </cell>
          <cell r="Q460">
            <v>0</v>
          </cell>
          <cell r="R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K461">
            <v>12</v>
          </cell>
          <cell r="Q461">
            <v>645.4751947134539</v>
          </cell>
          <cell r="R461">
            <v>100.17481212698695</v>
          </cell>
          <cell r="U461">
            <v>0</v>
          </cell>
          <cell r="V461">
            <v>7.0317208710893526</v>
          </cell>
          <cell r="W461">
            <v>0</v>
          </cell>
        </row>
        <row r="462">
          <cell r="K462">
            <v>1</v>
          </cell>
          <cell r="Q462">
            <v>53.789599559454494</v>
          </cell>
          <cell r="R462">
            <v>8.3479010105822464</v>
          </cell>
          <cell r="U462">
            <v>0</v>
          </cell>
          <cell r="V462">
            <v>0.58597673925744609</v>
          </cell>
          <cell r="W462">
            <v>0</v>
          </cell>
        </row>
        <row r="463">
          <cell r="K463">
            <v>7</v>
          </cell>
          <cell r="Q463">
            <v>0</v>
          </cell>
          <cell r="R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K464">
            <v>12</v>
          </cell>
          <cell r="Q464">
            <v>255.18584599071858</v>
          </cell>
          <cell r="R464">
            <v>39.603681735492152</v>
          </cell>
          <cell r="U464">
            <v>0</v>
          </cell>
          <cell r="V464">
            <v>2.7799606459797666</v>
          </cell>
          <cell r="W464">
            <v>0</v>
          </cell>
        </row>
        <row r="465">
          <cell r="K465">
            <v>29</v>
          </cell>
          <cell r="Q465">
            <v>263.60559979504501</v>
          </cell>
          <cell r="R465">
            <v>40.910389200646279</v>
          </cell>
          <cell r="U465">
            <v>0</v>
          </cell>
          <cell r="V465">
            <v>2.8716843234196086</v>
          </cell>
          <cell r="W465">
            <v>0</v>
          </cell>
        </row>
        <row r="466">
          <cell r="K466">
            <v>13</v>
          </cell>
          <cell r="Q466">
            <v>0</v>
          </cell>
          <cell r="R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K467">
            <v>13</v>
          </cell>
          <cell r="Q467">
            <v>0</v>
          </cell>
          <cell r="R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K468">
            <v>13</v>
          </cell>
          <cell r="Q468">
            <v>0</v>
          </cell>
          <cell r="R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K469">
            <v>1</v>
          </cell>
          <cell r="Q469">
            <v>53.789599559454494</v>
          </cell>
          <cell r="R469">
            <v>8.3479010105822464</v>
          </cell>
          <cell r="U469">
            <v>0</v>
          </cell>
          <cell r="V469">
            <v>0.58597673925744609</v>
          </cell>
          <cell r="W469">
            <v>0</v>
          </cell>
        </row>
        <row r="470">
          <cell r="K470">
            <v>7</v>
          </cell>
          <cell r="Q470">
            <v>0</v>
          </cell>
          <cell r="R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K471">
            <v>3</v>
          </cell>
          <cell r="Q471">
            <v>161.36879867836348</v>
          </cell>
          <cell r="R471">
            <v>25.043703031746738</v>
          </cell>
          <cell r="U471">
            <v>0</v>
          </cell>
          <cell r="V471">
            <v>1.7579302177723382</v>
          </cell>
          <cell r="W471">
            <v>0</v>
          </cell>
        </row>
        <row r="472">
          <cell r="K472">
            <v>12</v>
          </cell>
          <cell r="Q472">
            <v>0</v>
          </cell>
          <cell r="R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K473">
            <v>1</v>
          </cell>
          <cell r="Q473">
            <v>53.789599559454494</v>
          </cell>
          <cell r="R473">
            <v>8.3479010105822464</v>
          </cell>
          <cell r="U473">
            <v>0</v>
          </cell>
          <cell r="V473">
            <v>0.58597673925744609</v>
          </cell>
          <cell r="W473">
            <v>0</v>
          </cell>
        </row>
        <row r="474">
          <cell r="K474">
            <v>7</v>
          </cell>
          <cell r="Q474">
            <v>376.52719691618148</v>
          </cell>
          <cell r="R474">
            <v>58.435307074075723</v>
          </cell>
          <cell r="U474">
            <v>0</v>
          </cell>
          <cell r="V474">
            <v>4.1018371748021227</v>
          </cell>
          <cell r="W474">
            <v>0</v>
          </cell>
        </row>
        <row r="475">
          <cell r="K475">
            <v>13</v>
          </cell>
          <cell r="Q475">
            <v>0</v>
          </cell>
          <cell r="R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K476">
            <v>7</v>
          </cell>
          <cell r="Q476">
            <v>16.3936138213774</v>
          </cell>
          <cell r="R476">
            <v>2.5442142441552575</v>
          </cell>
          <cell r="U476">
            <v>0</v>
          </cell>
          <cell r="V476">
            <v>0.1785898473008441</v>
          </cell>
          <cell r="W476">
            <v>0</v>
          </cell>
        </row>
        <row r="477">
          <cell r="K477">
            <v>2</v>
          </cell>
          <cell r="Q477">
            <v>42.530974331786432</v>
          </cell>
          <cell r="R477">
            <v>6.600613622582026</v>
          </cell>
          <cell r="U477">
            <v>0</v>
          </cell>
          <cell r="V477">
            <v>0.46332677432996111</v>
          </cell>
          <cell r="W477">
            <v>0</v>
          </cell>
        </row>
        <row r="478">
          <cell r="K478">
            <v>29</v>
          </cell>
          <cell r="Q478">
            <v>67.916400117134955</v>
          </cell>
          <cell r="R478">
            <v>10.540316154357495</v>
          </cell>
          <cell r="U478">
            <v>0</v>
          </cell>
          <cell r="V478">
            <v>0.73987222453206847</v>
          </cell>
          <cell r="W478">
            <v>0</v>
          </cell>
        </row>
        <row r="479">
          <cell r="K479">
            <v>9</v>
          </cell>
          <cell r="Q479">
            <v>273.61640200829407</v>
          </cell>
          <cell r="R479">
            <v>42.464020136685328</v>
          </cell>
          <cell r="U479">
            <v>0</v>
          </cell>
          <cell r="V479">
            <v>2.9807406704888413</v>
          </cell>
          <cell r="W479">
            <v>0</v>
          </cell>
        </row>
        <row r="480">
          <cell r="K480">
            <v>22</v>
          </cell>
          <cell r="Q480">
            <v>0</v>
          </cell>
          <cell r="R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K481">
            <v>13</v>
          </cell>
          <cell r="Q481">
            <v>431.63778465770167</v>
          </cell>
          <cell r="R481">
            <v>66.988219437602595</v>
          </cell>
          <cell r="U481">
            <v>0</v>
          </cell>
          <cell r="V481">
            <v>4.7022045835173119</v>
          </cell>
          <cell r="W481">
            <v>0</v>
          </cell>
        </row>
        <row r="482">
          <cell r="K482">
            <v>3</v>
          </cell>
          <cell r="Q482">
            <v>99.608719536392698</v>
          </cell>
          <cell r="R482">
            <v>15.458819870215985</v>
          </cell>
          <cell r="U482">
            <v>0</v>
          </cell>
          <cell r="V482">
            <v>1.0851241346578413</v>
          </cell>
          <cell r="W482">
            <v>0</v>
          </cell>
        </row>
        <row r="483">
          <cell r="K483">
            <v>2</v>
          </cell>
          <cell r="Q483">
            <v>107.57919911890899</v>
          </cell>
          <cell r="R483">
            <v>16.695802021164493</v>
          </cell>
          <cell r="U483">
            <v>0</v>
          </cell>
          <cell r="V483">
            <v>1.1719534785148922</v>
          </cell>
          <cell r="W483">
            <v>0</v>
          </cell>
        </row>
        <row r="484">
          <cell r="K484">
            <v>3</v>
          </cell>
          <cell r="Q484">
            <v>161.36879867836348</v>
          </cell>
          <cell r="R484">
            <v>25.043703031746738</v>
          </cell>
          <cell r="U484">
            <v>0</v>
          </cell>
          <cell r="V484">
            <v>1.7579302177723382</v>
          </cell>
          <cell r="W484">
            <v>0</v>
          </cell>
        </row>
        <row r="485">
          <cell r="K485">
            <v>15</v>
          </cell>
          <cell r="Q485">
            <v>0</v>
          </cell>
          <cell r="R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K486">
            <v>2</v>
          </cell>
          <cell r="Q486">
            <v>42.530974331786432</v>
          </cell>
          <cell r="R486">
            <v>6.600613622582026</v>
          </cell>
          <cell r="U486">
            <v>0</v>
          </cell>
          <cell r="V486">
            <v>0.46332677432996111</v>
          </cell>
          <cell r="W486">
            <v>0</v>
          </cell>
        </row>
        <row r="487">
          <cell r="K487">
            <v>13</v>
          </cell>
          <cell r="Q487">
            <v>118.16802749433052</v>
          </cell>
          <cell r="R487">
            <v>18.339139986496608</v>
          </cell>
          <cell r="U487">
            <v>0</v>
          </cell>
          <cell r="V487">
            <v>1.287306765670859</v>
          </cell>
          <cell r="W487">
            <v>0</v>
          </cell>
        </row>
        <row r="488">
          <cell r="K488">
            <v>13</v>
          </cell>
          <cell r="Q488">
            <v>0</v>
          </cell>
          <cell r="R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K489">
            <v>7</v>
          </cell>
          <cell r="Q489">
            <v>376.52719691618148</v>
          </cell>
          <cell r="R489">
            <v>58.435307074075723</v>
          </cell>
          <cell r="U489">
            <v>0</v>
          </cell>
          <cell r="V489">
            <v>4.1018371748021227</v>
          </cell>
          <cell r="W489">
            <v>0</v>
          </cell>
        </row>
        <row r="490">
          <cell r="K490">
            <v>1</v>
          </cell>
          <cell r="Q490">
            <v>53.789599559454494</v>
          </cell>
          <cell r="R490">
            <v>8.3479010105822464</v>
          </cell>
          <cell r="U490">
            <v>0</v>
          </cell>
          <cell r="V490">
            <v>0.58597673925744609</v>
          </cell>
          <cell r="W490">
            <v>0</v>
          </cell>
        </row>
        <row r="491">
          <cell r="K491">
            <v>13</v>
          </cell>
          <cell r="Q491">
            <v>0</v>
          </cell>
          <cell r="R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K492">
            <v>11</v>
          </cell>
          <cell r="Q492">
            <v>0</v>
          </cell>
          <cell r="R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K493">
            <v>2</v>
          </cell>
          <cell r="Q493">
            <v>42.530974331786432</v>
          </cell>
          <cell r="R493">
            <v>6.600613622582026</v>
          </cell>
          <cell r="U493">
            <v>0</v>
          </cell>
          <cell r="V493">
            <v>0.46332677432996111</v>
          </cell>
          <cell r="W493">
            <v>0</v>
          </cell>
        </row>
        <row r="494">
          <cell r="K494">
            <v>13</v>
          </cell>
          <cell r="Q494">
            <v>118.16802749433052</v>
          </cell>
          <cell r="R494">
            <v>18.339139986496608</v>
          </cell>
          <cell r="U494">
            <v>0</v>
          </cell>
          <cell r="V494">
            <v>1.287306765670859</v>
          </cell>
          <cell r="W494">
            <v>0</v>
          </cell>
        </row>
        <row r="495">
          <cell r="K495">
            <v>115.6</v>
          </cell>
          <cell r="Q495">
            <v>270.72882253588966</v>
          </cell>
          <cell r="R495">
            <v>42.015880946335393</v>
          </cell>
          <cell r="U495">
            <v>0</v>
          </cell>
          <cell r="V495">
            <v>2.9492837639967968</v>
          </cell>
          <cell r="W495">
            <v>0</v>
          </cell>
        </row>
        <row r="496">
          <cell r="K496">
            <v>57.8</v>
          </cell>
          <cell r="Q496">
            <v>0</v>
          </cell>
          <cell r="R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K497">
            <v>57.8</v>
          </cell>
          <cell r="Q497">
            <v>573.04972609123877</v>
          </cell>
          <cell r="R497">
            <v>88.93470906514861</v>
          </cell>
          <cell r="U497">
            <v>0</v>
          </cell>
          <cell r="V497">
            <v>6.2427274543317335</v>
          </cell>
          <cell r="W497">
            <v>0</v>
          </cell>
        </row>
        <row r="498">
          <cell r="K498">
            <v>9</v>
          </cell>
          <cell r="Q498">
            <v>21.077503484628089</v>
          </cell>
          <cell r="R498">
            <v>3.2711325996281886</v>
          </cell>
          <cell r="U498">
            <v>0</v>
          </cell>
          <cell r="V498">
            <v>0.22961551795822815</v>
          </cell>
          <cell r="W498">
            <v>0</v>
          </cell>
        </row>
        <row r="499">
          <cell r="K499">
            <v>18</v>
          </cell>
          <cell r="Q499">
            <v>263.31199777376526</v>
          </cell>
          <cell r="R499">
            <v>40.864823503369784</v>
          </cell>
          <cell r="U499">
            <v>0</v>
          </cell>
          <cell r="V499">
            <v>2.8684858620724714</v>
          </cell>
          <cell r="W499">
            <v>0</v>
          </cell>
        </row>
        <row r="500">
          <cell r="K500">
            <v>12.8</v>
          </cell>
          <cell r="Q500">
            <v>126.90374557037813</v>
          </cell>
          <cell r="R500">
            <v>19.694883668406611</v>
          </cell>
          <cell r="U500">
            <v>0</v>
          </cell>
          <cell r="V500">
            <v>1.3824725158381694</v>
          </cell>
          <cell r="W500">
            <v>0</v>
          </cell>
        </row>
        <row r="501">
          <cell r="K501">
            <v>27</v>
          </cell>
          <cell r="Q501">
            <v>297.73913189032703</v>
          </cell>
          <cell r="R501">
            <v>46.207758011841726</v>
          </cell>
          <cell r="U501">
            <v>0</v>
          </cell>
          <cell r="V501">
            <v>3.2435304795603477</v>
          </cell>
          <cell r="W501">
            <v>0</v>
          </cell>
        </row>
        <row r="502">
          <cell r="K502">
            <v>12.8</v>
          </cell>
          <cell r="Q502">
            <v>126.90374557037813</v>
          </cell>
          <cell r="R502">
            <v>19.694883668406611</v>
          </cell>
          <cell r="U502">
            <v>0</v>
          </cell>
          <cell r="V502">
            <v>1.3824725158381694</v>
          </cell>
          <cell r="W502">
            <v>0</v>
          </cell>
        </row>
        <row r="503">
          <cell r="K503">
            <v>20.8</v>
          </cell>
          <cell r="Q503">
            <v>304.27164187190652</v>
          </cell>
          <cell r="R503">
            <v>47.221573826116199</v>
          </cell>
          <cell r="U503">
            <v>0</v>
          </cell>
          <cell r="V503">
            <v>3.314694773950412</v>
          </cell>
          <cell r="W503">
            <v>0</v>
          </cell>
        </row>
        <row r="504">
          <cell r="K504">
            <v>12.8</v>
          </cell>
          <cell r="Q504">
            <v>126.90374557037813</v>
          </cell>
          <cell r="R504">
            <v>19.694883668406611</v>
          </cell>
          <cell r="U504">
            <v>0</v>
          </cell>
          <cell r="V504">
            <v>1.3824725158381694</v>
          </cell>
          <cell r="W504">
            <v>0</v>
          </cell>
        </row>
        <row r="505">
          <cell r="K505">
            <v>19.5</v>
          </cell>
          <cell r="Q505">
            <v>215.03381747634728</v>
          </cell>
          <cell r="R505">
            <v>33.372269675219023</v>
          </cell>
          <cell r="U505">
            <v>0</v>
          </cell>
          <cell r="V505">
            <v>2.3425497907935844</v>
          </cell>
          <cell r="W505">
            <v>0</v>
          </cell>
        </row>
        <row r="506">
          <cell r="K506">
            <v>20.8</v>
          </cell>
          <cell r="Q506">
            <v>206.21858655186449</v>
          </cell>
          <cell r="R506">
            <v>32.004185961160744</v>
          </cell>
          <cell r="U506">
            <v>0</v>
          </cell>
          <cell r="V506">
            <v>2.2465178382370254</v>
          </cell>
          <cell r="W506">
            <v>0</v>
          </cell>
        </row>
        <row r="507">
          <cell r="K507">
            <v>18</v>
          </cell>
          <cell r="Q507">
            <v>198.49275459355135</v>
          </cell>
          <cell r="R507">
            <v>30.805172007894484</v>
          </cell>
          <cell r="U507">
            <v>0</v>
          </cell>
          <cell r="V507">
            <v>2.1623536530402316</v>
          </cell>
          <cell r="W507">
            <v>0</v>
          </cell>
        </row>
        <row r="508">
          <cell r="K508">
            <v>20.8</v>
          </cell>
          <cell r="Q508">
            <v>48.712452497807142</v>
          </cell>
          <cell r="R508">
            <v>7.5599508969184805</v>
          </cell>
          <cell r="U508">
            <v>0</v>
          </cell>
          <cell r="V508">
            <v>0.53066697483679404</v>
          </cell>
          <cell r="W508">
            <v>0</v>
          </cell>
        </row>
        <row r="509">
          <cell r="K509">
            <v>18</v>
          </cell>
          <cell r="Q509">
            <v>178.45839220834424</v>
          </cell>
          <cell r="R509">
            <v>27.6959301586968</v>
          </cell>
          <cell r="U509">
            <v>0</v>
          </cell>
          <cell r="V509">
            <v>1.9441019753974256</v>
          </cell>
          <cell r="W509">
            <v>0</v>
          </cell>
        </row>
        <row r="510">
          <cell r="K510">
            <v>9</v>
          </cell>
          <cell r="Q510">
            <v>156.2736607593674</v>
          </cell>
          <cell r="R510">
            <v>24.252960818913749</v>
          </cell>
          <cell r="U510">
            <v>0</v>
          </cell>
          <cell r="V510">
            <v>1.7024244633459602</v>
          </cell>
          <cell r="W510">
            <v>0</v>
          </cell>
        </row>
        <row r="511">
          <cell r="K511">
            <v>18</v>
          </cell>
          <cell r="Q511">
            <v>178.45839220834424</v>
          </cell>
          <cell r="R511">
            <v>27.6959301586968</v>
          </cell>
          <cell r="U511">
            <v>0</v>
          </cell>
          <cell r="V511">
            <v>1.9441019753974256</v>
          </cell>
          <cell r="W511">
            <v>0</v>
          </cell>
        </row>
        <row r="512">
          <cell r="K512">
            <v>29.8</v>
          </cell>
          <cell r="Q512">
            <v>295.44778265603657</v>
          </cell>
          <cell r="R512">
            <v>45.852151040509135</v>
          </cell>
          <cell r="U512">
            <v>0</v>
          </cell>
          <cell r="V512">
            <v>3.2185688259357379</v>
          </cell>
          <cell r="W512">
            <v>0</v>
          </cell>
        </row>
        <row r="513">
          <cell r="K513">
            <v>18</v>
          </cell>
          <cell r="Q513">
            <v>178.45839220834424</v>
          </cell>
          <cell r="R513">
            <v>27.6959301586968</v>
          </cell>
          <cell r="U513">
            <v>0</v>
          </cell>
          <cell r="V513">
            <v>1.9441019753974256</v>
          </cell>
          <cell r="W513">
            <v>0</v>
          </cell>
        </row>
        <row r="514">
          <cell r="K514">
            <v>9</v>
          </cell>
          <cell r="Q514">
            <v>21.077503484628089</v>
          </cell>
          <cell r="R514">
            <v>3.2711325996281886</v>
          </cell>
          <cell r="U514">
            <v>0</v>
          </cell>
          <cell r="V514">
            <v>0.22961551795822815</v>
          </cell>
          <cell r="W514">
            <v>0</v>
          </cell>
        </row>
        <row r="515">
          <cell r="K515">
            <v>20.8</v>
          </cell>
          <cell r="Q515">
            <v>206.21858655186449</v>
          </cell>
          <cell r="R515">
            <v>32.004185961160744</v>
          </cell>
          <cell r="U515">
            <v>0</v>
          </cell>
          <cell r="V515">
            <v>2.2465178382370254</v>
          </cell>
          <cell r="W515">
            <v>0</v>
          </cell>
        </row>
        <row r="516">
          <cell r="K516">
            <v>18</v>
          </cell>
          <cell r="Q516">
            <v>178.45839220834424</v>
          </cell>
          <cell r="R516">
            <v>27.6959301586968</v>
          </cell>
          <cell r="U516">
            <v>0</v>
          </cell>
          <cell r="V516">
            <v>1.9441019753974256</v>
          </cell>
          <cell r="W516">
            <v>0</v>
          </cell>
        </row>
        <row r="517">
          <cell r="K517">
            <v>18</v>
          </cell>
          <cell r="Q517">
            <v>178.45839220834424</v>
          </cell>
          <cell r="R517">
            <v>27.6959301586968</v>
          </cell>
          <cell r="U517">
            <v>0</v>
          </cell>
          <cell r="V517">
            <v>1.9441019753974256</v>
          </cell>
          <cell r="W517">
            <v>0</v>
          </cell>
        </row>
        <row r="518">
          <cell r="K518">
            <v>18</v>
          </cell>
          <cell r="Q518">
            <v>178.45839220834424</v>
          </cell>
          <cell r="R518">
            <v>27.6959301586968</v>
          </cell>
          <cell r="U518">
            <v>0</v>
          </cell>
          <cell r="V518">
            <v>1.9441019753974256</v>
          </cell>
          <cell r="W518">
            <v>0</v>
          </cell>
        </row>
        <row r="519">
          <cell r="K519">
            <v>19.5</v>
          </cell>
          <cell r="Q519">
            <v>193.32992489237293</v>
          </cell>
          <cell r="R519">
            <v>30.003924338588195</v>
          </cell>
          <cell r="U519">
            <v>0</v>
          </cell>
          <cell r="V519">
            <v>2.1061104733472109</v>
          </cell>
          <cell r="W519">
            <v>0</v>
          </cell>
        </row>
        <row r="520">
          <cell r="K520">
            <v>18</v>
          </cell>
          <cell r="Q520">
            <v>178.45839220834424</v>
          </cell>
          <cell r="R520">
            <v>27.6959301586968</v>
          </cell>
          <cell r="U520">
            <v>0</v>
          </cell>
          <cell r="V520">
            <v>1.9441019753974256</v>
          </cell>
          <cell r="W520">
            <v>0</v>
          </cell>
        </row>
        <row r="521">
          <cell r="K521">
            <v>18</v>
          </cell>
          <cell r="Q521">
            <v>178.45839220834424</v>
          </cell>
          <cell r="R521">
            <v>27.6959301586968</v>
          </cell>
          <cell r="U521">
            <v>0</v>
          </cell>
          <cell r="V521">
            <v>1.9441019753974256</v>
          </cell>
          <cell r="W521">
            <v>0</v>
          </cell>
        </row>
        <row r="522">
          <cell r="K522">
            <v>18</v>
          </cell>
          <cell r="Q522">
            <v>178.45839220834424</v>
          </cell>
          <cell r="R522">
            <v>27.6959301586968</v>
          </cell>
          <cell r="U522">
            <v>0</v>
          </cell>
          <cell r="V522">
            <v>1.9441019753974256</v>
          </cell>
          <cell r="W522">
            <v>0</v>
          </cell>
        </row>
        <row r="523">
          <cell r="K523">
            <v>3</v>
          </cell>
          <cell r="Q523">
            <v>57.173290521719778</v>
          </cell>
          <cell r="R523">
            <v>8.8730344459440555</v>
          </cell>
          <cell r="U523">
            <v>0</v>
          </cell>
          <cell r="V523">
            <v>0.62283821829730246</v>
          </cell>
          <cell r="W523">
            <v>0</v>
          </cell>
        </row>
        <row r="524">
          <cell r="K524">
            <v>37</v>
          </cell>
          <cell r="Q524">
            <v>237.44356240060412</v>
          </cell>
          <cell r="R524">
            <v>36.850160082142722</v>
          </cell>
          <cell r="U524">
            <v>0</v>
          </cell>
          <cell r="V524">
            <v>2.5866785696998593</v>
          </cell>
          <cell r="W524">
            <v>0</v>
          </cell>
        </row>
        <row r="525">
          <cell r="K525">
            <v>12</v>
          </cell>
          <cell r="Q525">
            <v>645.4751947134539</v>
          </cell>
          <cell r="R525">
            <v>100.17481212698695</v>
          </cell>
          <cell r="U525">
            <v>0</v>
          </cell>
          <cell r="V525">
            <v>7.0317208710893526</v>
          </cell>
          <cell r="W525">
            <v>0</v>
          </cell>
        </row>
        <row r="526">
          <cell r="K526">
            <v>4</v>
          </cell>
          <cell r="Q526">
            <v>215.15839823781798</v>
          </cell>
          <cell r="R526">
            <v>33.391604042328986</v>
          </cell>
          <cell r="U526">
            <v>0</v>
          </cell>
          <cell r="V526">
            <v>2.3439069570297844</v>
          </cell>
          <cell r="W526">
            <v>0</v>
          </cell>
        </row>
        <row r="527">
          <cell r="K527">
            <v>14</v>
          </cell>
          <cell r="Q527">
            <v>297.71682032250504</v>
          </cell>
          <cell r="R527">
            <v>46.204295358074184</v>
          </cell>
          <cell r="U527">
            <v>0</v>
          </cell>
          <cell r="V527">
            <v>3.2432874203097279</v>
          </cell>
          <cell r="W527">
            <v>0</v>
          </cell>
        </row>
        <row r="528">
          <cell r="K528">
            <v>71</v>
          </cell>
          <cell r="Q528">
            <v>455.63494406602416</v>
          </cell>
          <cell r="R528">
            <v>70.712469346814416</v>
          </cell>
          <cell r="U528">
            <v>0</v>
          </cell>
          <cell r="V528">
            <v>4.9636264445591891</v>
          </cell>
          <cell r="W528">
            <v>0</v>
          </cell>
        </row>
        <row r="529">
          <cell r="K529">
            <v>79.8</v>
          </cell>
          <cell r="Q529">
            <v>512.10800755589753</v>
          </cell>
          <cell r="R529">
            <v>79.476831744729438</v>
          </cell>
          <cell r="U529">
            <v>0</v>
          </cell>
          <cell r="V529">
            <v>5.5788364827580752</v>
          </cell>
          <cell r="W529">
            <v>0</v>
          </cell>
        </row>
        <row r="530">
          <cell r="K530">
            <v>7</v>
          </cell>
          <cell r="Q530">
            <v>376.52719691618148</v>
          </cell>
          <cell r="R530">
            <v>58.435307074075723</v>
          </cell>
          <cell r="U530">
            <v>0</v>
          </cell>
          <cell r="V530">
            <v>4.1018371748021227</v>
          </cell>
          <cell r="W530">
            <v>0</v>
          </cell>
        </row>
        <row r="531">
          <cell r="K531">
            <v>6</v>
          </cell>
          <cell r="Q531">
            <v>322.73759735672695</v>
          </cell>
          <cell r="R531">
            <v>50.087406063493475</v>
          </cell>
          <cell r="U531">
            <v>0</v>
          </cell>
          <cell r="V531">
            <v>3.5158604355446763</v>
          </cell>
          <cell r="W531">
            <v>0</v>
          </cell>
        </row>
        <row r="532">
          <cell r="K532">
            <v>3</v>
          </cell>
          <cell r="Q532">
            <v>57.173290521719778</v>
          </cell>
          <cell r="R532">
            <v>8.8730344459440555</v>
          </cell>
          <cell r="U532">
            <v>0</v>
          </cell>
          <cell r="V532">
            <v>0.62283821829730246</v>
          </cell>
          <cell r="W532">
            <v>0</v>
          </cell>
        </row>
        <row r="533">
          <cell r="K533">
            <v>8</v>
          </cell>
          <cell r="Q533">
            <v>0</v>
          </cell>
          <cell r="R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K534">
            <v>7</v>
          </cell>
          <cell r="Q534">
            <v>148.85841016125252</v>
          </cell>
          <cell r="R534">
            <v>23.102147679037092</v>
          </cell>
          <cell r="U534">
            <v>0</v>
          </cell>
          <cell r="V534">
            <v>1.621643710154864</v>
          </cell>
          <cell r="W534">
            <v>0</v>
          </cell>
        </row>
        <row r="535">
          <cell r="K535">
            <v>13</v>
          </cell>
          <cell r="Q535">
            <v>276.45133315661178</v>
          </cell>
          <cell r="R535">
            <v>42.903988546783168</v>
          </cell>
          <cell r="U535">
            <v>0</v>
          </cell>
          <cell r="V535">
            <v>3.0116240331447472</v>
          </cell>
          <cell r="W535">
            <v>0</v>
          </cell>
        </row>
        <row r="536">
          <cell r="K536">
            <v>7</v>
          </cell>
          <cell r="Q536">
            <v>313.36378921681194</v>
          </cell>
          <cell r="R536">
            <v>48.632633708147942</v>
          </cell>
          <cell r="U536">
            <v>0</v>
          </cell>
          <cell r="V536">
            <v>3.413743417138897</v>
          </cell>
          <cell r="W536">
            <v>0</v>
          </cell>
        </row>
        <row r="537">
          <cell r="K537">
            <v>7</v>
          </cell>
          <cell r="Q537">
            <v>313.36378921681194</v>
          </cell>
          <cell r="R537">
            <v>48.632633708147942</v>
          </cell>
          <cell r="U537">
            <v>0</v>
          </cell>
          <cell r="V537">
            <v>3.413743417138897</v>
          </cell>
          <cell r="W537">
            <v>0</v>
          </cell>
        </row>
        <row r="538">
          <cell r="K538">
            <v>22</v>
          </cell>
          <cell r="Q538">
            <v>199.97666191348242</v>
          </cell>
          <cell r="R538">
            <v>31.035467669455802</v>
          </cell>
          <cell r="U538">
            <v>0</v>
          </cell>
          <cell r="V538">
            <v>2.1785191419045309</v>
          </cell>
          <cell r="W538">
            <v>0</v>
          </cell>
        </row>
        <row r="539">
          <cell r="K539">
            <v>18</v>
          </cell>
          <cell r="Q539">
            <v>178.45839220834424</v>
          </cell>
          <cell r="R539">
            <v>27.6959301586968</v>
          </cell>
          <cell r="U539">
            <v>0</v>
          </cell>
          <cell r="V539">
            <v>1.9441019753974256</v>
          </cell>
          <cell r="W539">
            <v>0</v>
          </cell>
        </row>
        <row r="540">
          <cell r="K540">
            <v>22</v>
          </cell>
          <cell r="Q540">
            <v>218.1158126990874</v>
          </cell>
          <cell r="R540">
            <v>33.850581305073867</v>
          </cell>
          <cell r="U540">
            <v>0</v>
          </cell>
          <cell r="V540">
            <v>2.3761246365968538</v>
          </cell>
          <cell r="W540">
            <v>0</v>
          </cell>
        </row>
        <row r="541">
          <cell r="K541">
            <v>18</v>
          </cell>
          <cell r="Q541">
            <v>178.45839220834424</v>
          </cell>
          <cell r="R541">
            <v>27.6959301586968</v>
          </cell>
          <cell r="U541">
            <v>0</v>
          </cell>
          <cell r="V541">
            <v>1.9441019753974256</v>
          </cell>
          <cell r="W541">
            <v>0</v>
          </cell>
        </row>
        <row r="542">
          <cell r="K542">
            <v>18</v>
          </cell>
          <cell r="Q542">
            <v>178.45839220834424</v>
          </cell>
          <cell r="R542">
            <v>27.6959301586968</v>
          </cell>
          <cell r="U542">
            <v>0</v>
          </cell>
          <cell r="V542">
            <v>1.9441019753974256</v>
          </cell>
          <cell r="W542">
            <v>0</v>
          </cell>
        </row>
        <row r="543">
          <cell r="K543">
            <v>50</v>
          </cell>
          <cell r="Q543">
            <v>495.71775613428957</v>
          </cell>
          <cell r="R543">
            <v>76.933139329713327</v>
          </cell>
          <cell r="U543">
            <v>0</v>
          </cell>
          <cell r="V543">
            <v>5.4002832649928498</v>
          </cell>
          <cell r="W543">
            <v>0</v>
          </cell>
        </row>
        <row r="544">
          <cell r="K544">
            <v>18</v>
          </cell>
          <cell r="Q544">
            <v>178.45839220834424</v>
          </cell>
          <cell r="R544">
            <v>27.6959301586968</v>
          </cell>
          <cell r="U544">
            <v>0</v>
          </cell>
          <cell r="V544">
            <v>1.9441019753974256</v>
          </cell>
          <cell r="W544">
            <v>0</v>
          </cell>
        </row>
        <row r="545">
          <cell r="K545">
            <v>16</v>
          </cell>
          <cell r="Q545">
            <v>158.62968196297265</v>
          </cell>
          <cell r="R545">
            <v>24.618604585508262</v>
          </cell>
          <cell r="U545">
            <v>0</v>
          </cell>
          <cell r="V545">
            <v>1.7280906447977118</v>
          </cell>
          <cell r="W545">
            <v>0</v>
          </cell>
        </row>
        <row r="546">
          <cell r="K546">
            <v>16</v>
          </cell>
          <cell r="Q546">
            <v>158.62968196297265</v>
          </cell>
          <cell r="R546">
            <v>24.618604585508262</v>
          </cell>
          <cell r="U546">
            <v>0</v>
          </cell>
          <cell r="V546">
            <v>1.7280906447977118</v>
          </cell>
          <cell r="W546">
            <v>0</v>
          </cell>
        </row>
        <row r="547">
          <cell r="K547">
            <v>6</v>
          </cell>
          <cell r="Q547">
            <v>114.34658104343956</v>
          </cell>
          <cell r="R547">
            <v>17.746068891888111</v>
          </cell>
          <cell r="U547">
            <v>0</v>
          </cell>
          <cell r="V547">
            <v>1.2456764365946049</v>
          </cell>
          <cell r="W547">
            <v>0</v>
          </cell>
        </row>
        <row r="548">
          <cell r="K548">
            <v>12.8</v>
          </cell>
          <cell r="Q548">
            <v>126.90374557037813</v>
          </cell>
          <cell r="R548">
            <v>19.694883668406611</v>
          </cell>
          <cell r="U548">
            <v>0</v>
          </cell>
          <cell r="V548">
            <v>1.3824725158381694</v>
          </cell>
          <cell r="W548">
            <v>0</v>
          </cell>
        </row>
        <row r="549">
          <cell r="K549">
            <v>18</v>
          </cell>
          <cell r="Q549">
            <v>178.45839220834424</v>
          </cell>
          <cell r="R549">
            <v>27.6959301586968</v>
          </cell>
          <cell r="U549">
            <v>0</v>
          </cell>
          <cell r="V549">
            <v>1.9441019753974256</v>
          </cell>
          <cell r="W549">
            <v>0</v>
          </cell>
        </row>
        <row r="550">
          <cell r="K550">
            <v>18</v>
          </cell>
          <cell r="Q550">
            <v>178.45839220834424</v>
          </cell>
          <cell r="R550">
            <v>27.6959301586968</v>
          </cell>
          <cell r="U550">
            <v>0</v>
          </cell>
          <cell r="V550">
            <v>1.9441019753974256</v>
          </cell>
          <cell r="W550">
            <v>0</v>
          </cell>
        </row>
        <row r="551">
          <cell r="K551">
            <v>16</v>
          </cell>
          <cell r="Q551">
            <v>158.62968196297265</v>
          </cell>
          <cell r="R551">
            <v>24.618604585508262</v>
          </cell>
          <cell r="U551">
            <v>0</v>
          </cell>
          <cell r="V551">
            <v>1.7280906447977118</v>
          </cell>
          <cell r="W551">
            <v>0</v>
          </cell>
        </row>
        <row r="552">
          <cell r="K552">
            <v>28.6</v>
          </cell>
          <cell r="Q552">
            <v>315.38293229864274</v>
          </cell>
          <cell r="R552">
            <v>48.945995523654574</v>
          </cell>
          <cell r="U552">
            <v>0</v>
          </cell>
          <cell r="V552">
            <v>3.4357396931639244</v>
          </cell>
          <cell r="W552">
            <v>0</v>
          </cell>
        </row>
        <row r="553">
          <cell r="K553">
            <v>18</v>
          </cell>
          <cell r="Q553">
            <v>178.45839220834424</v>
          </cell>
          <cell r="R553">
            <v>27.6959301586968</v>
          </cell>
          <cell r="U553">
            <v>0</v>
          </cell>
          <cell r="V553">
            <v>1.9441019753974256</v>
          </cell>
          <cell r="W553">
            <v>0</v>
          </cell>
        </row>
        <row r="554">
          <cell r="K554">
            <v>18</v>
          </cell>
          <cell r="Q554">
            <v>178.45839220834424</v>
          </cell>
          <cell r="R554">
            <v>27.6959301586968</v>
          </cell>
          <cell r="U554">
            <v>0</v>
          </cell>
          <cell r="V554">
            <v>1.9441019753974256</v>
          </cell>
          <cell r="W554">
            <v>0</v>
          </cell>
        </row>
        <row r="555">
          <cell r="K555">
            <v>18</v>
          </cell>
          <cell r="Q555">
            <v>178.45839220834424</v>
          </cell>
          <cell r="R555">
            <v>27.6959301586968</v>
          </cell>
          <cell r="U555">
            <v>0</v>
          </cell>
          <cell r="V555">
            <v>1.9441019753974256</v>
          </cell>
          <cell r="W555">
            <v>0</v>
          </cell>
        </row>
        <row r="556">
          <cell r="K556">
            <v>18</v>
          </cell>
          <cell r="Q556">
            <v>178.45839220834424</v>
          </cell>
          <cell r="R556">
            <v>27.6959301586968</v>
          </cell>
          <cell r="U556">
            <v>0</v>
          </cell>
          <cell r="V556">
            <v>1.9441019753974256</v>
          </cell>
          <cell r="W556">
            <v>0</v>
          </cell>
        </row>
        <row r="557">
          <cell r="K557">
            <v>18</v>
          </cell>
          <cell r="Q557">
            <v>178.45839220834424</v>
          </cell>
          <cell r="R557">
            <v>27.6959301586968</v>
          </cell>
          <cell r="U557">
            <v>0</v>
          </cell>
          <cell r="V557">
            <v>1.9441019753974256</v>
          </cell>
          <cell r="W557">
            <v>0</v>
          </cell>
        </row>
        <row r="558">
          <cell r="K558">
            <v>22</v>
          </cell>
          <cell r="Q558">
            <v>218.1158126990874</v>
          </cell>
          <cell r="R558">
            <v>33.850581305073867</v>
          </cell>
          <cell r="U558">
            <v>0</v>
          </cell>
          <cell r="V558">
            <v>2.3761246365968538</v>
          </cell>
          <cell r="W558">
            <v>0</v>
          </cell>
        </row>
        <row r="559">
          <cell r="K559">
            <v>18</v>
          </cell>
          <cell r="Q559">
            <v>178.45839220834424</v>
          </cell>
          <cell r="R559">
            <v>27.6959301586968</v>
          </cell>
          <cell r="U559">
            <v>0</v>
          </cell>
          <cell r="V559">
            <v>1.9441019753974256</v>
          </cell>
          <cell r="W559">
            <v>0</v>
          </cell>
        </row>
        <row r="560">
          <cell r="K560">
            <v>18</v>
          </cell>
          <cell r="Q560">
            <v>178.45839220834424</v>
          </cell>
          <cell r="R560">
            <v>27.6959301586968</v>
          </cell>
          <cell r="U560">
            <v>0</v>
          </cell>
          <cell r="V560">
            <v>1.9441019753974256</v>
          </cell>
          <cell r="W560">
            <v>0</v>
          </cell>
        </row>
        <row r="561">
          <cell r="K561">
            <v>18</v>
          </cell>
          <cell r="Q561">
            <v>178.45839220834424</v>
          </cell>
          <cell r="R561">
            <v>27.6959301586968</v>
          </cell>
          <cell r="U561">
            <v>0</v>
          </cell>
          <cell r="V561">
            <v>1.9441019753974256</v>
          </cell>
          <cell r="W561">
            <v>0</v>
          </cell>
        </row>
        <row r="562">
          <cell r="K562">
            <v>19.5</v>
          </cell>
          <cell r="Q562">
            <v>193.32992489237293</v>
          </cell>
          <cell r="R562">
            <v>30.003924338588195</v>
          </cell>
          <cell r="U562">
            <v>0</v>
          </cell>
          <cell r="V562">
            <v>2.1061104733472109</v>
          </cell>
          <cell r="W562">
            <v>0</v>
          </cell>
        </row>
        <row r="563">
          <cell r="K563">
            <v>12</v>
          </cell>
          <cell r="Q563">
            <v>175.54133184917686</v>
          </cell>
          <cell r="R563">
            <v>27.243215668913194</v>
          </cell>
          <cell r="U563">
            <v>0</v>
          </cell>
          <cell r="V563">
            <v>1.9123239080483145</v>
          </cell>
          <cell r="W563">
            <v>0</v>
          </cell>
        </row>
        <row r="564">
          <cell r="K564">
            <v>18</v>
          </cell>
          <cell r="Q564">
            <v>178.45839220834424</v>
          </cell>
          <cell r="R564">
            <v>27.6959301586968</v>
          </cell>
          <cell r="U564">
            <v>0</v>
          </cell>
          <cell r="V564">
            <v>1.9441019753974256</v>
          </cell>
          <cell r="W564">
            <v>0</v>
          </cell>
        </row>
        <row r="565">
          <cell r="K565">
            <v>3</v>
          </cell>
          <cell r="Q565">
            <v>57.173290521719778</v>
          </cell>
          <cell r="R565">
            <v>8.8730344459440555</v>
          </cell>
          <cell r="U565">
            <v>0</v>
          </cell>
          <cell r="V565">
            <v>0.62283821829730246</v>
          </cell>
          <cell r="W565">
            <v>0</v>
          </cell>
        </row>
        <row r="566">
          <cell r="K566">
            <v>57</v>
          </cell>
          <cell r="Q566">
            <v>365.79143396849827</v>
          </cell>
          <cell r="R566">
            <v>56.769165531949596</v>
          </cell>
          <cell r="U566">
            <v>0</v>
          </cell>
          <cell r="V566">
            <v>3.9848832019700535</v>
          </cell>
          <cell r="W566">
            <v>0</v>
          </cell>
        </row>
        <row r="567">
          <cell r="K567">
            <v>7</v>
          </cell>
          <cell r="Q567">
            <v>148.85841016125252</v>
          </cell>
          <cell r="R567">
            <v>23.102147679037092</v>
          </cell>
          <cell r="U567">
            <v>0</v>
          </cell>
          <cell r="V567">
            <v>1.621643710154864</v>
          </cell>
          <cell r="W567">
            <v>0</v>
          </cell>
        </row>
        <row r="568">
          <cell r="K568">
            <v>12</v>
          </cell>
          <cell r="Q568">
            <v>645.4751947134539</v>
          </cell>
          <cell r="R568">
            <v>100.17481212698695</v>
          </cell>
          <cell r="U568">
            <v>0</v>
          </cell>
          <cell r="V568">
            <v>7.0317208710893526</v>
          </cell>
          <cell r="W568">
            <v>0</v>
          </cell>
        </row>
        <row r="569">
          <cell r="K569">
            <v>7</v>
          </cell>
          <cell r="Q569">
            <v>376.52719691618148</v>
          </cell>
          <cell r="R569">
            <v>58.435307074075723</v>
          </cell>
          <cell r="U569">
            <v>0</v>
          </cell>
          <cell r="V569">
            <v>4.1018371748021227</v>
          </cell>
          <cell r="W569">
            <v>0</v>
          </cell>
        </row>
        <row r="570">
          <cell r="K570">
            <v>14</v>
          </cell>
          <cell r="Q570">
            <v>297.71682032250504</v>
          </cell>
          <cell r="R570">
            <v>46.204295358074184</v>
          </cell>
          <cell r="U570">
            <v>0</v>
          </cell>
          <cell r="V570">
            <v>3.2432874203097279</v>
          </cell>
          <cell r="W570">
            <v>0</v>
          </cell>
        </row>
        <row r="571">
          <cell r="K571">
            <v>15</v>
          </cell>
          <cell r="Q571">
            <v>96.260903675920602</v>
          </cell>
          <cell r="R571">
            <v>14.93925408735516</v>
          </cell>
          <cell r="U571">
            <v>0</v>
          </cell>
          <cell r="V571">
            <v>1.0486534742026457</v>
          </cell>
          <cell r="W571">
            <v>0</v>
          </cell>
        </row>
        <row r="572">
          <cell r="K572">
            <v>69.3</v>
          </cell>
          <cell r="Q572">
            <v>444.72537498275318</v>
          </cell>
          <cell r="R572">
            <v>69.019353883580834</v>
          </cell>
          <cell r="U572">
            <v>0</v>
          </cell>
          <cell r="V572">
            <v>4.8447790508162232</v>
          </cell>
          <cell r="W572">
            <v>0</v>
          </cell>
        </row>
        <row r="573">
          <cell r="K573">
            <v>8</v>
          </cell>
          <cell r="Q573">
            <v>170.12389732714573</v>
          </cell>
          <cell r="R573">
            <v>26.402454490328104</v>
          </cell>
          <cell r="U573">
            <v>0</v>
          </cell>
          <cell r="V573">
            <v>1.8533070973198444</v>
          </cell>
          <cell r="W573">
            <v>0</v>
          </cell>
        </row>
        <row r="574">
          <cell r="K574">
            <v>18</v>
          </cell>
          <cell r="Q574">
            <v>178.45839220834424</v>
          </cell>
          <cell r="R574">
            <v>27.6959301586968</v>
          </cell>
          <cell r="U574">
            <v>0</v>
          </cell>
          <cell r="V574">
            <v>1.9441019753974256</v>
          </cell>
          <cell r="W574">
            <v>0</v>
          </cell>
        </row>
        <row r="575">
          <cell r="K575">
            <v>27</v>
          </cell>
          <cell r="Q575">
            <v>63.232510453884267</v>
          </cell>
          <cell r="R575">
            <v>9.8133977988845658</v>
          </cell>
          <cell r="U575">
            <v>0</v>
          </cell>
          <cell r="V575">
            <v>0.68884655387468452</v>
          </cell>
          <cell r="W575">
            <v>0</v>
          </cell>
        </row>
        <row r="576">
          <cell r="K576">
            <v>18</v>
          </cell>
          <cell r="Q576">
            <v>178.45839220834424</v>
          </cell>
          <cell r="R576">
            <v>27.6959301586968</v>
          </cell>
          <cell r="U576">
            <v>0</v>
          </cell>
          <cell r="V576">
            <v>1.9441019753974256</v>
          </cell>
          <cell r="W576">
            <v>0</v>
          </cell>
        </row>
        <row r="577">
          <cell r="K577">
            <v>18</v>
          </cell>
          <cell r="Q577">
            <v>163.6172688383038</v>
          </cell>
          <cell r="R577">
            <v>25.392655365918383</v>
          </cell>
          <cell r="U577">
            <v>0</v>
          </cell>
          <cell r="V577">
            <v>1.7824247524673433</v>
          </cell>
          <cell r="W577">
            <v>0</v>
          </cell>
        </row>
        <row r="578">
          <cell r="K578">
            <v>18</v>
          </cell>
          <cell r="Q578">
            <v>178.45839220834424</v>
          </cell>
          <cell r="R578">
            <v>27.6959301586968</v>
          </cell>
          <cell r="U578">
            <v>0</v>
          </cell>
          <cell r="V578">
            <v>1.9441019753974256</v>
          </cell>
          <cell r="W578">
            <v>0</v>
          </cell>
        </row>
        <row r="579">
          <cell r="K579">
            <v>27</v>
          </cell>
          <cell r="Q579">
            <v>656.34937518934294</v>
          </cell>
          <cell r="R579">
            <v>101.86243543943773</v>
          </cell>
          <cell r="U579">
            <v>0</v>
          </cell>
          <cell r="V579">
            <v>7.1501827460530309</v>
          </cell>
          <cell r="W579">
            <v>0</v>
          </cell>
        </row>
        <row r="580">
          <cell r="K580">
            <v>18</v>
          </cell>
          <cell r="Q580">
            <v>178.45839220834424</v>
          </cell>
          <cell r="R580">
            <v>27.6959301586968</v>
          </cell>
          <cell r="U580">
            <v>0</v>
          </cell>
          <cell r="V580">
            <v>1.9441019753974256</v>
          </cell>
          <cell r="W580">
            <v>0</v>
          </cell>
        </row>
        <row r="581">
          <cell r="K581">
            <v>9</v>
          </cell>
          <cell r="Q581">
            <v>21.077503484628089</v>
          </cell>
          <cell r="R581">
            <v>3.2711325996281886</v>
          </cell>
          <cell r="U581">
            <v>0</v>
          </cell>
          <cell r="V581">
            <v>0.22961551795822815</v>
          </cell>
          <cell r="W581">
            <v>0</v>
          </cell>
        </row>
        <row r="582">
          <cell r="K582">
            <v>16</v>
          </cell>
          <cell r="Q582">
            <v>158.62968196297265</v>
          </cell>
          <cell r="R582">
            <v>24.618604585508262</v>
          </cell>
          <cell r="U582">
            <v>0</v>
          </cell>
          <cell r="V582">
            <v>1.7280906447977118</v>
          </cell>
          <cell r="W582">
            <v>0</v>
          </cell>
        </row>
        <row r="583">
          <cell r="K583">
            <v>28.6</v>
          </cell>
          <cell r="Q583">
            <v>283.55055650881366</v>
          </cell>
          <cell r="R583">
            <v>44.005755696596033</v>
          </cell>
          <cell r="U583">
            <v>0</v>
          </cell>
          <cell r="V583">
            <v>3.08896202757591</v>
          </cell>
          <cell r="W583">
            <v>0</v>
          </cell>
        </row>
        <row r="584">
          <cell r="K584">
            <v>16</v>
          </cell>
          <cell r="Q584">
            <v>158.62968196297265</v>
          </cell>
          <cell r="R584">
            <v>24.618604585508262</v>
          </cell>
          <cell r="U584">
            <v>0</v>
          </cell>
          <cell r="V584">
            <v>1.7280906447977118</v>
          </cell>
          <cell r="W584">
            <v>0</v>
          </cell>
        </row>
        <row r="585">
          <cell r="K585">
            <v>12.89</v>
          </cell>
          <cell r="Q585">
            <v>127.79603753141986</v>
          </cell>
          <cell r="R585">
            <v>19.833363319200096</v>
          </cell>
          <cell r="U585">
            <v>0</v>
          </cell>
          <cell r="V585">
            <v>1.3921930257151565</v>
          </cell>
          <cell r="W585">
            <v>0</v>
          </cell>
        </row>
        <row r="586">
          <cell r="K586">
            <v>18</v>
          </cell>
          <cell r="Q586">
            <v>178.45839220834424</v>
          </cell>
          <cell r="R586">
            <v>27.6959301586968</v>
          </cell>
          <cell r="U586">
            <v>0</v>
          </cell>
          <cell r="V586">
            <v>1.9441019753974256</v>
          </cell>
          <cell r="W586">
            <v>0</v>
          </cell>
        </row>
        <row r="587">
          <cell r="K587">
            <v>18</v>
          </cell>
          <cell r="Q587">
            <v>178.45839220834424</v>
          </cell>
          <cell r="R587">
            <v>27.6959301586968</v>
          </cell>
          <cell r="U587">
            <v>0</v>
          </cell>
          <cell r="V587">
            <v>1.9441019753974256</v>
          </cell>
          <cell r="W587">
            <v>0</v>
          </cell>
        </row>
        <row r="588">
          <cell r="K588">
            <v>18</v>
          </cell>
          <cell r="Q588">
            <v>178.45839220834424</v>
          </cell>
          <cell r="R588">
            <v>27.6959301586968</v>
          </cell>
          <cell r="U588">
            <v>0</v>
          </cell>
          <cell r="V588">
            <v>1.9441019753974256</v>
          </cell>
          <cell r="W588">
            <v>0</v>
          </cell>
        </row>
        <row r="589">
          <cell r="K589">
            <v>18</v>
          </cell>
          <cell r="Q589">
            <v>178.45839220834424</v>
          </cell>
          <cell r="R589">
            <v>27.6959301586968</v>
          </cell>
          <cell r="U589">
            <v>0</v>
          </cell>
          <cell r="V589">
            <v>1.9441019753974256</v>
          </cell>
          <cell r="W589">
            <v>0</v>
          </cell>
        </row>
        <row r="590">
          <cell r="K590">
            <v>19.5</v>
          </cell>
          <cell r="Q590">
            <v>193.32992489237293</v>
          </cell>
          <cell r="R590">
            <v>30.003924338588195</v>
          </cell>
          <cell r="U590">
            <v>0</v>
          </cell>
          <cell r="V590">
            <v>2.1061104733472109</v>
          </cell>
          <cell r="W590">
            <v>0</v>
          </cell>
        </row>
        <row r="591">
          <cell r="K591">
            <v>18</v>
          </cell>
          <cell r="Q591">
            <v>178.45839220834424</v>
          </cell>
          <cell r="R591">
            <v>27.6959301586968</v>
          </cell>
          <cell r="U591">
            <v>0</v>
          </cell>
          <cell r="V591">
            <v>1.9441019753974256</v>
          </cell>
          <cell r="W591">
            <v>0</v>
          </cell>
        </row>
        <row r="592">
          <cell r="K592">
            <v>18</v>
          </cell>
          <cell r="Q592">
            <v>178.45839220834424</v>
          </cell>
          <cell r="R592">
            <v>27.6959301586968</v>
          </cell>
          <cell r="U592">
            <v>0</v>
          </cell>
          <cell r="V592">
            <v>1.9441019753974256</v>
          </cell>
          <cell r="W592">
            <v>0</v>
          </cell>
        </row>
        <row r="593">
          <cell r="K593">
            <v>18</v>
          </cell>
          <cell r="Q593">
            <v>178.45839220834424</v>
          </cell>
          <cell r="R593">
            <v>27.6959301586968</v>
          </cell>
          <cell r="U593">
            <v>0</v>
          </cell>
          <cell r="V593">
            <v>1.9441019753974256</v>
          </cell>
          <cell r="W593">
            <v>0</v>
          </cell>
        </row>
        <row r="594">
          <cell r="K594">
            <v>22</v>
          </cell>
          <cell r="Q594">
            <v>218.1158126990874</v>
          </cell>
          <cell r="R594">
            <v>33.850581305073867</v>
          </cell>
          <cell r="U594">
            <v>0</v>
          </cell>
          <cell r="V594">
            <v>2.3761246365968538</v>
          </cell>
          <cell r="W594">
            <v>0</v>
          </cell>
        </row>
        <row r="595">
          <cell r="K595">
            <v>18</v>
          </cell>
          <cell r="Q595">
            <v>178.45839220834424</v>
          </cell>
          <cell r="R595">
            <v>27.6959301586968</v>
          </cell>
          <cell r="U595">
            <v>0</v>
          </cell>
          <cell r="V595">
            <v>1.9441019753974256</v>
          </cell>
          <cell r="W595">
            <v>0</v>
          </cell>
        </row>
        <row r="596">
          <cell r="K596">
            <v>18</v>
          </cell>
          <cell r="Q596">
            <v>178.45839220834424</v>
          </cell>
          <cell r="R596">
            <v>27.6959301586968</v>
          </cell>
          <cell r="U596">
            <v>0</v>
          </cell>
          <cell r="V596">
            <v>1.9441019753974256</v>
          </cell>
          <cell r="W596">
            <v>0</v>
          </cell>
        </row>
        <row r="597">
          <cell r="K597">
            <v>18</v>
          </cell>
          <cell r="Q597">
            <v>178.45839220834424</v>
          </cell>
          <cell r="R597">
            <v>27.6959301586968</v>
          </cell>
          <cell r="U597">
            <v>0</v>
          </cell>
          <cell r="V597">
            <v>1.9441019753974256</v>
          </cell>
          <cell r="W597">
            <v>0</v>
          </cell>
        </row>
        <row r="598">
          <cell r="K598">
            <v>19.5</v>
          </cell>
          <cell r="Q598">
            <v>193.32992489237293</v>
          </cell>
          <cell r="R598">
            <v>30.003924338588195</v>
          </cell>
          <cell r="U598">
            <v>0</v>
          </cell>
          <cell r="V598">
            <v>2.1061104733472109</v>
          </cell>
          <cell r="W598">
            <v>0</v>
          </cell>
        </row>
        <row r="599">
          <cell r="K599">
            <v>12</v>
          </cell>
          <cell r="Q599">
            <v>132.32850306236756</v>
          </cell>
          <cell r="R599">
            <v>20.536781338596324</v>
          </cell>
          <cell r="U599">
            <v>0</v>
          </cell>
          <cell r="V599">
            <v>1.4415691020268213</v>
          </cell>
          <cell r="W599">
            <v>0</v>
          </cell>
        </row>
        <row r="600">
          <cell r="K600">
            <v>18</v>
          </cell>
          <cell r="Q600">
            <v>198.49275459355135</v>
          </cell>
          <cell r="R600">
            <v>30.805172007894484</v>
          </cell>
          <cell r="U600">
            <v>0</v>
          </cell>
          <cell r="V600">
            <v>2.1623536530402316</v>
          </cell>
          <cell r="W600">
            <v>0</v>
          </cell>
        </row>
        <row r="601">
          <cell r="K601">
            <v>3</v>
          </cell>
          <cell r="Q601">
            <v>57.173290521719778</v>
          </cell>
          <cell r="R601">
            <v>8.8730344459440555</v>
          </cell>
          <cell r="U601">
            <v>0</v>
          </cell>
          <cell r="V601">
            <v>0.62283821829730246</v>
          </cell>
          <cell r="W601">
            <v>0</v>
          </cell>
        </row>
        <row r="602">
          <cell r="K602">
            <v>43</v>
          </cell>
          <cell r="Q602">
            <v>275.94792387097237</v>
          </cell>
          <cell r="R602">
            <v>42.825861717084784</v>
          </cell>
          <cell r="U602">
            <v>0</v>
          </cell>
          <cell r="V602">
            <v>3.0061399593809175</v>
          </cell>
          <cell r="W602">
            <v>0</v>
          </cell>
        </row>
        <row r="603">
          <cell r="K603">
            <v>20</v>
          </cell>
          <cell r="Q603">
            <v>128.34787156789412</v>
          </cell>
          <cell r="R603">
            <v>19.919005449806875</v>
          </cell>
          <cell r="U603">
            <v>0</v>
          </cell>
          <cell r="V603">
            <v>1.3982046322701942</v>
          </cell>
          <cell r="W603">
            <v>0</v>
          </cell>
        </row>
        <row r="604">
          <cell r="K604">
            <v>7</v>
          </cell>
          <cell r="Q604">
            <v>148.85841016125252</v>
          </cell>
          <cell r="R604">
            <v>23.102147679037092</v>
          </cell>
          <cell r="U604">
            <v>0</v>
          </cell>
          <cell r="V604">
            <v>1.621643710154864</v>
          </cell>
          <cell r="W604">
            <v>0</v>
          </cell>
        </row>
        <row r="605">
          <cell r="K605">
            <v>12</v>
          </cell>
          <cell r="Q605">
            <v>645.4751947134539</v>
          </cell>
          <cell r="R605">
            <v>100.17481212698695</v>
          </cell>
          <cell r="U605">
            <v>0</v>
          </cell>
          <cell r="V605">
            <v>7.0317208710893526</v>
          </cell>
          <cell r="W605">
            <v>0</v>
          </cell>
        </row>
        <row r="606">
          <cell r="K606">
            <v>7</v>
          </cell>
          <cell r="Q606">
            <v>376.52719691618148</v>
          </cell>
          <cell r="R606">
            <v>58.435307074075723</v>
          </cell>
          <cell r="U606">
            <v>0</v>
          </cell>
          <cell r="V606">
            <v>4.1018371748021227</v>
          </cell>
          <cell r="W606">
            <v>0</v>
          </cell>
        </row>
        <row r="607">
          <cell r="K607">
            <v>99.2</v>
          </cell>
          <cell r="Q607">
            <v>636.60544297675483</v>
          </cell>
          <cell r="R607">
            <v>98.798267031042116</v>
          </cell>
          <cell r="U607">
            <v>0</v>
          </cell>
          <cell r="V607">
            <v>6.9350949760601637</v>
          </cell>
          <cell r="W607">
            <v>0</v>
          </cell>
        </row>
        <row r="608">
          <cell r="K608">
            <v>8</v>
          </cell>
          <cell r="Q608">
            <v>170.12389732714573</v>
          </cell>
          <cell r="R608">
            <v>26.402454490328104</v>
          </cell>
          <cell r="U608">
            <v>0</v>
          </cell>
          <cell r="V608">
            <v>1.8533070973198444</v>
          </cell>
          <cell r="W608">
            <v>0</v>
          </cell>
        </row>
        <row r="609">
          <cell r="K609">
            <v>7</v>
          </cell>
          <cell r="Q609">
            <v>148.85841016125252</v>
          </cell>
          <cell r="R609">
            <v>23.102147679037092</v>
          </cell>
          <cell r="U609">
            <v>0</v>
          </cell>
          <cell r="V609">
            <v>1.621643710154864</v>
          </cell>
          <cell r="W609">
            <v>0</v>
          </cell>
        </row>
        <row r="610">
          <cell r="K610">
            <v>6</v>
          </cell>
          <cell r="Q610">
            <v>114.34658104343956</v>
          </cell>
          <cell r="R610">
            <v>17.746068891888111</v>
          </cell>
          <cell r="U610">
            <v>0</v>
          </cell>
          <cell r="V610">
            <v>1.2456764365946049</v>
          </cell>
          <cell r="W610">
            <v>0</v>
          </cell>
        </row>
        <row r="611">
          <cell r="K611">
            <v>18</v>
          </cell>
          <cell r="Q611">
            <v>178.45839220834424</v>
          </cell>
          <cell r="R611">
            <v>27.6959301586968</v>
          </cell>
          <cell r="U611">
            <v>0</v>
          </cell>
          <cell r="V611">
            <v>1.9441019753974256</v>
          </cell>
          <cell r="W611">
            <v>0</v>
          </cell>
        </row>
        <row r="612">
          <cell r="K612">
            <v>36</v>
          </cell>
          <cell r="Q612">
            <v>396.98550918710271</v>
          </cell>
          <cell r="R612">
            <v>61.610344015788968</v>
          </cell>
          <cell r="U612">
            <v>0</v>
          </cell>
          <cell r="V612">
            <v>4.3247073060804633</v>
          </cell>
          <cell r="W612">
            <v>0</v>
          </cell>
        </row>
        <row r="613">
          <cell r="K613">
            <v>18</v>
          </cell>
          <cell r="Q613">
            <v>178.45839220834424</v>
          </cell>
          <cell r="R613">
            <v>27.6959301586968</v>
          </cell>
          <cell r="U613">
            <v>0</v>
          </cell>
          <cell r="V613">
            <v>1.9441019753974256</v>
          </cell>
          <cell r="W613">
            <v>0</v>
          </cell>
        </row>
        <row r="614">
          <cell r="K614">
            <v>18</v>
          </cell>
          <cell r="Q614">
            <v>178.45839220834424</v>
          </cell>
          <cell r="R614">
            <v>27.6959301586968</v>
          </cell>
          <cell r="U614">
            <v>0</v>
          </cell>
          <cell r="V614">
            <v>1.9441019753974256</v>
          </cell>
          <cell r="W614">
            <v>0</v>
          </cell>
        </row>
        <row r="615">
          <cell r="K615">
            <v>22</v>
          </cell>
          <cell r="Q615">
            <v>218.1158126990874</v>
          </cell>
          <cell r="R615">
            <v>33.850581305073867</v>
          </cell>
          <cell r="U615">
            <v>0</v>
          </cell>
          <cell r="V615">
            <v>2.3761246365968538</v>
          </cell>
          <cell r="W615">
            <v>0</v>
          </cell>
        </row>
        <row r="616">
          <cell r="K616">
            <v>18</v>
          </cell>
          <cell r="Q616">
            <v>178.45839220834424</v>
          </cell>
          <cell r="R616">
            <v>27.6959301586968</v>
          </cell>
          <cell r="U616">
            <v>0</v>
          </cell>
          <cell r="V616">
            <v>1.9441019753974256</v>
          </cell>
          <cell r="W616">
            <v>0</v>
          </cell>
        </row>
        <row r="617">
          <cell r="K617">
            <v>18</v>
          </cell>
          <cell r="Q617">
            <v>178.45839220834424</v>
          </cell>
          <cell r="R617">
            <v>27.6959301586968</v>
          </cell>
          <cell r="U617">
            <v>0</v>
          </cell>
          <cell r="V617">
            <v>1.9441019753974256</v>
          </cell>
          <cell r="W617">
            <v>0</v>
          </cell>
        </row>
        <row r="618">
          <cell r="K618">
            <v>18</v>
          </cell>
          <cell r="Q618">
            <v>178.45839220834424</v>
          </cell>
          <cell r="R618">
            <v>27.6959301586968</v>
          </cell>
          <cell r="U618">
            <v>0</v>
          </cell>
          <cell r="V618">
            <v>1.9441019753974256</v>
          </cell>
          <cell r="W618">
            <v>0</v>
          </cell>
        </row>
        <row r="619">
          <cell r="K619">
            <v>22</v>
          </cell>
          <cell r="Q619">
            <v>218.1158126990874</v>
          </cell>
          <cell r="R619">
            <v>33.850581305073867</v>
          </cell>
          <cell r="U619">
            <v>0</v>
          </cell>
          <cell r="V619">
            <v>2.3761246365968538</v>
          </cell>
          <cell r="W619">
            <v>0</v>
          </cell>
        </row>
        <row r="620">
          <cell r="K620">
            <v>18</v>
          </cell>
          <cell r="Q620">
            <v>178.45839220834424</v>
          </cell>
          <cell r="R620">
            <v>27.6959301586968</v>
          </cell>
          <cell r="U620">
            <v>0</v>
          </cell>
          <cell r="V620">
            <v>1.9441019753974256</v>
          </cell>
          <cell r="W620">
            <v>0</v>
          </cell>
        </row>
        <row r="621">
          <cell r="K621">
            <v>15</v>
          </cell>
          <cell r="Q621">
            <v>165.10291883332002</v>
          </cell>
          <cell r="R621">
            <v>25.623221482720556</v>
          </cell>
          <cell r="U621">
            <v>0</v>
          </cell>
          <cell r="V621">
            <v>1.798609225802104</v>
          </cell>
          <cell r="W621">
            <v>0</v>
          </cell>
        </row>
        <row r="622">
          <cell r="K622">
            <v>18</v>
          </cell>
          <cell r="Q622">
            <v>178.45839220834424</v>
          </cell>
          <cell r="R622">
            <v>27.6959301586968</v>
          </cell>
          <cell r="U622">
            <v>0</v>
          </cell>
          <cell r="V622">
            <v>1.9441019753974256</v>
          </cell>
          <cell r="W622">
            <v>0</v>
          </cell>
        </row>
        <row r="623">
          <cell r="K623">
            <v>12</v>
          </cell>
          <cell r="Q623">
            <v>0</v>
          </cell>
          <cell r="R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K624">
            <v>9</v>
          </cell>
          <cell r="Q624">
            <v>0</v>
          </cell>
          <cell r="R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K625">
            <v>53</v>
          </cell>
          <cell r="Q625">
            <v>1243.0457410062645</v>
          </cell>
          <cell r="R625">
            <v>192.9150408728454</v>
          </cell>
          <cell r="U625">
            <v>0</v>
          </cell>
          <cell r="V625">
            <v>13.541574877455616</v>
          </cell>
          <cell r="W625">
            <v>0</v>
          </cell>
        </row>
        <row r="626">
          <cell r="K626">
            <v>18</v>
          </cell>
          <cell r="Q626">
            <v>178.45839220834424</v>
          </cell>
          <cell r="R626">
            <v>27.6959301586968</v>
          </cell>
          <cell r="U626">
            <v>0</v>
          </cell>
          <cell r="V626">
            <v>1.9441019753974256</v>
          </cell>
          <cell r="W626">
            <v>0</v>
          </cell>
        </row>
        <row r="627">
          <cell r="K627">
            <v>22</v>
          </cell>
          <cell r="Q627">
            <v>218.1158126990874</v>
          </cell>
          <cell r="R627">
            <v>33.850581305073867</v>
          </cell>
          <cell r="U627">
            <v>0</v>
          </cell>
          <cell r="V627">
            <v>2.3761246365968538</v>
          </cell>
          <cell r="W627">
            <v>0</v>
          </cell>
        </row>
        <row r="628">
          <cell r="K628">
            <v>18</v>
          </cell>
          <cell r="Q628">
            <v>178.45839220834424</v>
          </cell>
          <cell r="R628">
            <v>27.6959301586968</v>
          </cell>
          <cell r="U628">
            <v>0</v>
          </cell>
          <cell r="V628">
            <v>1.9441019753974256</v>
          </cell>
          <cell r="W628">
            <v>0</v>
          </cell>
        </row>
        <row r="629">
          <cell r="K629">
            <v>22</v>
          </cell>
          <cell r="Q629">
            <v>218.1158126990874</v>
          </cell>
          <cell r="R629">
            <v>33.850581305073867</v>
          </cell>
          <cell r="U629">
            <v>0</v>
          </cell>
          <cell r="V629">
            <v>2.3761246365968538</v>
          </cell>
          <cell r="W629">
            <v>0</v>
          </cell>
        </row>
        <row r="630">
          <cell r="K630">
            <v>18</v>
          </cell>
          <cell r="Q630">
            <v>178.45839220834424</v>
          </cell>
          <cell r="R630">
            <v>27.6959301586968</v>
          </cell>
          <cell r="U630">
            <v>0</v>
          </cell>
          <cell r="V630">
            <v>1.9441019753974256</v>
          </cell>
          <cell r="W630">
            <v>0</v>
          </cell>
        </row>
        <row r="631">
          <cell r="K631">
            <v>22</v>
          </cell>
          <cell r="Q631">
            <v>218.1158126990874</v>
          </cell>
          <cell r="R631">
            <v>33.850581305073867</v>
          </cell>
          <cell r="U631">
            <v>0</v>
          </cell>
          <cell r="V631">
            <v>2.3761246365968538</v>
          </cell>
          <cell r="W631">
            <v>0</v>
          </cell>
        </row>
        <row r="632">
          <cell r="K632">
            <v>12</v>
          </cell>
          <cell r="Q632">
            <v>89.948786395334807</v>
          </cell>
          <cell r="R632">
            <v>13.959642217085079</v>
          </cell>
          <cell r="U632">
            <v>0</v>
          </cell>
          <cell r="V632">
            <v>0.97989010856725089</v>
          </cell>
          <cell r="W632">
            <v>0</v>
          </cell>
        </row>
        <row r="633">
          <cell r="K633">
            <v>20.5</v>
          </cell>
          <cell r="Q633">
            <v>203.24428001505873</v>
          </cell>
          <cell r="R633">
            <v>31.542587125182465</v>
          </cell>
          <cell r="U633">
            <v>0</v>
          </cell>
          <cell r="V633">
            <v>2.2141161386470682</v>
          </cell>
          <cell r="W633">
            <v>0</v>
          </cell>
        </row>
        <row r="634">
          <cell r="K634">
            <v>18</v>
          </cell>
          <cell r="Q634">
            <v>178.45839220834424</v>
          </cell>
          <cell r="R634">
            <v>27.6959301586968</v>
          </cell>
          <cell r="U634">
            <v>0</v>
          </cell>
          <cell r="V634">
            <v>1.9441019753974256</v>
          </cell>
          <cell r="W634">
            <v>0</v>
          </cell>
        </row>
        <row r="635">
          <cell r="K635">
            <v>5.5</v>
          </cell>
          <cell r="Q635">
            <v>60.537736905550666</v>
          </cell>
          <cell r="R635">
            <v>9.3951812103308701</v>
          </cell>
          <cell r="U635">
            <v>0</v>
          </cell>
          <cell r="V635">
            <v>0.65949004946077139</v>
          </cell>
          <cell r="W635">
            <v>0</v>
          </cell>
        </row>
        <row r="636">
          <cell r="K636">
            <v>20</v>
          </cell>
          <cell r="Q636">
            <v>128.34787156789412</v>
          </cell>
          <cell r="R636">
            <v>19.919005449806875</v>
          </cell>
          <cell r="U636">
            <v>0</v>
          </cell>
          <cell r="V636">
            <v>1.3982046322701942</v>
          </cell>
          <cell r="W636">
            <v>0</v>
          </cell>
        </row>
        <row r="637">
          <cell r="K637">
            <v>12</v>
          </cell>
          <cell r="Q637">
            <v>645.4751947134539</v>
          </cell>
          <cell r="R637">
            <v>100.17481212698695</v>
          </cell>
          <cell r="U637">
            <v>0</v>
          </cell>
          <cell r="V637">
            <v>7.0317208710893526</v>
          </cell>
          <cell r="W637">
            <v>0</v>
          </cell>
        </row>
        <row r="638">
          <cell r="K638">
            <v>7</v>
          </cell>
          <cell r="Q638">
            <v>376.52719691618148</v>
          </cell>
          <cell r="R638">
            <v>58.435307074075723</v>
          </cell>
          <cell r="U638">
            <v>0</v>
          </cell>
          <cell r="V638">
            <v>4.1018371748021227</v>
          </cell>
          <cell r="W638">
            <v>0</v>
          </cell>
        </row>
        <row r="639">
          <cell r="K639">
            <v>14</v>
          </cell>
          <cell r="Q639">
            <v>297.71682032250504</v>
          </cell>
          <cell r="R639">
            <v>46.204295358074184</v>
          </cell>
          <cell r="U639">
            <v>0</v>
          </cell>
          <cell r="V639">
            <v>3.2432874203097279</v>
          </cell>
          <cell r="W639">
            <v>0</v>
          </cell>
        </row>
        <row r="640">
          <cell r="K640">
            <v>39</v>
          </cell>
          <cell r="Q640">
            <v>250.27834955739354</v>
          </cell>
          <cell r="R640">
            <v>38.842060627123409</v>
          </cell>
          <cell r="U640">
            <v>0</v>
          </cell>
          <cell r="V640">
            <v>2.7264990329268786</v>
          </cell>
          <cell r="W640">
            <v>0</v>
          </cell>
        </row>
        <row r="641">
          <cell r="K641">
            <v>60</v>
          </cell>
          <cell r="Q641">
            <v>385.04361470368241</v>
          </cell>
          <cell r="R641">
            <v>59.757016349420638</v>
          </cell>
          <cell r="U641">
            <v>0</v>
          </cell>
          <cell r="V641">
            <v>4.1946138968105826</v>
          </cell>
          <cell r="W641">
            <v>0</v>
          </cell>
        </row>
        <row r="642">
          <cell r="K642">
            <v>7</v>
          </cell>
          <cell r="Q642">
            <v>148.85841016125252</v>
          </cell>
          <cell r="R642">
            <v>23.102147679037092</v>
          </cell>
          <cell r="U642">
            <v>0</v>
          </cell>
          <cell r="V642">
            <v>1.621643710154864</v>
          </cell>
          <cell r="W642">
            <v>0</v>
          </cell>
        </row>
        <row r="643">
          <cell r="K643">
            <v>8</v>
          </cell>
          <cell r="Q643">
            <v>170.12389732714573</v>
          </cell>
          <cell r="R643">
            <v>26.402454490328104</v>
          </cell>
          <cell r="U643">
            <v>0</v>
          </cell>
          <cell r="V643">
            <v>1.8533070973198444</v>
          </cell>
          <cell r="W643">
            <v>0</v>
          </cell>
        </row>
        <row r="644">
          <cell r="K644">
            <v>9</v>
          </cell>
          <cell r="Q644">
            <v>68.607948626063731</v>
          </cell>
          <cell r="R644">
            <v>10.647641335132866</v>
          </cell>
          <cell r="U644">
            <v>0</v>
          </cell>
          <cell r="V644">
            <v>0.74740586195676295</v>
          </cell>
          <cell r="W644">
            <v>0</v>
          </cell>
        </row>
        <row r="645">
          <cell r="K645">
            <v>23.5</v>
          </cell>
          <cell r="Q645">
            <v>232.98734538311609</v>
          </cell>
          <cell r="R645">
            <v>36.158575484965262</v>
          </cell>
          <cell r="U645">
            <v>0</v>
          </cell>
          <cell r="V645">
            <v>2.5381331345466389</v>
          </cell>
          <cell r="W645">
            <v>0</v>
          </cell>
        </row>
        <row r="646">
          <cell r="K646">
            <v>24</v>
          </cell>
          <cell r="Q646">
            <v>0</v>
          </cell>
          <cell r="R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K647">
            <v>24</v>
          </cell>
          <cell r="Q647">
            <v>0</v>
          </cell>
          <cell r="R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K648">
            <v>18</v>
          </cell>
          <cell r="Q648">
            <v>0</v>
          </cell>
          <cell r="R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K649">
            <v>24</v>
          </cell>
          <cell r="Q649">
            <v>0</v>
          </cell>
          <cell r="R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K650">
            <v>24</v>
          </cell>
          <cell r="Q650">
            <v>0</v>
          </cell>
          <cell r="R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K651">
            <v>23</v>
          </cell>
          <cell r="Q651">
            <v>0</v>
          </cell>
          <cell r="R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K652">
            <v>32</v>
          </cell>
          <cell r="Q652">
            <v>0</v>
          </cell>
          <cell r="R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K653">
            <v>18</v>
          </cell>
          <cell r="Q653">
            <v>198.49275459355135</v>
          </cell>
          <cell r="R653">
            <v>30.805172007894484</v>
          </cell>
          <cell r="U653">
            <v>0</v>
          </cell>
          <cell r="V653">
            <v>2.1623536530402316</v>
          </cell>
          <cell r="W653">
            <v>0</v>
          </cell>
        </row>
        <row r="654">
          <cell r="K654">
            <v>18</v>
          </cell>
          <cell r="Q654">
            <v>0</v>
          </cell>
          <cell r="R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K655">
            <v>14</v>
          </cell>
          <cell r="Q655">
            <v>0</v>
          </cell>
          <cell r="R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K656">
            <v>14</v>
          </cell>
          <cell r="Q656">
            <v>0</v>
          </cell>
          <cell r="R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K657">
            <v>14</v>
          </cell>
          <cell r="Q657">
            <v>0</v>
          </cell>
          <cell r="R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K658">
            <v>14</v>
          </cell>
          <cell r="Q658">
            <v>0</v>
          </cell>
          <cell r="R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K659">
            <v>14</v>
          </cell>
          <cell r="Q659">
            <v>0</v>
          </cell>
          <cell r="R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K660">
            <v>14</v>
          </cell>
          <cell r="Q660">
            <v>0</v>
          </cell>
          <cell r="R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K661">
            <v>14</v>
          </cell>
          <cell r="Q661">
            <v>0</v>
          </cell>
          <cell r="R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K662">
            <v>14</v>
          </cell>
          <cell r="Q662">
            <v>0</v>
          </cell>
          <cell r="R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K663">
            <v>11.5</v>
          </cell>
          <cell r="Q663">
            <v>0</v>
          </cell>
          <cell r="R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K664">
            <v>22.5</v>
          </cell>
          <cell r="Q664">
            <v>0</v>
          </cell>
          <cell r="R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K665">
            <v>9</v>
          </cell>
          <cell r="Q665">
            <v>0</v>
          </cell>
          <cell r="R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K666">
            <v>13</v>
          </cell>
          <cell r="Q666">
            <v>0</v>
          </cell>
          <cell r="R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K667">
            <v>22</v>
          </cell>
          <cell r="Q667">
            <v>0</v>
          </cell>
          <cell r="R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K668">
            <v>24</v>
          </cell>
          <cell r="Q668">
            <v>0</v>
          </cell>
          <cell r="R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K669">
            <v>24</v>
          </cell>
          <cell r="Q669">
            <v>0</v>
          </cell>
          <cell r="R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K670">
            <v>6</v>
          </cell>
          <cell r="Q670">
            <v>0</v>
          </cell>
          <cell r="R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Q671">
            <v>0</v>
          </cell>
          <cell r="R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Q672">
            <v>0</v>
          </cell>
          <cell r="R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K673">
            <v>6</v>
          </cell>
          <cell r="Q673">
            <v>322.73759735672695</v>
          </cell>
          <cell r="R673">
            <v>50.087406063493475</v>
          </cell>
          <cell r="U673">
            <v>0</v>
          </cell>
          <cell r="V673">
            <v>3.5158604355446763</v>
          </cell>
          <cell r="W673">
            <v>0</v>
          </cell>
        </row>
        <row r="674">
          <cell r="K674">
            <v>9.5</v>
          </cell>
          <cell r="Q674">
            <v>511.00119581481766</v>
          </cell>
          <cell r="R674">
            <v>79.305059600531322</v>
          </cell>
          <cell r="U674">
            <v>0</v>
          </cell>
          <cell r="V674">
            <v>5.5667790229457372</v>
          </cell>
          <cell r="W674">
            <v>0</v>
          </cell>
        </row>
        <row r="675">
          <cell r="K675">
            <v>20</v>
          </cell>
          <cell r="Q675">
            <v>128.34787156789412</v>
          </cell>
          <cell r="R675">
            <v>19.919005449806875</v>
          </cell>
          <cell r="U675">
            <v>0</v>
          </cell>
          <cell r="V675">
            <v>1.3982046322701942</v>
          </cell>
          <cell r="W675">
            <v>0</v>
          </cell>
        </row>
        <row r="676">
          <cell r="K676">
            <v>112</v>
          </cell>
          <cell r="Q676">
            <v>718.74808078020715</v>
          </cell>
          <cell r="R676">
            <v>111.54643051891853</v>
          </cell>
          <cell r="U676">
            <v>0</v>
          </cell>
          <cell r="V676">
            <v>7.8299459407130882</v>
          </cell>
          <cell r="W676">
            <v>0</v>
          </cell>
        </row>
        <row r="677">
          <cell r="Q677">
            <v>0</v>
          </cell>
          <cell r="R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Q678">
            <v>0</v>
          </cell>
          <cell r="R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K679">
            <v>5</v>
          </cell>
          <cell r="Q679">
            <v>101.28848382551591</v>
          </cell>
          <cell r="R679">
            <v>15.719511641888543</v>
          </cell>
          <cell r="U679">
            <v>0</v>
          </cell>
          <cell r="V679">
            <v>1.1034232632797891</v>
          </cell>
          <cell r="W679">
            <v>0</v>
          </cell>
        </row>
        <row r="680">
          <cell r="K680">
            <v>14</v>
          </cell>
          <cell r="Q680">
            <v>138.80097171760107</v>
          </cell>
          <cell r="R680">
            <v>21.54127901231973</v>
          </cell>
          <cell r="U680">
            <v>0</v>
          </cell>
          <cell r="V680">
            <v>1.5120793141979978</v>
          </cell>
          <cell r="W680">
            <v>0</v>
          </cell>
        </row>
        <row r="681">
          <cell r="K681">
            <v>7.41</v>
          </cell>
          <cell r="Q681">
            <v>398.58093273555784</v>
          </cell>
          <cell r="R681">
            <v>61.857946488414449</v>
          </cell>
          <cell r="U681">
            <v>0</v>
          </cell>
          <cell r="V681">
            <v>4.3420876378976754</v>
          </cell>
          <cell r="W681">
            <v>0</v>
          </cell>
        </row>
        <row r="682">
          <cell r="K682">
            <v>4.18</v>
          </cell>
          <cell r="Q682">
            <v>15.397304085278506</v>
          </cell>
          <cell r="R682">
            <v>2.3895915081439978</v>
          </cell>
          <cell r="U682">
            <v>0</v>
          </cell>
          <cell r="V682">
            <v>0.16773618162511475</v>
          </cell>
          <cell r="W682">
            <v>0</v>
          </cell>
        </row>
        <row r="683">
          <cell r="K683">
            <v>62</v>
          </cell>
          <cell r="Q683">
            <v>1016.5651939811082</v>
          </cell>
          <cell r="R683">
            <v>157.76629087520377</v>
          </cell>
          <cell r="U683">
            <v>0</v>
          </cell>
          <cell r="V683">
            <v>11.074325938293043</v>
          </cell>
          <cell r="W683">
            <v>0</v>
          </cell>
        </row>
        <row r="684">
          <cell r="K684">
            <v>9.6</v>
          </cell>
          <cell r="Q684">
            <v>271.78027958150847</v>
          </cell>
          <cell r="R684">
            <v>42.179062293763039</v>
          </cell>
          <cell r="U684">
            <v>0</v>
          </cell>
          <cell r="V684">
            <v>2.9607381971234088</v>
          </cell>
          <cell r="W684">
            <v>0</v>
          </cell>
        </row>
        <row r="685">
          <cell r="K685">
            <v>8.1999999999999993</v>
          </cell>
          <cell r="Q685">
            <v>81.297712006023488</v>
          </cell>
          <cell r="R685">
            <v>12.617034850072985</v>
          </cell>
          <cell r="U685">
            <v>0</v>
          </cell>
          <cell r="V685">
            <v>0.88564645545882725</v>
          </cell>
          <cell r="W685">
            <v>0</v>
          </cell>
        </row>
        <row r="686">
          <cell r="K686">
            <v>17</v>
          </cell>
          <cell r="Q686">
            <v>168.54403708565846</v>
          </cell>
          <cell r="R686">
            <v>26.157267372102535</v>
          </cell>
          <cell r="U686">
            <v>0</v>
          </cell>
          <cell r="V686">
            <v>1.8360963100975689</v>
          </cell>
          <cell r="W686">
            <v>0</v>
          </cell>
        </row>
        <row r="687">
          <cell r="K687">
            <v>15.93</v>
          </cell>
          <cell r="Q687">
            <v>157.93567710438467</v>
          </cell>
          <cell r="R687">
            <v>24.510898190446667</v>
          </cell>
          <cell r="U687">
            <v>0</v>
          </cell>
          <cell r="V687">
            <v>1.7205302482267217</v>
          </cell>
          <cell r="W687">
            <v>0</v>
          </cell>
        </row>
        <row r="688">
          <cell r="K688">
            <v>69.599999999999994</v>
          </cell>
          <cell r="Q688">
            <v>634.47106268303151</v>
          </cell>
          <cell r="R688">
            <v>98.467020924789807</v>
          </cell>
          <cell r="U688">
            <v>0</v>
          </cell>
          <cell r="V688">
            <v>6.9118433211845973</v>
          </cell>
          <cell r="W688">
            <v>0</v>
          </cell>
        </row>
        <row r="689">
          <cell r="K689">
            <v>12</v>
          </cell>
          <cell r="Q689">
            <v>271.5648598415641</v>
          </cell>
          <cell r="R689">
            <v>42.145630130677425</v>
          </cell>
          <cell r="U689">
            <v>0</v>
          </cell>
          <cell r="V689">
            <v>2.9583914431446066</v>
          </cell>
          <cell r="W689">
            <v>0</v>
          </cell>
        </row>
        <row r="690">
          <cell r="K690">
            <v>7</v>
          </cell>
          <cell r="Q690">
            <v>16.3936138213774</v>
          </cell>
          <cell r="R690">
            <v>2.5442142441552575</v>
          </cell>
          <cell r="U690">
            <v>0</v>
          </cell>
          <cell r="V690">
            <v>0.1785898473008441</v>
          </cell>
          <cell r="W690">
            <v>0</v>
          </cell>
        </row>
        <row r="691">
          <cell r="K691">
            <v>48.19</v>
          </cell>
          <cell r="Q691">
            <v>309.25419654284093</v>
          </cell>
          <cell r="R691">
            <v>47.994843631309678</v>
          </cell>
          <cell r="U691">
            <v>0</v>
          </cell>
          <cell r="V691">
            <v>3.3689740614550332</v>
          </cell>
          <cell r="W691">
            <v>0</v>
          </cell>
        </row>
        <row r="692">
          <cell r="K692">
            <v>41.91</v>
          </cell>
          <cell r="Q692">
            <v>268.95296487052212</v>
          </cell>
          <cell r="R692">
            <v>41.74027592007031</v>
          </cell>
          <cell r="U692">
            <v>0</v>
          </cell>
          <cell r="V692">
            <v>2.929937806922192</v>
          </cell>
          <cell r="W692">
            <v>0</v>
          </cell>
        </row>
        <row r="693">
          <cell r="K693">
            <v>17.97</v>
          </cell>
          <cell r="Q693">
            <v>115.32056260375286</v>
          </cell>
          <cell r="R693">
            <v>17.897226396651476</v>
          </cell>
          <cell r="U693">
            <v>0</v>
          </cell>
          <cell r="V693">
            <v>1.2562868620947694</v>
          </cell>
          <cell r="W693">
            <v>0</v>
          </cell>
        </row>
        <row r="694">
          <cell r="K694">
            <v>13.53</v>
          </cell>
          <cell r="Q694">
            <v>727.77328203941931</v>
          </cell>
          <cell r="R694">
            <v>112.94710067317779</v>
          </cell>
          <cell r="U694">
            <v>0</v>
          </cell>
          <cell r="V694">
            <v>7.9282652821532453</v>
          </cell>
          <cell r="W694">
            <v>0</v>
          </cell>
        </row>
        <row r="695">
          <cell r="K695">
            <v>18</v>
          </cell>
          <cell r="Q695">
            <v>178.45839220834424</v>
          </cell>
          <cell r="R695">
            <v>27.6959301586968</v>
          </cell>
          <cell r="U695">
            <v>0</v>
          </cell>
          <cell r="V695">
            <v>1.9441019753974256</v>
          </cell>
          <cell r="W695">
            <v>0</v>
          </cell>
        </row>
        <row r="696">
          <cell r="K696">
            <v>14</v>
          </cell>
          <cell r="Q696">
            <v>138.80097171760107</v>
          </cell>
          <cell r="R696">
            <v>21.54127901231973</v>
          </cell>
          <cell r="U696">
            <v>0</v>
          </cell>
          <cell r="V696">
            <v>1.5120793141979978</v>
          </cell>
          <cell r="W696">
            <v>0</v>
          </cell>
        </row>
        <row r="697">
          <cell r="K697">
            <v>14</v>
          </cell>
          <cell r="Q697">
            <v>138.80097171760107</v>
          </cell>
          <cell r="R697">
            <v>21.54127901231973</v>
          </cell>
          <cell r="U697">
            <v>0</v>
          </cell>
          <cell r="V697">
            <v>1.5120793141979978</v>
          </cell>
          <cell r="W697">
            <v>0</v>
          </cell>
        </row>
        <row r="698">
          <cell r="K698">
            <v>14</v>
          </cell>
          <cell r="Q698">
            <v>138.80097171760107</v>
          </cell>
          <cell r="R698">
            <v>21.54127901231973</v>
          </cell>
          <cell r="U698">
            <v>0</v>
          </cell>
          <cell r="V698">
            <v>1.5120793141979978</v>
          </cell>
          <cell r="W698">
            <v>0</v>
          </cell>
        </row>
        <row r="699">
          <cell r="K699">
            <v>14</v>
          </cell>
          <cell r="Q699">
            <v>138.80097171760107</v>
          </cell>
          <cell r="R699">
            <v>21.54127901231973</v>
          </cell>
          <cell r="U699">
            <v>0</v>
          </cell>
          <cell r="V699">
            <v>1.5120793141979978</v>
          </cell>
          <cell r="W699">
            <v>0</v>
          </cell>
        </row>
        <row r="700">
          <cell r="K700">
            <v>14</v>
          </cell>
          <cell r="Q700">
            <v>138.80097171760107</v>
          </cell>
          <cell r="R700">
            <v>21.54127901231973</v>
          </cell>
          <cell r="U700">
            <v>0</v>
          </cell>
          <cell r="V700">
            <v>1.5120793141979978</v>
          </cell>
          <cell r="W700">
            <v>0</v>
          </cell>
        </row>
        <row r="701">
          <cell r="K701">
            <v>15</v>
          </cell>
          <cell r="Q701">
            <v>148.71532684028685</v>
          </cell>
          <cell r="R701">
            <v>23.079941798913993</v>
          </cell>
          <cell r="U701">
            <v>0</v>
          </cell>
          <cell r="V701">
            <v>1.6200849794978545</v>
          </cell>
          <cell r="W701">
            <v>0</v>
          </cell>
        </row>
        <row r="702">
          <cell r="K702">
            <v>12</v>
          </cell>
          <cell r="Q702">
            <v>118.97226147222949</v>
          </cell>
          <cell r="R702">
            <v>18.463953439131199</v>
          </cell>
          <cell r="U702">
            <v>0</v>
          </cell>
          <cell r="V702">
            <v>1.2960679835982838</v>
          </cell>
          <cell r="W702">
            <v>0</v>
          </cell>
        </row>
        <row r="703">
          <cell r="K703">
            <v>10.92</v>
          </cell>
          <cell r="Q703">
            <v>128.8866165949153</v>
          </cell>
          <cell r="R703">
            <v>20.002616225725465</v>
          </cell>
          <cell r="U703">
            <v>0</v>
          </cell>
          <cell r="V703">
            <v>1.4040736488981407</v>
          </cell>
          <cell r="W703">
            <v>0</v>
          </cell>
        </row>
        <row r="704">
          <cell r="K704">
            <v>55.8</v>
          </cell>
          <cell r="Q704">
            <v>508.67076577174083</v>
          </cell>
          <cell r="R704">
            <v>78.943387465564243</v>
          </cell>
          <cell r="U704">
            <v>0</v>
          </cell>
          <cell r="V704">
            <v>5.5413916281910991</v>
          </cell>
          <cell r="W704">
            <v>0</v>
          </cell>
        </row>
        <row r="705">
          <cell r="K705">
            <v>12.48</v>
          </cell>
          <cell r="Q705">
            <v>671.29420250199212</v>
          </cell>
          <cell r="R705">
            <v>104.18180461206643</v>
          </cell>
          <cell r="U705">
            <v>0</v>
          </cell>
          <cell r="V705">
            <v>7.3129897059329272</v>
          </cell>
          <cell r="W705">
            <v>0</v>
          </cell>
        </row>
        <row r="706">
          <cell r="K706">
            <v>3.99</v>
          </cell>
          <cell r="Q706">
            <v>76.040476393887303</v>
          </cell>
          <cell r="R706">
            <v>11.80113581310559</v>
          </cell>
          <cell r="U706">
            <v>0</v>
          </cell>
          <cell r="V706">
            <v>0.82837483033541226</v>
          </cell>
          <cell r="W706">
            <v>0</v>
          </cell>
        </row>
        <row r="707">
          <cell r="K707">
            <v>4.93</v>
          </cell>
          <cell r="Q707">
            <v>0</v>
          </cell>
          <cell r="R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K708">
            <v>10.62</v>
          </cell>
          <cell r="Q708">
            <v>65.697037065051859</v>
          </cell>
          <cell r="R708">
            <v>10.195881110834719</v>
          </cell>
          <cell r="U708">
            <v>0</v>
          </cell>
          <cell r="V708">
            <v>0.71569477879647325</v>
          </cell>
          <cell r="W708">
            <v>0</v>
          </cell>
        </row>
        <row r="709">
          <cell r="K709">
            <v>24</v>
          </cell>
          <cell r="Q709">
            <v>194.38227958194778</v>
          </cell>
          <cell r="R709">
            <v>30.167244996271897</v>
          </cell>
          <cell r="U709">
            <v>0</v>
          </cell>
          <cell r="V709">
            <v>2.1175746852876207</v>
          </cell>
          <cell r="W709">
            <v>0</v>
          </cell>
        </row>
        <row r="710">
          <cell r="K710">
            <v>12.16</v>
          </cell>
          <cell r="Q710">
            <v>78.035505913279636</v>
          </cell>
          <cell r="R710">
            <v>12.110755313482581</v>
          </cell>
          <cell r="U710">
            <v>0</v>
          </cell>
          <cell r="V710">
            <v>0.85010841642027812</v>
          </cell>
          <cell r="W710">
            <v>0</v>
          </cell>
        </row>
        <row r="711">
          <cell r="K711">
            <v>20.16</v>
          </cell>
          <cell r="Q711">
            <v>129.37465454043726</v>
          </cell>
          <cell r="R711">
            <v>20.078357493405331</v>
          </cell>
          <cell r="U711">
            <v>0</v>
          </cell>
          <cell r="V711">
            <v>1.4093902693283558</v>
          </cell>
          <cell r="W711">
            <v>0</v>
          </cell>
        </row>
        <row r="712">
          <cell r="K712">
            <v>36</v>
          </cell>
          <cell r="Q712">
            <v>231.02616882220943</v>
          </cell>
          <cell r="R712">
            <v>35.854209809652374</v>
          </cell>
          <cell r="U712">
            <v>0</v>
          </cell>
          <cell r="V712">
            <v>2.5167683380863495</v>
          </cell>
          <cell r="W712">
            <v>0</v>
          </cell>
        </row>
        <row r="713">
          <cell r="K713">
            <v>29.6</v>
          </cell>
          <cell r="Q713">
            <v>189.95484992048333</v>
          </cell>
          <cell r="R713">
            <v>29.480128065714183</v>
          </cell>
          <cell r="U713">
            <v>0</v>
          </cell>
          <cell r="V713">
            <v>2.0693428557598876</v>
          </cell>
          <cell r="W713">
            <v>0</v>
          </cell>
        </row>
        <row r="714">
          <cell r="K714">
            <v>23.4</v>
          </cell>
          <cell r="Q714">
            <v>414.27841048365627</v>
          </cell>
          <cell r="R714">
            <v>64.294123582688982</v>
          </cell>
          <cell r="U714">
            <v>0</v>
          </cell>
          <cell r="V714">
            <v>4.5130938714583095</v>
          </cell>
          <cell r="W714">
            <v>0</v>
          </cell>
        </row>
        <row r="715">
          <cell r="K715">
            <v>15.21</v>
          </cell>
          <cell r="Q715">
            <v>150.7973414160509</v>
          </cell>
          <cell r="R715">
            <v>23.40306098409879</v>
          </cell>
          <cell r="U715">
            <v>0</v>
          </cell>
          <cell r="V715">
            <v>1.6427661692108246</v>
          </cell>
          <cell r="W715">
            <v>0</v>
          </cell>
        </row>
        <row r="716">
          <cell r="K716">
            <v>14.82</v>
          </cell>
          <cell r="Q716">
            <v>146.93074291820341</v>
          </cell>
          <cell r="R716">
            <v>22.802982497327029</v>
          </cell>
          <cell r="U716">
            <v>0</v>
          </cell>
          <cell r="V716">
            <v>1.6006439597438804</v>
          </cell>
          <cell r="W716">
            <v>0</v>
          </cell>
        </row>
        <row r="717">
          <cell r="K717">
            <v>14.82</v>
          </cell>
          <cell r="Q717">
            <v>146.93074291820341</v>
          </cell>
          <cell r="R717">
            <v>22.802982497327029</v>
          </cell>
          <cell r="U717">
            <v>0</v>
          </cell>
          <cell r="V717">
            <v>1.6006439597438804</v>
          </cell>
          <cell r="W717">
            <v>0</v>
          </cell>
        </row>
        <row r="718">
          <cell r="K718">
            <v>15.21</v>
          </cell>
          <cell r="Q718">
            <v>150.7973414160509</v>
          </cell>
          <cell r="R718">
            <v>23.40306098409879</v>
          </cell>
          <cell r="U718">
            <v>0</v>
          </cell>
          <cell r="V718">
            <v>1.6427661692108246</v>
          </cell>
          <cell r="W718">
            <v>0</v>
          </cell>
        </row>
        <row r="719">
          <cell r="K719">
            <v>14.82</v>
          </cell>
          <cell r="Q719">
            <v>146.93074291820341</v>
          </cell>
          <cell r="R719">
            <v>22.802982497327029</v>
          </cell>
          <cell r="U719">
            <v>0</v>
          </cell>
          <cell r="V719">
            <v>1.6006439597438804</v>
          </cell>
          <cell r="W719">
            <v>0</v>
          </cell>
        </row>
        <row r="720">
          <cell r="K720">
            <v>14.43</v>
          </cell>
          <cell r="Q720">
            <v>143.06414442035597</v>
          </cell>
          <cell r="R720">
            <v>22.202904010555265</v>
          </cell>
          <cell r="U720">
            <v>0</v>
          </cell>
          <cell r="V720">
            <v>1.5585217502769362</v>
          </cell>
          <cell r="W720">
            <v>0</v>
          </cell>
        </row>
        <row r="721">
          <cell r="K721">
            <v>25.2</v>
          </cell>
          <cell r="Q721">
            <v>249.84174909168192</v>
          </cell>
          <cell r="R721">
            <v>38.774302222175514</v>
          </cell>
          <cell r="U721">
            <v>0</v>
          </cell>
          <cell r="V721">
            <v>2.7217427655563959</v>
          </cell>
          <cell r="W721">
            <v>0</v>
          </cell>
        </row>
        <row r="722">
          <cell r="K722">
            <v>8.51</v>
          </cell>
          <cell r="Q722">
            <v>19.929950517131669</v>
          </cell>
          <cell r="R722">
            <v>3.0930376025373203</v>
          </cell>
          <cell r="U722">
            <v>0</v>
          </cell>
          <cell r="V722">
            <v>0.21711422864716906</v>
          </cell>
          <cell r="W722">
            <v>0</v>
          </cell>
        </row>
        <row r="723">
          <cell r="K723">
            <v>3.99</v>
          </cell>
          <cell r="Q723">
            <v>39.558276939516304</v>
          </cell>
          <cell r="R723">
            <v>6.1392645185111236</v>
          </cell>
          <cell r="U723">
            <v>0</v>
          </cell>
          <cell r="V723">
            <v>0.43094260454642935</v>
          </cell>
          <cell r="W723">
            <v>0</v>
          </cell>
        </row>
        <row r="724">
          <cell r="K724">
            <v>29.2</v>
          </cell>
          <cell r="Q724">
            <v>289.49916958242511</v>
          </cell>
          <cell r="R724">
            <v>44.928953368552584</v>
          </cell>
          <cell r="U724">
            <v>0</v>
          </cell>
          <cell r="V724">
            <v>3.1537654267558235</v>
          </cell>
          <cell r="W724">
            <v>0</v>
          </cell>
        </row>
        <row r="725">
          <cell r="K725">
            <v>8.4</v>
          </cell>
          <cell r="Q725">
            <v>83.280583030560663</v>
          </cell>
          <cell r="R725">
            <v>12.92476740739184</v>
          </cell>
          <cell r="U725">
            <v>0</v>
          </cell>
          <cell r="V725">
            <v>0.90724758851879872</v>
          </cell>
          <cell r="W725">
            <v>0</v>
          </cell>
        </row>
        <row r="726">
          <cell r="K726">
            <v>12.48</v>
          </cell>
          <cell r="Q726">
            <v>671.29420250199212</v>
          </cell>
          <cell r="R726">
            <v>104.18180461206643</v>
          </cell>
          <cell r="U726">
            <v>0</v>
          </cell>
          <cell r="V726">
            <v>7.3129897059329272</v>
          </cell>
          <cell r="W726">
            <v>0</v>
          </cell>
        </row>
        <row r="727">
          <cell r="K727">
            <v>7.41</v>
          </cell>
          <cell r="Q727">
            <v>398.58093273555784</v>
          </cell>
          <cell r="R727">
            <v>61.857946488414449</v>
          </cell>
          <cell r="U727">
            <v>0</v>
          </cell>
          <cell r="V727">
            <v>4.3420876378976754</v>
          </cell>
          <cell r="W727">
            <v>0</v>
          </cell>
        </row>
        <row r="728">
          <cell r="K728">
            <v>3.6</v>
          </cell>
          <cell r="Q728">
            <v>68.607948626063731</v>
          </cell>
          <cell r="R728">
            <v>10.647641335132866</v>
          </cell>
          <cell r="U728">
            <v>0</v>
          </cell>
          <cell r="V728">
            <v>0.74740586195676295</v>
          </cell>
          <cell r="W728">
            <v>0</v>
          </cell>
        </row>
        <row r="729">
          <cell r="K729">
            <v>3.6</v>
          </cell>
          <cell r="Q729">
            <v>0</v>
          </cell>
          <cell r="R729">
            <v>0</v>
          </cell>
          <cell r="U729">
            <v>0</v>
          </cell>
          <cell r="V729">
            <v>0</v>
          </cell>
          <cell r="W729">
            <v>0</v>
          </cell>
        </row>
        <row r="730">
          <cell r="K730">
            <v>7.2</v>
          </cell>
          <cell r="Q730">
            <v>16.862002787702473</v>
          </cell>
          <cell r="R730">
            <v>2.616906079702551</v>
          </cell>
          <cell r="U730">
            <v>0</v>
          </cell>
          <cell r="V730">
            <v>0.18369241436658254</v>
          </cell>
          <cell r="W730">
            <v>0</v>
          </cell>
        </row>
        <row r="731">
          <cell r="K731">
            <v>4.32</v>
          </cell>
          <cell r="Q731">
            <v>10.117201672621484</v>
          </cell>
          <cell r="R731">
            <v>1.5701436478215307</v>
          </cell>
          <cell r="U731">
            <v>0</v>
          </cell>
          <cell r="V731">
            <v>0.11021544861994953</v>
          </cell>
          <cell r="W731">
            <v>0</v>
          </cell>
        </row>
        <row r="732">
          <cell r="K732">
            <v>23.94</v>
          </cell>
          <cell r="Q732">
            <v>392.52533457915695</v>
          </cell>
          <cell r="R732">
            <v>60.918145218586744</v>
          </cell>
          <cell r="U732">
            <v>0</v>
          </cell>
          <cell r="V732">
            <v>4.2761187574634754</v>
          </cell>
          <cell r="W732">
            <v>0</v>
          </cell>
        </row>
        <row r="733">
          <cell r="K733">
            <v>24.57</v>
          </cell>
          <cell r="Q733">
            <v>402.85494864702946</v>
          </cell>
          <cell r="R733">
            <v>62.521254303286391</v>
          </cell>
          <cell r="U733">
            <v>0</v>
          </cell>
          <cell r="V733">
            <v>4.3886481984493555</v>
          </cell>
          <cell r="W733">
            <v>0</v>
          </cell>
        </row>
        <row r="734">
          <cell r="K734">
            <v>23.79</v>
          </cell>
          <cell r="Q734">
            <v>390.06590265823485</v>
          </cell>
          <cell r="R734">
            <v>60.536452579372536</v>
          </cell>
          <cell r="U734">
            <v>0</v>
          </cell>
          <cell r="V734">
            <v>4.2493260334192167</v>
          </cell>
          <cell r="W734">
            <v>0</v>
          </cell>
        </row>
        <row r="735">
          <cell r="K735">
            <v>15.91</v>
          </cell>
          <cell r="Q735">
            <v>102.10073183225978</v>
          </cell>
          <cell r="R735">
            <v>15.84556883532137</v>
          </cell>
          <cell r="U735">
            <v>0</v>
          </cell>
          <cell r="V735">
            <v>1.1122717849709396</v>
          </cell>
          <cell r="W735">
            <v>0</v>
          </cell>
        </row>
        <row r="736">
          <cell r="K736">
            <v>14.4</v>
          </cell>
          <cell r="Q736">
            <v>92.410467528883771</v>
          </cell>
          <cell r="R736">
            <v>14.341683923860952</v>
          </cell>
          <cell r="U736">
            <v>0</v>
          </cell>
          <cell r="V736">
            <v>1.0067073352345397</v>
          </cell>
          <cell r="W736">
            <v>0</v>
          </cell>
        </row>
        <row r="737">
          <cell r="K737">
            <v>35.15</v>
          </cell>
          <cell r="Q737">
            <v>225.57138428057394</v>
          </cell>
          <cell r="R737">
            <v>35.007652078035591</v>
          </cell>
          <cell r="U737">
            <v>0</v>
          </cell>
          <cell r="V737">
            <v>2.4573446412148665</v>
          </cell>
          <cell r="W737">
            <v>0</v>
          </cell>
        </row>
        <row r="738">
          <cell r="K738">
            <v>20.8</v>
          </cell>
          <cell r="Q738">
            <v>133.4817864306099</v>
          </cell>
          <cell r="R738">
            <v>20.71576566779915</v>
          </cell>
          <cell r="U738">
            <v>0</v>
          </cell>
          <cell r="V738">
            <v>1.454132817561002</v>
          </cell>
          <cell r="W738">
            <v>0</v>
          </cell>
        </row>
        <row r="739">
          <cell r="K739">
            <v>6.88</v>
          </cell>
          <cell r="Q739">
            <v>44.15166781935558</v>
          </cell>
          <cell r="R739">
            <v>6.8521378747335664</v>
          </cell>
          <cell r="U739">
            <v>0</v>
          </cell>
          <cell r="V739">
            <v>0.48098239350094685</v>
          </cell>
          <cell r="W739">
            <v>0</v>
          </cell>
        </row>
        <row r="740">
          <cell r="K740">
            <v>22</v>
          </cell>
          <cell r="Q740">
            <v>218.1158126990874</v>
          </cell>
          <cell r="R740">
            <v>33.850581305073867</v>
          </cell>
          <cell r="U740">
            <v>0</v>
          </cell>
          <cell r="V740">
            <v>2.3761246365968538</v>
          </cell>
          <cell r="W740">
            <v>0</v>
          </cell>
        </row>
        <row r="741">
          <cell r="K741">
            <v>14.82</v>
          </cell>
          <cell r="Q741">
            <v>146.93074291820341</v>
          </cell>
          <cell r="R741">
            <v>22.802982497327029</v>
          </cell>
          <cell r="U741">
            <v>0</v>
          </cell>
          <cell r="V741">
            <v>1.6006439597438804</v>
          </cell>
          <cell r="W741">
            <v>0</v>
          </cell>
        </row>
        <row r="742">
          <cell r="K742">
            <v>13.3</v>
          </cell>
          <cell r="Q742">
            <v>131.86092313172102</v>
          </cell>
          <cell r="R742">
            <v>20.464215061703747</v>
          </cell>
          <cell r="U742">
            <v>0</v>
          </cell>
          <cell r="V742">
            <v>1.4364753484880979</v>
          </cell>
          <cell r="W742">
            <v>0</v>
          </cell>
        </row>
        <row r="743">
          <cell r="K743">
            <v>13.68</v>
          </cell>
          <cell r="Q743">
            <v>135.62837807834163</v>
          </cell>
          <cell r="R743">
            <v>21.048906920609568</v>
          </cell>
          <cell r="U743">
            <v>0</v>
          </cell>
          <cell r="V743">
            <v>1.4775175013020436</v>
          </cell>
          <cell r="W743">
            <v>0</v>
          </cell>
        </row>
        <row r="744">
          <cell r="K744">
            <v>15.58</v>
          </cell>
          <cell r="Q744">
            <v>154.46565281144464</v>
          </cell>
          <cell r="R744">
            <v>23.972366215138674</v>
          </cell>
          <cell r="U744">
            <v>0</v>
          </cell>
          <cell r="V744">
            <v>1.6827282653717719</v>
          </cell>
          <cell r="W744">
            <v>0</v>
          </cell>
        </row>
        <row r="745">
          <cell r="K745">
            <v>18.87</v>
          </cell>
          <cell r="Q745">
            <v>187.0838811650809</v>
          </cell>
          <cell r="R745">
            <v>29.03456678303381</v>
          </cell>
          <cell r="U745">
            <v>0</v>
          </cell>
          <cell r="V745">
            <v>2.0380669042083013</v>
          </cell>
          <cell r="W745">
            <v>0</v>
          </cell>
        </row>
        <row r="746">
          <cell r="K746">
            <v>36</v>
          </cell>
          <cell r="Q746">
            <v>590.26366102128861</v>
          </cell>
          <cell r="R746">
            <v>91.606233411408638</v>
          </cell>
          <cell r="U746">
            <v>0</v>
          </cell>
          <cell r="V746">
            <v>6.4302537706217668</v>
          </cell>
          <cell r="W746">
            <v>0</v>
          </cell>
        </row>
        <row r="747">
          <cell r="K747">
            <v>13.44</v>
          </cell>
          <cell r="Q747">
            <v>86.249769693624856</v>
          </cell>
          <cell r="R747">
            <v>13.385571662270221</v>
          </cell>
          <cell r="U747">
            <v>0</v>
          </cell>
          <cell r="V747">
            <v>0.93959351288557047</v>
          </cell>
          <cell r="W747">
            <v>0</v>
          </cell>
        </row>
        <row r="748">
          <cell r="K748">
            <v>11.7</v>
          </cell>
          <cell r="Q748">
            <v>629.33831484561745</v>
          </cell>
          <cell r="R748">
            <v>97.670441823812268</v>
          </cell>
          <cell r="U748">
            <v>0</v>
          </cell>
          <cell r="V748">
            <v>6.8559278493121178</v>
          </cell>
          <cell r="W748">
            <v>0</v>
          </cell>
        </row>
        <row r="749">
          <cell r="K749">
            <v>6.24</v>
          </cell>
          <cell r="Q749">
            <v>335.64710125099606</v>
          </cell>
          <cell r="R749">
            <v>52.090902306033215</v>
          </cell>
          <cell r="U749">
            <v>0</v>
          </cell>
          <cell r="V749">
            <v>3.6564948529664636</v>
          </cell>
          <cell r="W749">
            <v>0</v>
          </cell>
        </row>
        <row r="750">
          <cell r="K750">
            <v>5</v>
          </cell>
          <cell r="Q750">
            <v>95.288817536199616</v>
          </cell>
          <cell r="R750">
            <v>14.78839074324009</v>
          </cell>
          <cell r="U750">
            <v>0</v>
          </cell>
          <cell r="V750">
            <v>1.0380636971621706</v>
          </cell>
          <cell r="W750">
            <v>0</v>
          </cell>
        </row>
        <row r="751">
          <cell r="K751">
            <v>3.5</v>
          </cell>
          <cell r="Q751">
            <v>0</v>
          </cell>
          <cell r="R751">
            <v>0</v>
          </cell>
          <cell r="U751">
            <v>0</v>
          </cell>
          <cell r="V751">
            <v>0</v>
          </cell>
          <cell r="W751">
            <v>0</v>
          </cell>
        </row>
        <row r="752">
          <cell r="K752">
            <v>5.2</v>
          </cell>
          <cell r="Q752">
            <v>12.178113124451786</v>
          </cell>
          <cell r="R752">
            <v>1.8899877242296201</v>
          </cell>
          <cell r="U752">
            <v>0</v>
          </cell>
          <cell r="V752">
            <v>0.13266674370919851</v>
          </cell>
          <cell r="W752">
            <v>0</v>
          </cell>
        </row>
        <row r="753">
          <cell r="K753">
            <v>9.06</v>
          </cell>
          <cell r="Q753">
            <v>300.81833299990598</v>
          </cell>
          <cell r="R753">
            <v>46.685636008052278</v>
          </cell>
          <cell r="U753">
            <v>0</v>
          </cell>
          <cell r="V753">
            <v>3.2770748866666808</v>
          </cell>
          <cell r="W753">
            <v>0</v>
          </cell>
        </row>
        <row r="754">
          <cell r="K754">
            <v>40.29</v>
          </cell>
          <cell r="Q754">
            <v>651.27614330382164</v>
          </cell>
          <cell r="R754">
            <v>101.07509294328752</v>
          </cell>
          <cell r="U754">
            <v>0</v>
          </cell>
          <cell r="V754">
            <v>7.0949156330400625</v>
          </cell>
          <cell r="W754">
            <v>0</v>
          </cell>
        </row>
        <row r="755">
          <cell r="K755">
            <v>28.12</v>
          </cell>
          <cell r="Q755">
            <v>227.75123757684881</v>
          </cell>
          <cell r="R755">
            <v>35.345955387298574</v>
          </cell>
          <cell r="U755">
            <v>0</v>
          </cell>
          <cell r="V755">
            <v>2.4810916729286623</v>
          </cell>
          <cell r="W755">
            <v>0</v>
          </cell>
        </row>
        <row r="756">
          <cell r="K756">
            <v>23.68</v>
          </cell>
          <cell r="Q756">
            <v>234.77192930519954</v>
          </cell>
          <cell r="R756">
            <v>36.435534786552225</v>
          </cell>
          <cell r="U756">
            <v>0</v>
          </cell>
          <cell r="V756">
            <v>2.557574154300613</v>
          </cell>
          <cell r="W756">
            <v>0</v>
          </cell>
        </row>
        <row r="757">
          <cell r="K757">
            <v>21</v>
          </cell>
          <cell r="Q757">
            <v>134.76526514628884</v>
          </cell>
          <cell r="R757">
            <v>20.914955722297218</v>
          </cell>
          <cell r="U757">
            <v>0</v>
          </cell>
          <cell r="V757">
            <v>1.4681148638837038</v>
          </cell>
          <cell r="W757">
            <v>0</v>
          </cell>
        </row>
        <row r="758">
          <cell r="K758">
            <v>14</v>
          </cell>
          <cell r="Q758">
            <v>89.843510097525893</v>
          </cell>
          <cell r="R758">
            <v>13.943303814864816</v>
          </cell>
          <cell r="U758">
            <v>0</v>
          </cell>
          <cell r="V758">
            <v>0.97874324258913603</v>
          </cell>
          <cell r="W758">
            <v>0</v>
          </cell>
        </row>
        <row r="759">
          <cell r="Q759">
            <v>3813.2135087253046</v>
          </cell>
          <cell r="R759">
            <v>591.79337945933332</v>
          </cell>
          <cell r="U759">
            <v>0</v>
          </cell>
          <cell r="V759">
            <v>41.540640499944999</v>
          </cell>
          <cell r="W759">
            <v>0</v>
          </cell>
        </row>
        <row r="760">
          <cell r="Q760">
            <v>5243.1685744972938</v>
          </cell>
          <cell r="R760">
            <v>813.71589675658333</v>
          </cell>
          <cell r="U760">
            <v>0</v>
          </cell>
          <cell r="V760">
            <v>57.11838068742437</v>
          </cell>
          <cell r="W760">
            <v>0</v>
          </cell>
        </row>
        <row r="761">
          <cell r="Q761">
            <v>3813.2135087253046</v>
          </cell>
          <cell r="R761">
            <v>591.79337945933332</v>
          </cell>
          <cell r="U761">
            <v>0</v>
          </cell>
          <cell r="V761">
            <v>41.540640499944999</v>
          </cell>
          <cell r="W761">
            <v>0</v>
          </cell>
        </row>
        <row r="762">
          <cell r="K762">
            <v>12</v>
          </cell>
          <cell r="Q762">
            <v>175.54133184917686</v>
          </cell>
          <cell r="R762">
            <v>27.243215668913194</v>
          </cell>
          <cell r="U762">
            <v>0</v>
          </cell>
          <cell r="V762">
            <v>1.9123239080483145</v>
          </cell>
          <cell r="W762">
            <v>0</v>
          </cell>
        </row>
        <row r="763">
          <cell r="K763">
            <v>16.399999999999999</v>
          </cell>
          <cell r="Q763">
            <v>149.07351160823234</v>
          </cell>
          <cell r="R763">
            <v>23.135530444503409</v>
          </cell>
          <cell r="U763">
            <v>0</v>
          </cell>
          <cell r="V763">
            <v>1.6239869966924683</v>
          </cell>
          <cell r="W763">
            <v>0</v>
          </cell>
        </row>
        <row r="764">
          <cell r="K764">
            <v>8</v>
          </cell>
          <cell r="Q764">
            <v>138.90992067499323</v>
          </cell>
          <cell r="R764">
            <v>21.558187394589996</v>
          </cell>
          <cell r="U764">
            <v>0</v>
          </cell>
          <cell r="V764">
            <v>1.5132661896408532</v>
          </cell>
          <cell r="W764">
            <v>0</v>
          </cell>
        </row>
        <row r="765">
          <cell r="K765">
            <v>19.100000000000001</v>
          </cell>
          <cell r="Q765">
            <v>279.40328652660651</v>
          </cell>
          <cell r="R765">
            <v>43.362118273020165</v>
          </cell>
          <cell r="U765">
            <v>0</v>
          </cell>
          <cell r="V765">
            <v>3.0437822203102338</v>
          </cell>
          <cell r="W765">
            <v>0</v>
          </cell>
        </row>
        <row r="766">
          <cell r="K766">
            <v>14.6</v>
          </cell>
          <cell r="Q766">
            <v>213.57528708316514</v>
          </cell>
          <cell r="R766">
            <v>33.14591239717771</v>
          </cell>
          <cell r="U766">
            <v>0</v>
          </cell>
          <cell r="V766">
            <v>2.3266607547921159</v>
          </cell>
          <cell r="W766">
            <v>0</v>
          </cell>
        </row>
        <row r="767">
          <cell r="K767">
            <v>14.5</v>
          </cell>
          <cell r="Q767">
            <v>212.11244265108868</v>
          </cell>
          <cell r="R767">
            <v>32.918885599936765</v>
          </cell>
          <cell r="U767">
            <v>0</v>
          </cell>
          <cell r="V767">
            <v>2.3107247222250464</v>
          </cell>
          <cell r="W767">
            <v>0</v>
          </cell>
        </row>
        <row r="768">
          <cell r="K768">
            <v>13.5</v>
          </cell>
          <cell r="Q768">
            <v>197.48399833032394</v>
          </cell>
          <cell r="R768">
            <v>30.648617627527337</v>
          </cell>
          <cell r="U768">
            <v>0</v>
          </cell>
          <cell r="V768">
            <v>2.1513643965543539</v>
          </cell>
          <cell r="W768">
            <v>0</v>
          </cell>
        </row>
        <row r="769">
          <cell r="K769">
            <v>20.7</v>
          </cell>
          <cell r="Q769">
            <v>0</v>
          </cell>
          <cell r="R769">
            <v>0</v>
          </cell>
          <cell r="U769">
            <v>0</v>
          </cell>
          <cell r="V769">
            <v>0</v>
          </cell>
          <cell r="W769">
            <v>0</v>
          </cell>
        </row>
        <row r="770">
          <cell r="K770">
            <v>20.7</v>
          </cell>
          <cell r="Q770">
            <v>0</v>
          </cell>
          <cell r="R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K771">
            <v>46</v>
          </cell>
          <cell r="Q771">
            <v>0</v>
          </cell>
          <cell r="R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K772">
            <v>65.5</v>
          </cell>
          <cell r="Q772">
            <v>0</v>
          </cell>
          <cell r="R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K773">
            <v>151</v>
          </cell>
          <cell r="Q773">
            <v>0</v>
          </cell>
          <cell r="R773">
            <v>0</v>
          </cell>
          <cell r="U773">
            <v>0</v>
          </cell>
          <cell r="V773">
            <v>0</v>
          </cell>
          <cell r="W773">
            <v>0</v>
          </cell>
        </row>
        <row r="774">
          <cell r="K774">
            <v>19.8</v>
          </cell>
          <cell r="Q774">
            <v>0</v>
          </cell>
          <cell r="R774">
            <v>0</v>
          </cell>
          <cell r="U774">
            <v>0</v>
          </cell>
          <cell r="V774">
            <v>0</v>
          </cell>
          <cell r="W774">
            <v>0</v>
          </cell>
        </row>
        <row r="775">
          <cell r="K775">
            <v>22.2</v>
          </cell>
          <cell r="Q775">
            <v>0</v>
          </cell>
          <cell r="R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K776">
            <v>7.1</v>
          </cell>
          <cell r="Q776">
            <v>0</v>
          </cell>
          <cell r="R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K777">
            <v>14.3</v>
          </cell>
          <cell r="Q777">
            <v>0</v>
          </cell>
          <cell r="R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K778">
            <v>4</v>
          </cell>
          <cell r="Q778">
            <v>0</v>
          </cell>
          <cell r="R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K779">
            <v>44</v>
          </cell>
          <cell r="Q779">
            <v>0</v>
          </cell>
          <cell r="R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K780">
            <v>6</v>
          </cell>
          <cell r="Q780">
            <v>0</v>
          </cell>
          <cell r="R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K781">
            <v>9</v>
          </cell>
          <cell r="Q781">
            <v>191.38938449303893</v>
          </cell>
          <cell r="R781">
            <v>29.70276130161912</v>
          </cell>
          <cell r="U781">
            <v>0</v>
          </cell>
          <cell r="V781">
            <v>2.0849704844848249</v>
          </cell>
          <cell r="W781">
            <v>0</v>
          </cell>
        </row>
        <row r="782">
          <cell r="K782">
            <v>12.8</v>
          </cell>
          <cell r="Q782">
            <v>424.99720335527553</v>
          </cell>
          <cell r="R782">
            <v>65.957631446254865</v>
          </cell>
          <cell r="U782">
            <v>0</v>
          </cell>
          <cell r="V782">
            <v>4.6298629745401225</v>
          </cell>
          <cell r="W782">
            <v>0</v>
          </cell>
        </row>
        <row r="783">
          <cell r="K783">
            <v>28.9</v>
          </cell>
          <cell r="Q783">
            <v>422.76204087010086</v>
          </cell>
          <cell r="R783">
            <v>65.610744402632591</v>
          </cell>
          <cell r="U783">
            <v>0</v>
          </cell>
          <cell r="V783">
            <v>4.605513411883023</v>
          </cell>
          <cell r="W783">
            <v>0</v>
          </cell>
        </row>
        <row r="784">
          <cell r="K784">
            <v>15.6</v>
          </cell>
          <cell r="Q784">
            <v>228.20373140392988</v>
          </cell>
          <cell r="R784">
            <v>35.416180369587146</v>
          </cell>
          <cell r="U784">
            <v>0</v>
          </cell>
          <cell r="V784">
            <v>2.4860210804628085</v>
          </cell>
          <cell r="W784">
            <v>0</v>
          </cell>
        </row>
        <row r="785">
          <cell r="K785">
            <v>9.6999999999999993</v>
          </cell>
          <cell r="Q785">
            <v>141.89590991141793</v>
          </cell>
          <cell r="R785">
            <v>22.021599332371494</v>
          </cell>
          <cell r="U785">
            <v>0</v>
          </cell>
          <cell r="V785">
            <v>1.5457951590057206</v>
          </cell>
          <cell r="W785">
            <v>0</v>
          </cell>
        </row>
        <row r="786">
          <cell r="K786">
            <v>11.2</v>
          </cell>
          <cell r="Q786">
            <v>163.83857639256505</v>
          </cell>
          <cell r="R786">
            <v>25.42700129098564</v>
          </cell>
          <cell r="U786">
            <v>0</v>
          </cell>
          <cell r="V786">
            <v>1.7848356475117599</v>
          </cell>
          <cell r="W786">
            <v>0</v>
          </cell>
        </row>
        <row r="787">
          <cell r="K787">
            <v>6.5</v>
          </cell>
          <cell r="Q787">
            <v>23.943176209165141</v>
          </cell>
          <cell r="R787">
            <v>3.7158719624248771</v>
          </cell>
          <cell r="U787">
            <v>0</v>
          </cell>
          <cell r="V787">
            <v>0.26083377525436507</v>
          </cell>
          <cell r="W787">
            <v>0</v>
          </cell>
        </row>
        <row r="788">
          <cell r="K788">
            <v>17.5</v>
          </cell>
          <cell r="Q788">
            <v>255.99777561338291</v>
          </cell>
          <cell r="R788">
            <v>39.72968951716507</v>
          </cell>
          <cell r="U788">
            <v>0</v>
          </cell>
          <cell r="V788">
            <v>2.7888056992371255</v>
          </cell>
          <cell r="W788">
            <v>0</v>
          </cell>
        </row>
        <row r="789">
          <cell r="K789">
            <v>24</v>
          </cell>
          <cell r="Q789">
            <v>351.08266369835371</v>
          </cell>
          <cell r="R789">
            <v>54.486431337826389</v>
          </cell>
          <cell r="U789">
            <v>0</v>
          </cell>
          <cell r="V789">
            <v>3.8246478160966291</v>
          </cell>
          <cell r="W789">
            <v>0</v>
          </cell>
        </row>
        <row r="790">
          <cell r="K790">
            <v>18.8</v>
          </cell>
          <cell r="Q790">
            <v>0</v>
          </cell>
          <cell r="R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K791">
            <v>11.4</v>
          </cell>
          <cell r="Q791">
            <v>0</v>
          </cell>
          <cell r="R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K792">
            <v>36</v>
          </cell>
          <cell r="Q792">
            <v>327.2345376766076</v>
          </cell>
          <cell r="R792">
            <v>50.785310731836766</v>
          </cell>
          <cell r="U792">
            <v>0</v>
          </cell>
          <cell r="V792">
            <v>3.5648495049346867</v>
          </cell>
          <cell r="W792">
            <v>0</v>
          </cell>
        </row>
        <row r="793">
          <cell r="K793">
            <v>3.5</v>
          </cell>
          <cell r="Q793">
            <v>188.26359845809074</v>
          </cell>
          <cell r="R793">
            <v>29.217653537037862</v>
          </cell>
          <cell r="U793">
            <v>0</v>
          </cell>
          <cell r="V793">
            <v>2.0509185874010614</v>
          </cell>
          <cell r="W793">
            <v>0</v>
          </cell>
        </row>
        <row r="794">
          <cell r="K794">
            <v>1.5</v>
          </cell>
          <cell r="Q794">
            <v>80.684399339181738</v>
          </cell>
          <cell r="R794">
            <v>12.521851515873369</v>
          </cell>
          <cell r="U794">
            <v>0</v>
          </cell>
          <cell r="V794">
            <v>0.87896510888616908</v>
          </cell>
          <cell r="W794">
            <v>0</v>
          </cell>
        </row>
        <row r="795">
          <cell r="K795">
            <v>4.5</v>
          </cell>
          <cell r="Q795">
            <v>136.80820100414704</v>
          </cell>
          <cell r="R795">
            <v>21.232010068342664</v>
          </cell>
          <cell r="U795">
            <v>0</v>
          </cell>
          <cell r="V795">
            <v>1.4903703352444206</v>
          </cell>
          <cell r="W795">
            <v>0</v>
          </cell>
        </row>
        <row r="796">
          <cell r="K796">
            <v>46.2</v>
          </cell>
          <cell r="Q796">
            <v>419.95099001831306</v>
          </cell>
          <cell r="R796">
            <v>65.17448210585718</v>
          </cell>
          <cell r="U796">
            <v>0</v>
          </cell>
          <cell r="V796">
            <v>4.5748901979995145</v>
          </cell>
          <cell r="W796">
            <v>0</v>
          </cell>
        </row>
        <row r="797">
          <cell r="K797">
            <v>15.75</v>
          </cell>
          <cell r="Q797">
            <v>143.1651102335158</v>
          </cell>
          <cell r="R797">
            <v>22.218573445178585</v>
          </cell>
          <cell r="U797">
            <v>0</v>
          </cell>
          <cell r="V797">
            <v>1.5596216584089253</v>
          </cell>
          <cell r="W797">
            <v>0</v>
          </cell>
        </row>
        <row r="798">
          <cell r="K798">
            <v>4.5</v>
          </cell>
          <cell r="Q798">
            <v>85.759935782579674</v>
          </cell>
          <cell r="R798">
            <v>13.309551668916082</v>
          </cell>
          <cell r="U798">
            <v>0</v>
          </cell>
          <cell r="V798">
            <v>0.93425732744595369</v>
          </cell>
          <cell r="W798">
            <v>0</v>
          </cell>
        </row>
        <row r="799">
          <cell r="K799">
            <v>4.5</v>
          </cell>
          <cell r="Q799">
            <v>242.05319801754521</v>
          </cell>
          <cell r="R799">
            <v>37.56555454762011</v>
          </cell>
          <cell r="U799">
            <v>0</v>
          </cell>
          <cell r="V799">
            <v>2.6368953266585073</v>
          </cell>
          <cell r="W799">
            <v>0</v>
          </cell>
        </row>
        <row r="800">
          <cell r="K800">
            <v>7.5</v>
          </cell>
          <cell r="Q800">
            <v>403.42199669590866</v>
          </cell>
          <cell r="R800">
            <v>62.609257579366833</v>
          </cell>
          <cell r="U800">
            <v>0</v>
          </cell>
          <cell r="V800">
            <v>4.3948255444308453</v>
          </cell>
          <cell r="W800">
            <v>0</v>
          </cell>
        </row>
        <row r="801">
          <cell r="Q801">
            <v>0</v>
          </cell>
          <cell r="R801">
            <v>0</v>
          </cell>
          <cell r="U801">
            <v>0</v>
          </cell>
          <cell r="V801">
            <v>0</v>
          </cell>
          <cell r="W801">
            <v>0</v>
          </cell>
        </row>
        <row r="802">
          <cell r="K802">
            <v>29</v>
          </cell>
          <cell r="Q802">
            <v>424.22488530217737</v>
          </cell>
          <cell r="R802">
            <v>65.837771199873529</v>
          </cell>
          <cell r="U802">
            <v>0</v>
          </cell>
          <cell r="V802">
            <v>4.6214494444500929</v>
          </cell>
          <cell r="W802">
            <v>0</v>
          </cell>
        </row>
        <row r="803">
          <cell r="K803">
            <v>17.8</v>
          </cell>
          <cell r="Q803">
            <v>260.3863089096123</v>
          </cell>
          <cell r="R803">
            <v>40.4107699088879</v>
          </cell>
          <cell r="U803">
            <v>0</v>
          </cell>
          <cell r="V803">
            <v>2.8366137969383329</v>
          </cell>
          <cell r="W803">
            <v>0</v>
          </cell>
        </row>
        <row r="804">
          <cell r="K804">
            <v>17.8</v>
          </cell>
          <cell r="Q804">
            <v>260.3863089096123</v>
          </cell>
          <cell r="R804">
            <v>40.4107699088879</v>
          </cell>
          <cell r="U804">
            <v>0</v>
          </cell>
          <cell r="V804">
            <v>2.8366137969383329</v>
          </cell>
          <cell r="W804">
            <v>0</v>
          </cell>
        </row>
        <row r="805">
          <cell r="K805">
            <v>17.8</v>
          </cell>
          <cell r="Q805">
            <v>260.3863089096123</v>
          </cell>
          <cell r="R805">
            <v>40.4107699088879</v>
          </cell>
          <cell r="U805">
            <v>0</v>
          </cell>
          <cell r="V805">
            <v>2.8366137969383329</v>
          </cell>
          <cell r="W805">
            <v>0</v>
          </cell>
        </row>
        <row r="806">
          <cell r="K806">
            <v>17.8</v>
          </cell>
          <cell r="Q806">
            <v>260.3863089096123</v>
          </cell>
          <cell r="R806">
            <v>40.4107699088879</v>
          </cell>
          <cell r="U806">
            <v>0</v>
          </cell>
          <cell r="V806">
            <v>2.8366137969383329</v>
          </cell>
          <cell r="W806">
            <v>0</v>
          </cell>
        </row>
        <row r="807">
          <cell r="K807">
            <v>18</v>
          </cell>
          <cell r="Q807">
            <v>263.31199777376526</v>
          </cell>
          <cell r="R807">
            <v>40.864823503369784</v>
          </cell>
          <cell r="U807">
            <v>0</v>
          </cell>
          <cell r="V807">
            <v>2.8684858620724714</v>
          </cell>
          <cell r="W807">
            <v>0</v>
          </cell>
        </row>
        <row r="808">
          <cell r="K808">
            <v>12.16</v>
          </cell>
          <cell r="Q808">
            <v>177.8818829404992</v>
          </cell>
          <cell r="R808">
            <v>27.6064585444987</v>
          </cell>
          <cell r="U808">
            <v>0</v>
          </cell>
          <cell r="V808">
            <v>1.9378215601556255</v>
          </cell>
          <cell r="W808">
            <v>0</v>
          </cell>
        </row>
        <row r="809">
          <cell r="K809">
            <v>18.3</v>
          </cell>
          <cell r="Q809">
            <v>166.34422331894217</v>
          </cell>
          <cell r="R809">
            <v>25.815866288683686</v>
          </cell>
          <cell r="U809">
            <v>0</v>
          </cell>
          <cell r="V809">
            <v>1.8121318316751323</v>
          </cell>
          <cell r="W809">
            <v>0</v>
          </cell>
        </row>
        <row r="810">
          <cell r="K810">
            <v>3.3</v>
          </cell>
          <cell r="Q810">
            <v>29.996499287022356</v>
          </cell>
          <cell r="R810">
            <v>4.6553201504183699</v>
          </cell>
          <cell r="U810">
            <v>0</v>
          </cell>
          <cell r="V810">
            <v>0.32677787128567959</v>
          </cell>
          <cell r="W810">
            <v>0</v>
          </cell>
        </row>
        <row r="811">
          <cell r="K811">
            <v>7.7</v>
          </cell>
          <cell r="Q811">
            <v>133.70079864968096</v>
          </cell>
          <cell r="R811">
            <v>20.74975536729287</v>
          </cell>
          <cell r="U811">
            <v>0</v>
          </cell>
          <cell r="V811">
            <v>1.4565187075293211</v>
          </cell>
          <cell r="W811">
            <v>0</v>
          </cell>
        </row>
        <row r="812">
          <cell r="K812">
            <v>0</v>
          </cell>
          <cell r="Q812">
            <v>0</v>
          </cell>
          <cell r="R812">
            <v>0</v>
          </cell>
          <cell r="U812">
            <v>0</v>
          </cell>
          <cell r="V812">
            <v>0</v>
          </cell>
          <cell r="W812">
            <v>0</v>
          </cell>
        </row>
        <row r="813">
          <cell r="K813">
            <v>0</v>
          </cell>
          <cell r="Q813">
            <v>0</v>
          </cell>
          <cell r="R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K814">
            <v>0</v>
          </cell>
          <cell r="Q814">
            <v>0</v>
          </cell>
          <cell r="R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K815">
            <v>27.4</v>
          </cell>
          <cell r="Q815">
            <v>475.7664783118517</v>
          </cell>
          <cell r="R815">
            <v>73.83679182647073</v>
          </cell>
          <cell r="U815">
            <v>0</v>
          </cell>
          <cell r="V815">
            <v>5.1829366995199218</v>
          </cell>
          <cell r="W815">
            <v>0</v>
          </cell>
        </row>
        <row r="816">
          <cell r="K816">
            <v>52.1</v>
          </cell>
          <cell r="Q816">
            <v>904.65085839589335</v>
          </cell>
          <cell r="R816">
            <v>140.39769540726735</v>
          </cell>
          <cell r="U816">
            <v>0</v>
          </cell>
          <cell r="V816">
            <v>9.8551460600360574</v>
          </cell>
          <cell r="W816">
            <v>0</v>
          </cell>
        </row>
        <row r="817">
          <cell r="K817">
            <v>22</v>
          </cell>
          <cell r="Q817">
            <v>321.82577505682417</v>
          </cell>
          <cell r="R817">
            <v>49.945895393007518</v>
          </cell>
          <cell r="U817">
            <v>0</v>
          </cell>
          <cell r="V817">
            <v>3.505927164755243</v>
          </cell>
          <cell r="W817">
            <v>0</v>
          </cell>
        </row>
        <row r="818">
          <cell r="K818">
            <v>32</v>
          </cell>
          <cell r="Q818">
            <v>468.1102182644716</v>
          </cell>
          <cell r="R818">
            <v>72.648575117101842</v>
          </cell>
          <cell r="U818">
            <v>0</v>
          </cell>
          <cell r="V818">
            <v>5.0995304214621715</v>
          </cell>
          <cell r="W818">
            <v>0</v>
          </cell>
        </row>
        <row r="819">
          <cell r="K819">
            <v>32</v>
          </cell>
          <cell r="Q819">
            <v>468.1102182644716</v>
          </cell>
          <cell r="R819">
            <v>72.648575117101842</v>
          </cell>
          <cell r="U819">
            <v>0</v>
          </cell>
          <cell r="V819">
            <v>5.0995304214621715</v>
          </cell>
          <cell r="W819">
            <v>0</v>
          </cell>
        </row>
        <row r="820">
          <cell r="K820">
            <v>17</v>
          </cell>
          <cell r="Q820">
            <v>248.68355345300051</v>
          </cell>
          <cell r="R820">
            <v>38.594555530960349</v>
          </cell>
          <cell r="U820">
            <v>0</v>
          </cell>
          <cell r="V820">
            <v>2.7091255364017788</v>
          </cell>
          <cell r="W820">
            <v>0</v>
          </cell>
        </row>
        <row r="821">
          <cell r="K821">
            <v>8</v>
          </cell>
          <cell r="Q821">
            <v>117.0275545661179</v>
          </cell>
          <cell r="R821">
            <v>18.162143779275461</v>
          </cell>
          <cell r="U821">
            <v>0</v>
          </cell>
          <cell r="V821">
            <v>1.2748826053655429</v>
          </cell>
          <cell r="W821">
            <v>0</v>
          </cell>
        </row>
        <row r="822">
          <cell r="K822">
            <v>21</v>
          </cell>
          <cell r="Q822">
            <v>307.19733073605948</v>
          </cell>
          <cell r="R822">
            <v>47.67562742059809</v>
          </cell>
          <cell r="U822">
            <v>0</v>
          </cell>
          <cell r="V822">
            <v>3.3465668390845504</v>
          </cell>
          <cell r="W822">
            <v>0</v>
          </cell>
        </row>
        <row r="823">
          <cell r="K823">
            <v>9</v>
          </cell>
          <cell r="Q823">
            <v>298.82615860917809</v>
          </cell>
          <cell r="R823">
            <v>46.376459610647949</v>
          </cell>
          <cell r="U823">
            <v>0</v>
          </cell>
          <cell r="V823">
            <v>3.2553724039735239</v>
          </cell>
          <cell r="W823">
            <v>0</v>
          </cell>
        </row>
        <row r="824">
          <cell r="K824">
            <v>5</v>
          </cell>
          <cell r="Q824">
            <v>268.94799779727248</v>
          </cell>
          <cell r="R824">
            <v>41.739505052911227</v>
          </cell>
          <cell r="U824">
            <v>0</v>
          </cell>
          <cell r="V824">
            <v>2.9298836962872303</v>
          </cell>
          <cell r="W824">
            <v>0</v>
          </cell>
        </row>
        <row r="825">
          <cell r="K825">
            <v>4</v>
          </cell>
          <cell r="Q825">
            <v>9.3677793265013722</v>
          </cell>
          <cell r="R825">
            <v>1.4538367109458614</v>
          </cell>
          <cell r="U825">
            <v>0</v>
          </cell>
          <cell r="V825">
            <v>0.10205134131476806</v>
          </cell>
          <cell r="W825">
            <v>0</v>
          </cell>
        </row>
        <row r="826">
          <cell r="K826">
            <v>20</v>
          </cell>
          <cell r="Q826">
            <v>292.56888641529474</v>
          </cell>
          <cell r="R826">
            <v>45.405359448188655</v>
          </cell>
          <cell r="U826">
            <v>0</v>
          </cell>
          <cell r="V826">
            <v>3.1872065134138574</v>
          </cell>
          <cell r="W826">
            <v>0</v>
          </cell>
        </row>
        <row r="827">
          <cell r="K827">
            <v>56</v>
          </cell>
          <cell r="Q827">
            <v>509.03150305250068</v>
          </cell>
          <cell r="R827">
            <v>78.999372249523859</v>
          </cell>
          <cell r="U827">
            <v>0</v>
          </cell>
          <cell r="V827">
            <v>5.5453214521206231</v>
          </cell>
          <cell r="W827">
            <v>0</v>
          </cell>
        </row>
        <row r="828">
          <cell r="K828">
            <v>3</v>
          </cell>
          <cell r="Q828">
            <v>91.20546733609801</v>
          </cell>
          <cell r="R828">
            <v>14.154673378895108</v>
          </cell>
          <cell r="U828">
            <v>0</v>
          </cell>
          <cell r="V828">
            <v>0.99358022349628028</v>
          </cell>
          <cell r="W828">
            <v>0</v>
          </cell>
        </row>
        <row r="829">
          <cell r="K829">
            <v>26</v>
          </cell>
          <cell r="Q829">
            <v>236.33605498866103</v>
          </cell>
          <cell r="R829">
            <v>36.678279972993217</v>
          </cell>
          <cell r="U829">
            <v>0</v>
          </cell>
          <cell r="V829">
            <v>2.574613531341718</v>
          </cell>
          <cell r="W829">
            <v>0</v>
          </cell>
        </row>
        <row r="830">
          <cell r="K830">
            <v>12</v>
          </cell>
          <cell r="Q830">
            <v>311.98199592418143</v>
          </cell>
          <cell r="R830">
            <v>48.418185678818105</v>
          </cell>
          <cell r="U830">
            <v>0</v>
          </cell>
          <cell r="V830">
            <v>3.3986903448986316</v>
          </cell>
          <cell r="W830">
            <v>0</v>
          </cell>
        </row>
        <row r="831">
          <cell r="K831">
            <v>11</v>
          </cell>
          <cell r="Q831">
            <v>233.92035882482537</v>
          </cell>
          <cell r="R831">
            <v>36.303374924201144</v>
          </cell>
          <cell r="U831">
            <v>0</v>
          </cell>
          <cell r="V831">
            <v>2.5482972588147863</v>
          </cell>
          <cell r="W831">
            <v>0</v>
          </cell>
        </row>
        <row r="832">
          <cell r="K832">
            <v>4</v>
          </cell>
          <cell r="Q832">
            <v>215.15839823781798</v>
          </cell>
          <cell r="R832">
            <v>33.391604042328986</v>
          </cell>
          <cell r="U832">
            <v>0</v>
          </cell>
          <cell r="V832">
            <v>2.3439069570297844</v>
          </cell>
          <cell r="W832">
            <v>0</v>
          </cell>
        </row>
        <row r="833">
          <cell r="K833">
            <v>3</v>
          </cell>
          <cell r="Q833">
            <v>161.36879867836348</v>
          </cell>
          <cell r="R833">
            <v>25.043703031746738</v>
          </cell>
          <cell r="U833">
            <v>0</v>
          </cell>
          <cell r="V833">
            <v>1.7579302177723382</v>
          </cell>
          <cell r="W833">
            <v>0</v>
          </cell>
        </row>
        <row r="834">
          <cell r="K834">
            <v>11</v>
          </cell>
          <cell r="Q834">
            <v>233.92035882482537</v>
          </cell>
          <cell r="R834">
            <v>36.303374924201144</v>
          </cell>
          <cell r="U834">
            <v>0</v>
          </cell>
          <cell r="V834">
            <v>2.5482972588147863</v>
          </cell>
          <cell r="W834">
            <v>0</v>
          </cell>
        </row>
        <row r="835">
          <cell r="K835">
            <v>4</v>
          </cell>
          <cell r="Q835">
            <v>36.359393075178616</v>
          </cell>
          <cell r="R835">
            <v>5.6428123035374185</v>
          </cell>
          <cell r="U835">
            <v>0</v>
          </cell>
          <cell r="V835">
            <v>0.39609438943718739</v>
          </cell>
          <cell r="W835">
            <v>0</v>
          </cell>
        </row>
        <row r="836">
          <cell r="K836">
            <v>21</v>
          </cell>
          <cell r="Q836">
            <v>231.144086366648</v>
          </cell>
          <cell r="R836">
            <v>35.872510075808776</v>
          </cell>
          <cell r="U836">
            <v>0</v>
          </cell>
          <cell r="V836">
            <v>2.5180529161229455</v>
          </cell>
          <cell r="W836">
            <v>0</v>
          </cell>
        </row>
        <row r="837">
          <cell r="K837">
            <v>6</v>
          </cell>
          <cell r="Q837">
            <v>66.041167533328007</v>
          </cell>
          <cell r="R837">
            <v>10.249288593088224</v>
          </cell>
          <cell r="U837">
            <v>0</v>
          </cell>
          <cell r="V837">
            <v>0.71944369032084166</v>
          </cell>
          <cell r="W837">
            <v>0</v>
          </cell>
        </row>
        <row r="838">
          <cell r="K838">
            <v>21</v>
          </cell>
          <cell r="Q838">
            <v>190.88681364468775</v>
          </cell>
          <cell r="R838">
            <v>29.624764593571445</v>
          </cell>
          <cell r="U838">
            <v>0</v>
          </cell>
          <cell r="V838">
            <v>2.0794955445452339</v>
          </cell>
          <cell r="W838">
            <v>0</v>
          </cell>
        </row>
        <row r="839">
          <cell r="K839">
            <v>19</v>
          </cell>
          <cell r="Q839">
            <v>172.70711710709844</v>
          </cell>
          <cell r="R839">
            <v>26.803358441802736</v>
          </cell>
          <cell r="U839">
            <v>0</v>
          </cell>
          <cell r="V839">
            <v>1.8814483498266401</v>
          </cell>
          <cell r="W839">
            <v>0</v>
          </cell>
        </row>
        <row r="840">
          <cell r="K840">
            <v>10</v>
          </cell>
          <cell r="Q840">
            <v>110.06861255554666</v>
          </cell>
          <cell r="R840">
            <v>17.082147655147036</v>
          </cell>
          <cell r="U840">
            <v>0</v>
          </cell>
          <cell r="V840">
            <v>1.1990728172014027</v>
          </cell>
          <cell r="W840">
            <v>0</v>
          </cell>
        </row>
        <row r="841">
          <cell r="K841">
            <v>4</v>
          </cell>
          <cell r="Q841">
            <v>215.15839823781798</v>
          </cell>
          <cell r="R841">
            <v>33.391604042328986</v>
          </cell>
          <cell r="U841">
            <v>0</v>
          </cell>
          <cell r="V841">
            <v>2.3439069570297844</v>
          </cell>
          <cell r="W841">
            <v>0</v>
          </cell>
        </row>
        <row r="842">
          <cell r="K842">
            <v>32</v>
          </cell>
          <cell r="Q842">
            <v>352.21956017774937</v>
          </cell>
          <cell r="R842">
            <v>54.662872496470527</v>
          </cell>
          <cell r="U842">
            <v>0</v>
          </cell>
          <cell r="V842">
            <v>3.8370330150444887</v>
          </cell>
          <cell r="W842">
            <v>0</v>
          </cell>
        </row>
        <row r="843">
          <cell r="K843">
            <v>6</v>
          </cell>
          <cell r="Q843">
            <v>199.2174390727854</v>
          </cell>
          <cell r="R843">
            <v>30.917639740431969</v>
          </cell>
          <cell r="U843">
            <v>0</v>
          </cell>
          <cell r="V843">
            <v>2.1702482693156826</v>
          </cell>
          <cell r="W843">
            <v>0</v>
          </cell>
        </row>
        <row r="844">
          <cell r="K844">
            <v>23</v>
          </cell>
          <cell r="Q844">
            <v>539.43494421026571</v>
          </cell>
          <cell r="R844">
            <v>83.717847925951773</v>
          </cell>
          <cell r="U844">
            <v>0</v>
          </cell>
          <cell r="V844">
            <v>5.8765324939901724</v>
          </cell>
          <cell r="W844">
            <v>0</v>
          </cell>
        </row>
        <row r="845">
          <cell r="K845">
            <v>18</v>
          </cell>
          <cell r="Q845">
            <v>198.12350259998399</v>
          </cell>
          <cell r="R845">
            <v>30.747865779264668</v>
          </cell>
          <cell r="U845">
            <v>0</v>
          </cell>
          <cell r="V845">
            <v>2.1583310709625247</v>
          </cell>
          <cell r="W845">
            <v>0</v>
          </cell>
        </row>
        <row r="846">
          <cell r="K846">
            <v>48</v>
          </cell>
          <cell r="Q846">
            <v>112.41335191801647</v>
          </cell>
          <cell r="R846">
            <v>17.446040531350338</v>
          </cell>
          <cell r="U846">
            <v>0</v>
          </cell>
          <cell r="V846">
            <v>1.2246160957772168</v>
          </cell>
          <cell r="W846">
            <v>0</v>
          </cell>
        </row>
        <row r="847">
          <cell r="K847">
            <v>37</v>
          </cell>
          <cell r="Q847">
            <v>336.32438594540224</v>
          </cell>
          <cell r="R847">
            <v>52.196013807721116</v>
          </cell>
          <cell r="U847">
            <v>0</v>
          </cell>
          <cell r="V847">
            <v>3.6638731022939837</v>
          </cell>
          <cell r="W847">
            <v>0</v>
          </cell>
        </row>
        <row r="848">
          <cell r="K848">
            <v>19</v>
          </cell>
          <cell r="Q848">
            <v>209.13036385553866</v>
          </cell>
          <cell r="R848">
            <v>32.456080544779375</v>
          </cell>
          <cell r="U848">
            <v>0</v>
          </cell>
          <cell r="V848">
            <v>2.2782383526826648</v>
          </cell>
          <cell r="W848">
            <v>0</v>
          </cell>
        </row>
        <row r="849">
          <cell r="K849">
            <v>19</v>
          </cell>
          <cell r="Q849">
            <v>209.13036385553866</v>
          </cell>
          <cell r="R849">
            <v>32.456080544779375</v>
          </cell>
          <cell r="U849">
            <v>0</v>
          </cell>
          <cell r="V849">
            <v>2.2782383526826648</v>
          </cell>
          <cell r="W849">
            <v>0</v>
          </cell>
        </row>
        <row r="850">
          <cell r="K850">
            <v>19</v>
          </cell>
          <cell r="Q850">
            <v>209.13036385553866</v>
          </cell>
          <cell r="R850">
            <v>32.456080544779375</v>
          </cell>
          <cell r="U850">
            <v>0</v>
          </cell>
          <cell r="V850">
            <v>2.2782383526826648</v>
          </cell>
          <cell r="W850">
            <v>0</v>
          </cell>
        </row>
        <row r="851">
          <cell r="K851">
            <v>19</v>
          </cell>
          <cell r="Q851">
            <v>209.13036385553866</v>
          </cell>
          <cell r="R851">
            <v>32.456080544779375</v>
          </cell>
          <cell r="U851">
            <v>0</v>
          </cell>
          <cell r="V851">
            <v>2.2782383526826648</v>
          </cell>
          <cell r="W851">
            <v>0</v>
          </cell>
        </row>
        <row r="852">
          <cell r="K852">
            <v>19</v>
          </cell>
          <cell r="Q852">
            <v>209.13036385553866</v>
          </cell>
          <cell r="R852">
            <v>32.456080544779375</v>
          </cell>
          <cell r="U852">
            <v>0</v>
          </cell>
          <cell r="V852">
            <v>2.2782383526826648</v>
          </cell>
          <cell r="W852">
            <v>0</v>
          </cell>
        </row>
        <row r="853">
          <cell r="K853">
            <v>19</v>
          </cell>
          <cell r="Q853">
            <v>209.13036385553866</v>
          </cell>
          <cell r="R853">
            <v>32.456080544779375</v>
          </cell>
          <cell r="U853">
            <v>0</v>
          </cell>
          <cell r="V853">
            <v>2.2782383526826648</v>
          </cell>
          <cell r="W853">
            <v>0</v>
          </cell>
        </row>
        <row r="854">
          <cell r="K854">
            <v>19</v>
          </cell>
          <cell r="Q854">
            <v>209.13036385553866</v>
          </cell>
          <cell r="R854">
            <v>32.456080544779375</v>
          </cell>
          <cell r="U854">
            <v>0</v>
          </cell>
          <cell r="V854">
            <v>2.2782383526826648</v>
          </cell>
          <cell r="W854">
            <v>0</v>
          </cell>
        </row>
        <row r="855">
          <cell r="K855">
            <v>19</v>
          </cell>
          <cell r="Q855">
            <v>209.13036385553866</v>
          </cell>
          <cell r="R855">
            <v>32.456080544779375</v>
          </cell>
          <cell r="U855">
            <v>0</v>
          </cell>
          <cell r="V855">
            <v>2.2782383526826648</v>
          </cell>
          <cell r="W855">
            <v>0</v>
          </cell>
        </row>
        <row r="856">
          <cell r="K856">
            <v>19</v>
          </cell>
          <cell r="Q856">
            <v>209.13036385553866</v>
          </cell>
          <cell r="R856">
            <v>32.456080544779375</v>
          </cell>
          <cell r="U856">
            <v>0</v>
          </cell>
          <cell r="V856">
            <v>2.2782383526826648</v>
          </cell>
          <cell r="W856">
            <v>0</v>
          </cell>
        </row>
        <row r="857">
          <cell r="K857">
            <v>19</v>
          </cell>
          <cell r="Q857">
            <v>209.13036385553866</v>
          </cell>
          <cell r="R857">
            <v>32.456080544779375</v>
          </cell>
          <cell r="U857">
            <v>0</v>
          </cell>
          <cell r="V857">
            <v>2.2782383526826648</v>
          </cell>
          <cell r="W857">
            <v>0</v>
          </cell>
        </row>
        <row r="858">
          <cell r="K858">
            <v>19</v>
          </cell>
          <cell r="Q858">
            <v>209.13036385553866</v>
          </cell>
          <cell r="R858">
            <v>32.456080544779375</v>
          </cell>
          <cell r="U858">
            <v>0</v>
          </cell>
          <cell r="V858">
            <v>2.2782383526826648</v>
          </cell>
          <cell r="W858">
            <v>0</v>
          </cell>
        </row>
        <row r="859">
          <cell r="K859">
            <v>19</v>
          </cell>
          <cell r="Q859">
            <v>209.13036385553866</v>
          </cell>
          <cell r="R859">
            <v>32.456080544779375</v>
          </cell>
          <cell r="U859">
            <v>0</v>
          </cell>
          <cell r="V859">
            <v>2.2782383526826648</v>
          </cell>
          <cell r="W859">
            <v>0</v>
          </cell>
        </row>
        <row r="860">
          <cell r="K860">
            <v>17</v>
          </cell>
          <cell r="Q860">
            <v>154.52742056950913</v>
          </cell>
          <cell r="R860">
            <v>23.98195229003403</v>
          </cell>
          <cell r="U860">
            <v>0</v>
          </cell>
          <cell r="V860">
            <v>1.6834011551080466</v>
          </cell>
          <cell r="W860">
            <v>0</v>
          </cell>
        </row>
        <row r="861">
          <cell r="K861">
            <v>30</v>
          </cell>
          <cell r="Q861">
            <v>273.47890632889295</v>
          </cell>
          <cell r="R861">
            <v>42.442681433099061</v>
          </cell>
          <cell r="U861">
            <v>0</v>
          </cell>
          <cell r="V861">
            <v>2.9792428108554301</v>
          </cell>
          <cell r="W861">
            <v>0</v>
          </cell>
        </row>
        <row r="862">
          <cell r="K862">
            <v>20</v>
          </cell>
          <cell r="Q862">
            <v>220.13722511109333</v>
          </cell>
          <cell r="R862">
            <v>34.164295310294072</v>
          </cell>
          <cell r="U862">
            <v>0</v>
          </cell>
          <cell r="V862">
            <v>2.3981456344028054</v>
          </cell>
          <cell r="W862">
            <v>0</v>
          </cell>
        </row>
        <row r="863">
          <cell r="K863">
            <v>21</v>
          </cell>
          <cell r="Q863">
            <v>231.144086366648</v>
          </cell>
          <cell r="R863">
            <v>35.872510075808776</v>
          </cell>
          <cell r="U863">
            <v>0</v>
          </cell>
          <cell r="V863">
            <v>2.5180529161229455</v>
          </cell>
          <cell r="W863">
            <v>0</v>
          </cell>
        </row>
        <row r="864">
          <cell r="K864">
            <v>64</v>
          </cell>
          <cell r="Q864">
            <v>1360.9911786171658</v>
          </cell>
          <cell r="R864">
            <v>211.21963592262483</v>
          </cell>
          <cell r="U864">
            <v>0</v>
          </cell>
          <cell r="V864">
            <v>14.826456778558756</v>
          </cell>
          <cell r="W864">
            <v>0</v>
          </cell>
        </row>
        <row r="865">
          <cell r="K865">
            <v>34</v>
          </cell>
          <cell r="Q865">
            <v>309.05484113901827</v>
          </cell>
          <cell r="R865">
            <v>47.963904580068061</v>
          </cell>
          <cell r="U865">
            <v>0</v>
          </cell>
          <cell r="V865">
            <v>3.3668023102160931</v>
          </cell>
          <cell r="W865">
            <v>0</v>
          </cell>
        </row>
        <row r="866">
          <cell r="K866">
            <v>20</v>
          </cell>
          <cell r="Q866">
            <v>181.79696537589311</v>
          </cell>
          <cell r="R866">
            <v>28.214061517687092</v>
          </cell>
          <cell r="U866">
            <v>0</v>
          </cell>
          <cell r="V866">
            <v>1.9804719471859371</v>
          </cell>
          <cell r="W866">
            <v>0</v>
          </cell>
        </row>
        <row r="867">
          <cell r="K867">
            <v>37</v>
          </cell>
          <cell r="Q867">
            <v>407.25386645552271</v>
          </cell>
          <cell r="R867">
            <v>63.203946324044047</v>
          </cell>
          <cell r="U867">
            <v>0</v>
          </cell>
          <cell r="V867">
            <v>4.4365694236451905</v>
          </cell>
          <cell r="W867">
            <v>0</v>
          </cell>
        </row>
        <row r="868">
          <cell r="K868">
            <v>54</v>
          </cell>
          <cell r="Q868">
            <v>490.85180651491135</v>
          </cell>
          <cell r="R868">
            <v>76.177966097755146</v>
          </cell>
          <cell r="U868">
            <v>0</v>
          </cell>
          <cell r="V868">
            <v>5.34727425740203</v>
          </cell>
          <cell r="W868">
            <v>0</v>
          </cell>
        </row>
        <row r="869">
          <cell r="K869">
            <v>19</v>
          </cell>
          <cell r="Q869">
            <v>209.13036385553866</v>
          </cell>
          <cell r="R869">
            <v>32.456080544779375</v>
          </cell>
          <cell r="U869">
            <v>0</v>
          </cell>
          <cell r="V869">
            <v>2.2782383526826648</v>
          </cell>
          <cell r="W869">
            <v>0</v>
          </cell>
        </row>
        <row r="870">
          <cell r="K870">
            <v>19</v>
          </cell>
          <cell r="Q870">
            <v>209.13036385553866</v>
          </cell>
          <cell r="R870">
            <v>32.456080544779375</v>
          </cell>
          <cell r="U870">
            <v>0</v>
          </cell>
          <cell r="V870">
            <v>2.2782383526826648</v>
          </cell>
          <cell r="W870">
            <v>0</v>
          </cell>
        </row>
        <row r="871">
          <cell r="K871">
            <v>19</v>
          </cell>
          <cell r="Q871">
            <v>209.13036385553866</v>
          </cell>
          <cell r="R871">
            <v>32.456080544779375</v>
          </cell>
          <cell r="U871">
            <v>0</v>
          </cell>
          <cell r="V871">
            <v>2.2782383526826648</v>
          </cell>
          <cell r="W871">
            <v>0</v>
          </cell>
        </row>
        <row r="872">
          <cell r="K872">
            <v>19</v>
          </cell>
          <cell r="Q872">
            <v>209.13036385553866</v>
          </cell>
          <cell r="R872">
            <v>32.456080544779375</v>
          </cell>
          <cell r="U872">
            <v>0</v>
          </cell>
          <cell r="V872">
            <v>2.2782383526826648</v>
          </cell>
          <cell r="W872">
            <v>0</v>
          </cell>
        </row>
        <row r="873">
          <cell r="K873">
            <v>19</v>
          </cell>
          <cell r="Q873">
            <v>209.13036385553866</v>
          </cell>
          <cell r="R873">
            <v>32.456080544779375</v>
          </cell>
          <cell r="U873">
            <v>0</v>
          </cell>
          <cell r="V873">
            <v>2.2782383526826648</v>
          </cell>
          <cell r="W873">
            <v>0</v>
          </cell>
        </row>
        <row r="874">
          <cell r="K874">
            <v>19</v>
          </cell>
          <cell r="Q874">
            <v>209.13036385553866</v>
          </cell>
          <cell r="R874">
            <v>32.456080544779375</v>
          </cell>
          <cell r="U874">
            <v>0</v>
          </cell>
          <cell r="V874">
            <v>2.2782383526826648</v>
          </cell>
          <cell r="W874">
            <v>0</v>
          </cell>
        </row>
        <row r="875">
          <cell r="K875">
            <v>19</v>
          </cell>
          <cell r="Q875">
            <v>209.13036385553866</v>
          </cell>
          <cell r="R875">
            <v>32.456080544779375</v>
          </cell>
          <cell r="U875">
            <v>0</v>
          </cell>
          <cell r="V875">
            <v>2.2782383526826648</v>
          </cell>
          <cell r="W875">
            <v>0</v>
          </cell>
        </row>
        <row r="876">
          <cell r="K876">
            <v>19</v>
          </cell>
          <cell r="Q876">
            <v>209.13036385553866</v>
          </cell>
          <cell r="R876">
            <v>32.456080544779375</v>
          </cell>
          <cell r="U876">
            <v>0</v>
          </cell>
          <cell r="V876">
            <v>2.2782383526826648</v>
          </cell>
          <cell r="W876">
            <v>0</v>
          </cell>
        </row>
        <row r="877">
          <cell r="K877">
            <v>19</v>
          </cell>
          <cell r="Q877">
            <v>209.13036385553866</v>
          </cell>
          <cell r="R877">
            <v>32.456080544779375</v>
          </cell>
          <cell r="U877">
            <v>0</v>
          </cell>
          <cell r="V877">
            <v>2.2782383526826648</v>
          </cell>
          <cell r="W877">
            <v>0</v>
          </cell>
        </row>
        <row r="878">
          <cell r="K878">
            <v>19</v>
          </cell>
          <cell r="Q878">
            <v>209.13036385553866</v>
          </cell>
          <cell r="R878">
            <v>32.456080544779375</v>
          </cell>
          <cell r="U878">
            <v>0</v>
          </cell>
          <cell r="V878">
            <v>2.2782383526826648</v>
          </cell>
          <cell r="W878">
            <v>0</v>
          </cell>
        </row>
        <row r="879">
          <cell r="K879">
            <v>19</v>
          </cell>
          <cell r="Q879">
            <v>209.13036385553866</v>
          </cell>
          <cell r="R879">
            <v>32.456080544779375</v>
          </cell>
          <cell r="U879">
            <v>0</v>
          </cell>
          <cell r="V879">
            <v>2.2782383526826648</v>
          </cell>
          <cell r="W879">
            <v>0</v>
          </cell>
        </row>
        <row r="880">
          <cell r="K880">
            <v>19</v>
          </cell>
          <cell r="Q880">
            <v>209.13036385553866</v>
          </cell>
          <cell r="R880">
            <v>32.456080544779375</v>
          </cell>
          <cell r="U880">
            <v>0</v>
          </cell>
          <cell r="V880">
            <v>2.2782383526826648</v>
          </cell>
          <cell r="W880">
            <v>0</v>
          </cell>
        </row>
        <row r="881">
          <cell r="K881">
            <v>37</v>
          </cell>
          <cell r="Q881">
            <v>408.01288444229999</v>
          </cell>
          <cell r="R881">
            <v>63.321742460671992</v>
          </cell>
          <cell r="U881">
            <v>0</v>
          </cell>
          <cell r="V881">
            <v>4.444838064582699</v>
          </cell>
          <cell r="W881">
            <v>0</v>
          </cell>
        </row>
        <row r="882">
          <cell r="K882">
            <v>10</v>
          </cell>
          <cell r="Q882">
            <v>110.27375255197298</v>
          </cell>
          <cell r="R882">
            <v>17.113984448830269</v>
          </cell>
          <cell r="U882">
            <v>0</v>
          </cell>
          <cell r="V882">
            <v>1.2013075850223509</v>
          </cell>
          <cell r="W882">
            <v>0</v>
          </cell>
        </row>
        <row r="883">
          <cell r="K883">
            <v>35</v>
          </cell>
          <cell r="Q883">
            <v>385.95813393190542</v>
          </cell>
          <cell r="R883">
            <v>59.898945570905937</v>
          </cell>
          <cell r="U883">
            <v>0</v>
          </cell>
          <cell r="V883">
            <v>4.2045765475782284</v>
          </cell>
          <cell r="W883">
            <v>0</v>
          </cell>
        </row>
        <row r="884">
          <cell r="K884">
            <v>25</v>
          </cell>
          <cell r="Q884">
            <v>227.24620671986636</v>
          </cell>
          <cell r="R884">
            <v>35.267576897108867</v>
          </cell>
          <cell r="U884">
            <v>0</v>
          </cell>
          <cell r="V884">
            <v>2.4755899339824214</v>
          </cell>
          <cell r="W884">
            <v>0</v>
          </cell>
        </row>
        <row r="885">
          <cell r="K885">
            <v>19</v>
          </cell>
          <cell r="Q885">
            <v>209.13036385553866</v>
          </cell>
          <cell r="R885">
            <v>32.456080544779375</v>
          </cell>
          <cell r="U885">
            <v>0</v>
          </cell>
          <cell r="V885">
            <v>2.2782383526826648</v>
          </cell>
          <cell r="W885">
            <v>0</v>
          </cell>
        </row>
        <row r="886">
          <cell r="K886">
            <v>19</v>
          </cell>
          <cell r="Q886">
            <v>209.13036385553866</v>
          </cell>
          <cell r="R886">
            <v>32.456080544779375</v>
          </cell>
          <cell r="U886">
            <v>0</v>
          </cell>
          <cell r="V886">
            <v>2.2782383526826648</v>
          </cell>
          <cell r="W886">
            <v>0</v>
          </cell>
        </row>
        <row r="887">
          <cell r="K887">
            <v>19</v>
          </cell>
          <cell r="Q887">
            <v>209.13036385553866</v>
          </cell>
          <cell r="R887">
            <v>32.456080544779375</v>
          </cell>
          <cell r="U887">
            <v>0</v>
          </cell>
          <cell r="V887">
            <v>2.2782383526826648</v>
          </cell>
          <cell r="W887">
            <v>0</v>
          </cell>
        </row>
        <row r="888">
          <cell r="K888">
            <v>26</v>
          </cell>
          <cell r="Q888">
            <v>286.17839264442136</v>
          </cell>
          <cell r="R888">
            <v>44.413583903382303</v>
          </cell>
          <cell r="U888">
            <v>0</v>
          </cell>
          <cell r="V888">
            <v>3.1175893247236468</v>
          </cell>
          <cell r="W888">
            <v>0</v>
          </cell>
        </row>
        <row r="889">
          <cell r="K889">
            <v>2</v>
          </cell>
          <cell r="Q889">
            <v>22.013722511109336</v>
          </cell>
          <cell r="R889">
            <v>3.4164295310294079</v>
          </cell>
          <cell r="U889">
            <v>0</v>
          </cell>
          <cell r="V889">
            <v>0.23981456344028054</v>
          </cell>
          <cell r="W889">
            <v>0</v>
          </cell>
        </row>
        <row r="890">
          <cell r="K890">
            <v>12</v>
          </cell>
          <cell r="Q890">
            <v>132.08233506665601</v>
          </cell>
          <cell r="R890">
            <v>20.498577186176448</v>
          </cell>
          <cell r="U890">
            <v>0</v>
          </cell>
          <cell r="V890">
            <v>1.4388873806416833</v>
          </cell>
          <cell r="W890">
            <v>0</v>
          </cell>
        </row>
        <row r="891">
          <cell r="K891">
            <v>12</v>
          </cell>
          <cell r="Q891">
            <v>132.08233506665601</v>
          </cell>
          <cell r="R891">
            <v>20.498577186176448</v>
          </cell>
          <cell r="U891">
            <v>0</v>
          </cell>
          <cell r="V891">
            <v>1.4388873806416833</v>
          </cell>
          <cell r="W891">
            <v>0</v>
          </cell>
        </row>
        <row r="892">
          <cell r="K892">
            <v>12</v>
          </cell>
          <cell r="Q892">
            <v>132.08233506665601</v>
          </cell>
          <cell r="R892">
            <v>20.498577186176448</v>
          </cell>
          <cell r="U892">
            <v>0</v>
          </cell>
          <cell r="V892">
            <v>1.4388873806416833</v>
          </cell>
          <cell r="W892">
            <v>0</v>
          </cell>
        </row>
        <row r="893">
          <cell r="K893">
            <v>2</v>
          </cell>
          <cell r="Q893">
            <v>107.57919911890899</v>
          </cell>
          <cell r="R893">
            <v>16.695802021164493</v>
          </cell>
          <cell r="U893">
            <v>0</v>
          </cell>
          <cell r="V893">
            <v>1.1719534785148922</v>
          </cell>
          <cell r="W893">
            <v>0</v>
          </cell>
        </row>
        <row r="894">
          <cell r="K894">
            <v>2</v>
          </cell>
          <cell r="Q894">
            <v>107.57919911890899</v>
          </cell>
          <cell r="R894">
            <v>16.695802021164493</v>
          </cell>
          <cell r="U894">
            <v>0</v>
          </cell>
          <cell r="V894">
            <v>1.1719534785148922</v>
          </cell>
          <cell r="W894">
            <v>0</v>
          </cell>
        </row>
        <row r="895">
          <cell r="K895">
            <v>2</v>
          </cell>
          <cell r="Q895">
            <v>66.405813024261803</v>
          </cell>
          <cell r="R895">
            <v>10.305879913477323</v>
          </cell>
          <cell r="U895">
            <v>0</v>
          </cell>
          <cell r="V895">
            <v>0.7234160897718942</v>
          </cell>
          <cell r="W895">
            <v>0</v>
          </cell>
        </row>
        <row r="896">
          <cell r="K896">
            <v>2</v>
          </cell>
          <cell r="Q896">
            <v>22.013722511109336</v>
          </cell>
          <cell r="R896">
            <v>3.4164295310294079</v>
          </cell>
          <cell r="U896">
            <v>0</v>
          </cell>
          <cell r="V896">
            <v>0.23981456344028054</v>
          </cell>
          <cell r="W896">
            <v>0</v>
          </cell>
        </row>
        <row r="897">
          <cell r="K897">
            <v>7</v>
          </cell>
          <cell r="Q897">
            <v>63.628937881562585</v>
          </cell>
          <cell r="R897">
            <v>9.8749215311904823</v>
          </cell>
          <cell r="U897">
            <v>0</v>
          </cell>
          <cell r="V897">
            <v>0.69316518151507789</v>
          </cell>
          <cell r="W897">
            <v>0</v>
          </cell>
        </row>
        <row r="898">
          <cell r="K898">
            <v>2</v>
          </cell>
          <cell r="Q898">
            <v>107.57919911890899</v>
          </cell>
          <cell r="R898">
            <v>16.695802021164493</v>
          </cell>
          <cell r="U898">
            <v>0</v>
          </cell>
          <cell r="V898">
            <v>1.1719534785148922</v>
          </cell>
          <cell r="W898">
            <v>0</v>
          </cell>
        </row>
        <row r="899">
          <cell r="K899">
            <v>19</v>
          </cell>
          <cell r="Q899">
            <v>135.84573124833898</v>
          </cell>
          <cell r="R899">
            <v>21.082639143238751</v>
          </cell>
          <cell r="U899">
            <v>0</v>
          </cell>
          <cell r="V899">
            <v>1.4798853178105404</v>
          </cell>
          <cell r="W899">
            <v>0</v>
          </cell>
        </row>
        <row r="900">
          <cell r="K900">
            <v>21</v>
          </cell>
          <cell r="Q900">
            <v>150.14528190605887</v>
          </cell>
          <cell r="R900">
            <v>23.301864316211248</v>
          </cell>
          <cell r="U900">
            <v>0</v>
          </cell>
          <cell r="V900">
            <v>1.6356627196853342</v>
          </cell>
          <cell r="W900">
            <v>0</v>
          </cell>
        </row>
        <row r="901">
          <cell r="K901">
            <v>6</v>
          </cell>
          <cell r="Q901">
            <v>66.041167533328007</v>
          </cell>
          <cell r="R901">
            <v>10.249288593088224</v>
          </cell>
          <cell r="U901">
            <v>0</v>
          </cell>
          <cell r="V901">
            <v>0.71944369032084166</v>
          </cell>
          <cell r="W901">
            <v>0</v>
          </cell>
        </row>
        <row r="902">
          <cell r="K902">
            <v>5</v>
          </cell>
          <cell r="Q902">
            <v>166.01453256065449</v>
          </cell>
          <cell r="R902">
            <v>25.764699783693306</v>
          </cell>
          <cell r="U902">
            <v>0</v>
          </cell>
          <cell r="V902">
            <v>1.8085402244297353</v>
          </cell>
          <cell r="W902">
            <v>0</v>
          </cell>
        </row>
        <row r="903">
          <cell r="K903">
            <v>41</v>
          </cell>
          <cell r="Q903">
            <v>452.12238546308919</v>
          </cell>
          <cell r="R903">
            <v>70.167336240204108</v>
          </cell>
          <cell r="U903">
            <v>0</v>
          </cell>
          <cell r="V903">
            <v>4.9253610985916394</v>
          </cell>
          <cell r="W903">
            <v>0</v>
          </cell>
        </row>
        <row r="904">
          <cell r="K904">
            <v>2</v>
          </cell>
          <cell r="Q904">
            <v>60.803644890732009</v>
          </cell>
          <cell r="R904">
            <v>9.4364489192634053</v>
          </cell>
          <cell r="U904">
            <v>0</v>
          </cell>
          <cell r="V904">
            <v>0.66238681566418689</v>
          </cell>
          <cell r="W904">
            <v>0</v>
          </cell>
        </row>
        <row r="905">
          <cell r="K905">
            <v>4</v>
          </cell>
          <cell r="Q905">
            <v>215.15839823781798</v>
          </cell>
          <cell r="R905">
            <v>33.391604042328986</v>
          </cell>
          <cell r="U905">
            <v>0</v>
          </cell>
          <cell r="V905">
            <v>2.3439069570297844</v>
          </cell>
          <cell r="W905">
            <v>0</v>
          </cell>
        </row>
        <row r="906">
          <cell r="K906">
            <v>41</v>
          </cell>
          <cell r="Q906">
            <v>373.75450531615365</v>
          </cell>
          <cell r="R906">
            <v>58.004997958568715</v>
          </cell>
          <cell r="U906">
            <v>0</v>
          </cell>
          <cell r="V906">
            <v>4.0716318415024206</v>
          </cell>
          <cell r="W906">
            <v>0</v>
          </cell>
        </row>
        <row r="907">
          <cell r="K907">
            <v>22</v>
          </cell>
          <cell r="Q907">
            <v>0</v>
          </cell>
          <cell r="R907">
            <v>0</v>
          </cell>
          <cell r="U907">
            <v>0</v>
          </cell>
          <cell r="V907">
            <v>0</v>
          </cell>
          <cell r="W907">
            <v>0</v>
          </cell>
        </row>
        <row r="908">
          <cell r="K908">
            <v>12</v>
          </cell>
          <cell r="Q908">
            <v>109.07817922553586</v>
          </cell>
          <cell r="R908">
            <v>16.928436910612255</v>
          </cell>
          <cell r="U908">
            <v>0</v>
          </cell>
          <cell r="V908">
            <v>1.1882831683115622</v>
          </cell>
          <cell r="W908">
            <v>0</v>
          </cell>
        </row>
        <row r="909">
          <cell r="K909">
            <v>2</v>
          </cell>
          <cell r="Q909">
            <v>18.179696537589308</v>
          </cell>
          <cell r="R909">
            <v>2.8214061517687092</v>
          </cell>
          <cell r="U909">
            <v>0</v>
          </cell>
          <cell r="V909">
            <v>0.19804719471859369</v>
          </cell>
          <cell r="W909">
            <v>0</v>
          </cell>
        </row>
        <row r="910">
          <cell r="K910">
            <v>40</v>
          </cell>
          <cell r="Q910">
            <v>363.59393075178622</v>
          </cell>
          <cell r="R910">
            <v>56.428123035374185</v>
          </cell>
          <cell r="U910">
            <v>0</v>
          </cell>
          <cell r="V910">
            <v>3.9609438943718742</v>
          </cell>
          <cell r="W910">
            <v>0</v>
          </cell>
        </row>
        <row r="911">
          <cell r="K911">
            <v>5</v>
          </cell>
          <cell r="Q911">
            <v>268.94799779727248</v>
          </cell>
          <cell r="R911">
            <v>41.739505052911227</v>
          </cell>
          <cell r="U911">
            <v>0</v>
          </cell>
          <cell r="V911">
            <v>2.9298836962872303</v>
          </cell>
          <cell r="W911">
            <v>0</v>
          </cell>
        </row>
        <row r="912">
          <cell r="K912">
            <v>19</v>
          </cell>
          <cell r="Q912">
            <v>209.13036385553866</v>
          </cell>
          <cell r="R912">
            <v>32.456080544779375</v>
          </cell>
          <cell r="U912">
            <v>0</v>
          </cell>
          <cell r="V912">
            <v>2.2782383526826648</v>
          </cell>
          <cell r="W912">
            <v>0</v>
          </cell>
        </row>
        <row r="913">
          <cell r="K913">
            <v>19</v>
          </cell>
          <cell r="Q913">
            <v>209.13036385553866</v>
          </cell>
          <cell r="R913">
            <v>32.456080544779375</v>
          </cell>
          <cell r="U913">
            <v>0</v>
          </cell>
          <cell r="V913">
            <v>2.2782383526826648</v>
          </cell>
          <cell r="W913">
            <v>0</v>
          </cell>
        </row>
        <row r="914">
          <cell r="K914">
            <v>20</v>
          </cell>
          <cell r="Q914">
            <v>220.13722511109333</v>
          </cell>
          <cell r="R914">
            <v>34.164295310294072</v>
          </cell>
          <cell r="U914">
            <v>0</v>
          </cell>
          <cell r="V914">
            <v>2.3981456344028054</v>
          </cell>
          <cell r="W914">
            <v>0</v>
          </cell>
        </row>
        <row r="915">
          <cell r="K915">
            <v>21</v>
          </cell>
          <cell r="Q915">
            <v>231.144086366648</v>
          </cell>
          <cell r="R915">
            <v>35.872510075808776</v>
          </cell>
          <cell r="U915">
            <v>0</v>
          </cell>
          <cell r="V915">
            <v>2.5180529161229455</v>
          </cell>
          <cell r="W915">
            <v>0</v>
          </cell>
        </row>
        <row r="916">
          <cell r="K916">
            <v>16</v>
          </cell>
          <cell r="Q916">
            <v>176.10978008887469</v>
          </cell>
          <cell r="R916">
            <v>27.331436248235264</v>
          </cell>
          <cell r="U916">
            <v>0</v>
          </cell>
          <cell r="V916">
            <v>1.9185165075222443</v>
          </cell>
          <cell r="W916">
            <v>0</v>
          </cell>
        </row>
        <row r="917">
          <cell r="K917">
            <v>19</v>
          </cell>
          <cell r="Q917">
            <v>209.13036385553866</v>
          </cell>
          <cell r="R917">
            <v>32.456080544779375</v>
          </cell>
          <cell r="U917">
            <v>0</v>
          </cell>
          <cell r="V917">
            <v>2.2782383526826648</v>
          </cell>
          <cell r="W917">
            <v>0</v>
          </cell>
        </row>
        <row r="918">
          <cell r="K918">
            <v>21</v>
          </cell>
          <cell r="Q918">
            <v>231.144086366648</v>
          </cell>
          <cell r="R918">
            <v>35.872510075808776</v>
          </cell>
          <cell r="U918">
            <v>0</v>
          </cell>
          <cell r="V918">
            <v>2.5180529161229455</v>
          </cell>
          <cell r="W918">
            <v>0</v>
          </cell>
        </row>
        <row r="919">
          <cell r="K919">
            <v>18</v>
          </cell>
          <cell r="Q919">
            <v>198.12350259998399</v>
          </cell>
          <cell r="R919">
            <v>30.747865779264668</v>
          </cell>
          <cell r="U919">
            <v>0</v>
          </cell>
          <cell r="V919">
            <v>2.1583310709625247</v>
          </cell>
          <cell r="W919">
            <v>0</v>
          </cell>
        </row>
        <row r="920">
          <cell r="K920">
            <v>20</v>
          </cell>
          <cell r="Q920">
            <v>220.13722511109333</v>
          </cell>
          <cell r="R920">
            <v>34.164295310294072</v>
          </cell>
          <cell r="U920">
            <v>0</v>
          </cell>
          <cell r="V920">
            <v>2.3981456344028054</v>
          </cell>
          <cell r="W920">
            <v>0</v>
          </cell>
        </row>
        <row r="921">
          <cell r="K921">
            <v>19</v>
          </cell>
          <cell r="Q921">
            <v>209.13036385553866</v>
          </cell>
          <cell r="R921">
            <v>32.456080544779375</v>
          </cell>
          <cell r="U921">
            <v>0</v>
          </cell>
          <cell r="V921">
            <v>2.2782383526826648</v>
          </cell>
          <cell r="W921">
            <v>0</v>
          </cell>
        </row>
        <row r="922">
          <cell r="K922">
            <v>29</v>
          </cell>
          <cell r="Q922">
            <v>319.7938824007216</v>
          </cell>
          <cell r="R922">
            <v>49.63055490160778</v>
          </cell>
          <cell r="U922">
            <v>0</v>
          </cell>
          <cell r="V922">
            <v>3.4837919965648179</v>
          </cell>
          <cell r="W922">
            <v>0</v>
          </cell>
        </row>
        <row r="923">
          <cell r="K923">
            <v>8</v>
          </cell>
          <cell r="Q923">
            <v>265.62325209704721</v>
          </cell>
          <cell r="R923">
            <v>41.223519653909293</v>
          </cell>
          <cell r="U923">
            <v>0</v>
          </cell>
          <cell r="V923">
            <v>2.8936643590875768</v>
          </cell>
          <cell r="W923">
            <v>0</v>
          </cell>
        </row>
        <row r="924">
          <cell r="K924">
            <v>30</v>
          </cell>
          <cell r="Q924">
            <v>330.20583766664004</v>
          </cell>
          <cell r="R924">
            <v>51.246442965441112</v>
          </cell>
          <cell r="U924">
            <v>0</v>
          </cell>
          <cell r="V924">
            <v>3.5972184516042081</v>
          </cell>
          <cell r="W924">
            <v>0</v>
          </cell>
        </row>
        <row r="925">
          <cell r="K925">
            <v>6</v>
          </cell>
          <cell r="Q925">
            <v>54.539089612767931</v>
          </cell>
          <cell r="R925">
            <v>8.4642184553061277</v>
          </cell>
          <cell r="U925">
            <v>0</v>
          </cell>
          <cell r="V925">
            <v>0.59414158415578111</v>
          </cell>
          <cell r="W925">
            <v>0</v>
          </cell>
        </row>
        <row r="926">
          <cell r="K926">
            <v>17</v>
          </cell>
          <cell r="Q926">
            <v>187.11664134442935</v>
          </cell>
          <cell r="R926">
            <v>29.039651013749964</v>
          </cell>
          <cell r="U926">
            <v>0</v>
          </cell>
          <cell r="V926">
            <v>2.0384237892423847</v>
          </cell>
          <cell r="W926">
            <v>0</v>
          </cell>
        </row>
        <row r="927">
          <cell r="K927">
            <v>19</v>
          </cell>
          <cell r="Q927">
            <v>209.13036385553866</v>
          </cell>
          <cell r="R927">
            <v>32.456080544779375</v>
          </cell>
          <cell r="U927">
            <v>0</v>
          </cell>
          <cell r="V927">
            <v>2.2782383526826648</v>
          </cell>
          <cell r="W927">
            <v>0</v>
          </cell>
        </row>
        <row r="928">
          <cell r="K928">
            <v>21</v>
          </cell>
          <cell r="Q928">
            <v>231.144086366648</v>
          </cell>
          <cell r="R928">
            <v>35.872510075808776</v>
          </cell>
          <cell r="U928">
            <v>0</v>
          </cell>
          <cell r="V928">
            <v>2.5180529161229455</v>
          </cell>
          <cell r="W928">
            <v>0</v>
          </cell>
        </row>
        <row r="929">
          <cell r="K929">
            <v>26</v>
          </cell>
          <cell r="Q929">
            <v>451.45724219372801</v>
          </cell>
          <cell r="R929">
            <v>70.064109032417505</v>
          </cell>
          <cell r="U929">
            <v>0</v>
          </cell>
          <cell r="V929">
            <v>4.9181151163327739</v>
          </cell>
          <cell r="W929">
            <v>0</v>
          </cell>
        </row>
        <row r="930">
          <cell r="Q930">
            <v>0</v>
          </cell>
          <cell r="R930">
            <v>0</v>
          </cell>
          <cell r="U930">
            <v>0</v>
          </cell>
          <cell r="V930">
            <v>0</v>
          </cell>
          <cell r="W930">
            <v>2498.281984664683</v>
          </cell>
        </row>
        <row r="931">
          <cell r="K931">
            <v>56</v>
          </cell>
          <cell r="Q931">
            <v>617.53301429104863</v>
          </cell>
          <cell r="R931">
            <v>95.838312913449499</v>
          </cell>
          <cell r="U931">
            <v>0</v>
          </cell>
          <cell r="V931">
            <v>6.727322476125166</v>
          </cell>
          <cell r="W931">
            <v>0</v>
          </cell>
        </row>
        <row r="932">
          <cell r="K932">
            <v>3</v>
          </cell>
          <cell r="Q932">
            <v>99.608719536392698</v>
          </cell>
          <cell r="R932">
            <v>15.458819870215985</v>
          </cell>
          <cell r="U932">
            <v>0</v>
          </cell>
          <cell r="V932">
            <v>1.0851241346578413</v>
          </cell>
          <cell r="W932">
            <v>0</v>
          </cell>
        </row>
        <row r="933">
          <cell r="K933">
            <v>4</v>
          </cell>
          <cell r="Q933">
            <v>215.15839823781798</v>
          </cell>
          <cell r="R933">
            <v>33.391604042328986</v>
          </cell>
          <cell r="U933">
            <v>0</v>
          </cell>
          <cell r="V933">
            <v>2.3439069570297844</v>
          </cell>
          <cell r="W933">
            <v>0</v>
          </cell>
        </row>
        <row r="934">
          <cell r="K934">
            <v>46</v>
          </cell>
          <cell r="Q934">
            <v>507.25926173907567</v>
          </cell>
          <cell r="R934">
            <v>78.724328464619234</v>
          </cell>
          <cell r="U934">
            <v>0</v>
          </cell>
          <cell r="V934">
            <v>5.5260148911028146</v>
          </cell>
          <cell r="W934">
            <v>0</v>
          </cell>
        </row>
        <row r="935">
          <cell r="K935">
            <v>6</v>
          </cell>
          <cell r="Q935">
            <v>199.2174390727854</v>
          </cell>
          <cell r="R935">
            <v>30.917639740431969</v>
          </cell>
          <cell r="U935">
            <v>0</v>
          </cell>
          <cell r="V935">
            <v>2.1702482693156826</v>
          </cell>
          <cell r="W935">
            <v>0</v>
          </cell>
        </row>
        <row r="936">
          <cell r="K936">
            <v>4</v>
          </cell>
          <cell r="Q936">
            <v>215.15839823781798</v>
          </cell>
          <cell r="R936">
            <v>33.391604042328986</v>
          </cell>
          <cell r="U936">
            <v>0</v>
          </cell>
          <cell r="V936">
            <v>2.3439069570297844</v>
          </cell>
          <cell r="W936">
            <v>0</v>
          </cell>
        </row>
        <row r="937">
          <cell r="K937">
            <v>4</v>
          </cell>
          <cell r="Q937">
            <v>36.359393075178616</v>
          </cell>
          <cell r="R937">
            <v>5.6428123035374185</v>
          </cell>
          <cell r="U937">
            <v>0</v>
          </cell>
          <cell r="V937">
            <v>0.39609438943718739</v>
          </cell>
          <cell r="W937">
            <v>0</v>
          </cell>
        </row>
        <row r="938">
          <cell r="K938">
            <v>36</v>
          </cell>
          <cell r="Q938">
            <v>327.2345376766076</v>
          </cell>
          <cell r="R938">
            <v>50.785310731836766</v>
          </cell>
          <cell r="U938">
            <v>0</v>
          </cell>
          <cell r="V938">
            <v>3.5648495049346867</v>
          </cell>
          <cell r="W938">
            <v>0</v>
          </cell>
        </row>
        <row r="939">
          <cell r="K939">
            <v>10</v>
          </cell>
          <cell r="Q939">
            <v>110.06861255554666</v>
          </cell>
          <cell r="R939">
            <v>17.082147655147036</v>
          </cell>
          <cell r="U939">
            <v>0</v>
          </cell>
          <cell r="V939">
            <v>1.1990728172014027</v>
          </cell>
          <cell r="W939">
            <v>0</v>
          </cell>
        </row>
        <row r="940">
          <cell r="K940">
            <v>28</v>
          </cell>
          <cell r="Q940">
            <v>254.51575152625034</v>
          </cell>
          <cell r="R940">
            <v>39.499686124761929</v>
          </cell>
          <cell r="U940">
            <v>0</v>
          </cell>
          <cell r="V940">
            <v>2.7726607260603116</v>
          </cell>
          <cell r="W940">
            <v>0</v>
          </cell>
        </row>
        <row r="941">
          <cell r="K941">
            <v>4</v>
          </cell>
          <cell r="Q941">
            <v>36.359393075178616</v>
          </cell>
          <cell r="R941">
            <v>5.6428123035374185</v>
          </cell>
          <cell r="U941">
            <v>0</v>
          </cell>
          <cell r="V941">
            <v>0.39609438943718739</v>
          </cell>
          <cell r="W941">
            <v>0</v>
          </cell>
        </row>
        <row r="942">
          <cell r="K942">
            <v>8</v>
          </cell>
          <cell r="Q942">
            <v>170.12389732714573</v>
          </cell>
          <cell r="R942">
            <v>26.402454490328104</v>
          </cell>
          <cell r="U942">
            <v>0</v>
          </cell>
          <cell r="V942">
            <v>1.8533070973198444</v>
          </cell>
          <cell r="W942">
            <v>0</v>
          </cell>
        </row>
        <row r="943">
          <cell r="K943">
            <v>30</v>
          </cell>
          <cell r="Q943">
            <v>272.69544806383965</v>
          </cell>
          <cell r="R943">
            <v>42.321092276530635</v>
          </cell>
          <cell r="U943">
            <v>0</v>
          </cell>
          <cell r="V943">
            <v>2.9707079207789056</v>
          </cell>
          <cell r="W943">
            <v>0</v>
          </cell>
        </row>
        <row r="944">
          <cell r="K944">
            <v>20</v>
          </cell>
          <cell r="Q944">
            <v>220.13722511109333</v>
          </cell>
          <cell r="R944">
            <v>34.164295310294072</v>
          </cell>
          <cell r="U944">
            <v>0</v>
          </cell>
          <cell r="V944">
            <v>2.3981456344028054</v>
          </cell>
          <cell r="W944">
            <v>0</v>
          </cell>
        </row>
        <row r="945">
          <cell r="K945">
            <v>17.5</v>
          </cell>
          <cell r="Q945">
            <v>192.62007197220669</v>
          </cell>
          <cell r="R945">
            <v>29.893758396507319</v>
          </cell>
          <cell r="U945">
            <v>0</v>
          </cell>
          <cell r="V945">
            <v>2.0983774301024547</v>
          </cell>
          <cell r="W945">
            <v>0</v>
          </cell>
        </row>
        <row r="946">
          <cell r="K946">
            <v>17.5</v>
          </cell>
          <cell r="Q946">
            <v>192.62007197220669</v>
          </cell>
          <cell r="R946">
            <v>29.893758396507319</v>
          </cell>
          <cell r="U946">
            <v>0</v>
          </cell>
          <cell r="V946">
            <v>2.0983774301024547</v>
          </cell>
          <cell r="W946">
            <v>0</v>
          </cell>
        </row>
        <row r="947">
          <cell r="K947">
            <v>17.5</v>
          </cell>
          <cell r="Q947">
            <v>192.62007197220669</v>
          </cell>
          <cell r="R947">
            <v>29.893758396507319</v>
          </cell>
          <cell r="U947">
            <v>0</v>
          </cell>
          <cell r="V947">
            <v>2.0983774301024547</v>
          </cell>
          <cell r="W947">
            <v>0</v>
          </cell>
        </row>
        <row r="948">
          <cell r="K948">
            <v>40</v>
          </cell>
          <cell r="Q948">
            <v>363.59393075178622</v>
          </cell>
          <cell r="R948">
            <v>56.428123035374185</v>
          </cell>
          <cell r="U948">
            <v>0</v>
          </cell>
          <cell r="V948">
            <v>3.9609438943718742</v>
          </cell>
          <cell r="W948">
            <v>0</v>
          </cell>
        </row>
        <row r="949">
          <cell r="K949">
            <v>12</v>
          </cell>
          <cell r="Q949">
            <v>132.08233506665601</v>
          </cell>
          <cell r="R949">
            <v>20.498577186176448</v>
          </cell>
          <cell r="U949">
            <v>0</v>
          </cell>
          <cell r="V949">
            <v>1.4388873806416833</v>
          </cell>
          <cell r="W949">
            <v>0</v>
          </cell>
        </row>
        <row r="950">
          <cell r="K950">
            <v>12</v>
          </cell>
          <cell r="Q950">
            <v>132.08233506665601</v>
          </cell>
          <cell r="R950">
            <v>20.498577186176448</v>
          </cell>
          <cell r="U950">
            <v>0</v>
          </cell>
          <cell r="V950">
            <v>1.4388873806416833</v>
          </cell>
          <cell r="W950">
            <v>0</v>
          </cell>
        </row>
        <row r="951">
          <cell r="K951">
            <v>12</v>
          </cell>
          <cell r="Q951">
            <v>132.08233506665601</v>
          </cell>
          <cell r="R951">
            <v>20.498577186176448</v>
          </cell>
          <cell r="U951">
            <v>0</v>
          </cell>
          <cell r="V951">
            <v>1.4388873806416833</v>
          </cell>
          <cell r="W951">
            <v>0</v>
          </cell>
        </row>
        <row r="952">
          <cell r="K952">
            <v>9</v>
          </cell>
          <cell r="Q952">
            <v>273.61640200829407</v>
          </cell>
          <cell r="R952">
            <v>42.464020136685328</v>
          </cell>
          <cell r="U952">
            <v>0</v>
          </cell>
          <cell r="V952">
            <v>2.9807406704888413</v>
          </cell>
          <cell r="W952">
            <v>0</v>
          </cell>
        </row>
        <row r="953">
          <cell r="K953">
            <v>32</v>
          </cell>
          <cell r="Q953">
            <v>106.97703056152439</v>
          </cell>
          <cell r="R953">
            <v>16.602348202026544</v>
          </cell>
          <cell r="U953">
            <v>0</v>
          </cell>
          <cell r="V953">
            <v>1.1653935343875972</v>
          </cell>
          <cell r="W953">
            <v>0</v>
          </cell>
        </row>
        <row r="954">
          <cell r="K954">
            <v>16</v>
          </cell>
          <cell r="Q954">
            <v>53.488515280762194</v>
          </cell>
          <cell r="R954">
            <v>8.301174101013272</v>
          </cell>
          <cell r="U954">
            <v>0</v>
          </cell>
          <cell r="V954">
            <v>0.58269676719379859</v>
          </cell>
          <cell r="W954">
            <v>0</v>
          </cell>
        </row>
        <row r="955">
          <cell r="K955">
            <v>21</v>
          </cell>
          <cell r="Q955">
            <v>231.144086366648</v>
          </cell>
          <cell r="R955">
            <v>35.872510075808776</v>
          </cell>
          <cell r="U955">
            <v>0</v>
          </cell>
          <cell r="V955">
            <v>2.5180529161229455</v>
          </cell>
          <cell r="W955">
            <v>0</v>
          </cell>
        </row>
        <row r="956">
          <cell r="K956">
            <v>16</v>
          </cell>
          <cell r="Q956">
            <v>176.10978008887469</v>
          </cell>
          <cell r="R956">
            <v>27.331436248235264</v>
          </cell>
          <cell r="U956">
            <v>0</v>
          </cell>
          <cell r="V956">
            <v>1.9185165075222443</v>
          </cell>
          <cell r="W956">
            <v>0</v>
          </cell>
        </row>
        <row r="957">
          <cell r="K957">
            <v>15</v>
          </cell>
          <cell r="Q957">
            <v>165.10291883332002</v>
          </cell>
          <cell r="R957">
            <v>25.623221482720556</v>
          </cell>
          <cell r="U957">
            <v>0</v>
          </cell>
          <cell r="V957">
            <v>1.798609225802104</v>
          </cell>
          <cell r="W957">
            <v>0</v>
          </cell>
        </row>
        <row r="958">
          <cell r="K958">
            <v>15</v>
          </cell>
          <cell r="Q958">
            <v>165.10291883332002</v>
          </cell>
          <cell r="R958">
            <v>25.623221482720556</v>
          </cell>
          <cell r="U958">
            <v>0</v>
          </cell>
          <cell r="V958">
            <v>1.798609225802104</v>
          </cell>
          <cell r="W958">
            <v>0</v>
          </cell>
        </row>
        <row r="959">
          <cell r="K959">
            <v>16</v>
          </cell>
          <cell r="Q959">
            <v>176.10978008887469</v>
          </cell>
          <cell r="R959">
            <v>27.331436248235264</v>
          </cell>
          <cell r="U959">
            <v>0</v>
          </cell>
          <cell r="V959">
            <v>1.9185165075222443</v>
          </cell>
          <cell r="W959">
            <v>0</v>
          </cell>
        </row>
        <row r="960">
          <cell r="K960">
            <v>15</v>
          </cell>
          <cell r="Q960">
            <v>165.10291883332002</v>
          </cell>
          <cell r="R960">
            <v>25.623221482720556</v>
          </cell>
          <cell r="U960">
            <v>0</v>
          </cell>
          <cell r="V960">
            <v>1.798609225802104</v>
          </cell>
          <cell r="W960">
            <v>0</v>
          </cell>
        </row>
        <row r="961">
          <cell r="K961">
            <v>2</v>
          </cell>
          <cell r="Q961">
            <v>107.57919911890899</v>
          </cell>
          <cell r="R961">
            <v>16.695802021164493</v>
          </cell>
          <cell r="U961">
            <v>0</v>
          </cell>
          <cell r="V961">
            <v>1.1719534785148922</v>
          </cell>
          <cell r="W961">
            <v>0</v>
          </cell>
        </row>
        <row r="962">
          <cell r="K962">
            <v>8</v>
          </cell>
          <cell r="Q962">
            <v>430.31679647563595</v>
          </cell>
          <cell r="R962">
            <v>66.783208084657971</v>
          </cell>
          <cell r="U962">
            <v>0</v>
          </cell>
          <cell r="V962">
            <v>4.6878139140595687</v>
          </cell>
          <cell r="W962">
            <v>0</v>
          </cell>
        </row>
        <row r="963">
          <cell r="K963">
            <v>5</v>
          </cell>
          <cell r="Q963">
            <v>268.94799779727248</v>
          </cell>
          <cell r="R963">
            <v>41.739505052911227</v>
          </cell>
          <cell r="U963">
            <v>0</v>
          </cell>
          <cell r="V963">
            <v>2.9298836962872303</v>
          </cell>
          <cell r="W963">
            <v>0</v>
          </cell>
        </row>
        <row r="964">
          <cell r="K964">
            <v>4</v>
          </cell>
          <cell r="Q964">
            <v>179.0650224096068</v>
          </cell>
          <cell r="R964">
            <v>27.790076404655963</v>
          </cell>
          <cell r="U964">
            <v>0</v>
          </cell>
          <cell r="V964">
            <v>1.9507105240793696</v>
          </cell>
          <cell r="W964">
            <v>0</v>
          </cell>
        </row>
        <row r="965">
          <cell r="K965">
            <v>8</v>
          </cell>
          <cell r="Q965">
            <v>170.12389732714573</v>
          </cell>
          <cell r="R965">
            <v>26.402454490328104</v>
          </cell>
          <cell r="U965">
            <v>0</v>
          </cell>
          <cell r="V965">
            <v>1.8533070973198444</v>
          </cell>
          <cell r="W965">
            <v>0</v>
          </cell>
        </row>
        <row r="966">
          <cell r="K966">
            <v>4</v>
          </cell>
          <cell r="Q966">
            <v>36.359393075178616</v>
          </cell>
          <cell r="R966">
            <v>5.6428123035374185</v>
          </cell>
          <cell r="U966">
            <v>0</v>
          </cell>
          <cell r="V966">
            <v>0.39609438943718739</v>
          </cell>
          <cell r="W966">
            <v>0</v>
          </cell>
        </row>
        <row r="967">
          <cell r="K967">
            <v>50</v>
          </cell>
          <cell r="Q967">
            <v>454.49241343973273</v>
          </cell>
          <cell r="R967">
            <v>70.535153794217734</v>
          </cell>
          <cell r="U967">
            <v>0</v>
          </cell>
          <cell r="V967">
            <v>4.9511798679648429</v>
          </cell>
          <cell r="W967">
            <v>0</v>
          </cell>
        </row>
        <row r="968">
          <cell r="K968">
            <v>16</v>
          </cell>
          <cell r="Q968">
            <v>277.81984134998646</v>
          </cell>
          <cell r="R968">
            <v>43.116374789179993</v>
          </cell>
          <cell r="U968">
            <v>0</v>
          </cell>
          <cell r="V968">
            <v>3.0265323792817065</v>
          </cell>
          <cell r="W968">
            <v>0</v>
          </cell>
        </row>
        <row r="969">
          <cell r="K969">
            <v>18</v>
          </cell>
          <cell r="Q969">
            <v>198.12350259998399</v>
          </cell>
          <cell r="R969">
            <v>30.747865779264668</v>
          </cell>
          <cell r="U969">
            <v>0</v>
          </cell>
          <cell r="V969">
            <v>2.1583310709625247</v>
          </cell>
          <cell r="W969">
            <v>0</v>
          </cell>
        </row>
        <row r="970">
          <cell r="Q970">
            <v>0</v>
          </cell>
          <cell r="R970">
            <v>0</v>
          </cell>
          <cell r="U970">
            <v>0</v>
          </cell>
          <cell r="V970">
            <v>0</v>
          </cell>
          <cell r="W970">
            <v>0</v>
          </cell>
        </row>
        <row r="971">
          <cell r="K971">
            <v>18</v>
          </cell>
          <cell r="Q971">
            <v>198.12350259998399</v>
          </cell>
          <cell r="R971">
            <v>30.747865779264668</v>
          </cell>
          <cell r="U971">
            <v>0</v>
          </cell>
          <cell r="V971">
            <v>2.1583310709625247</v>
          </cell>
          <cell r="W971">
            <v>0</v>
          </cell>
        </row>
        <row r="972">
          <cell r="K972">
            <v>18</v>
          </cell>
          <cell r="Q972">
            <v>198.12350259998399</v>
          </cell>
          <cell r="R972">
            <v>30.747865779264668</v>
          </cell>
          <cell r="U972">
            <v>0</v>
          </cell>
          <cell r="V972">
            <v>2.1583310709625247</v>
          </cell>
          <cell r="W972">
            <v>0</v>
          </cell>
        </row>
        <row r="973">
          <cell r="K973">
            <v>18</v>
          </cell>
          <cell r="Q973">
            <v>198.12350259998399</v>
          </cell>
          <cell r="R973">
            <v>30.747865779264668</v>
          </cell>
          <cell r="U973">
            <v>0</v>
          </cell>
          <cell r="V973">
            <v>2.1583310709625247</v>
          </cell>
          <cell r="W973">
            <v>0</v>
          </cell>
        </row>
        <row r="974">
          <cell r="K974">
            <v>18</v>
          </cell>
          <cell r="Q974">
            <v>198.12350259998399</v>
          </cell>
          <cell r="R974">
            <v>30.747865779264668</v>
          </cell>
          <cell r="U974">
            <v>0</v>
          </cell>
          <cell r="V974">
            <v>2.1583310709625247</v>
          </cell>
          <cell r="W974">
            <v>0</v>
          </cell>
        </row>
        <row r="975">
          <cell r="K975">
            <v>14</v>
          </cell>
          <cell r="Q975">
            <v>127.62348962015002</v>
          </cell>
          <cell r="R975">
            <v>19.806584668779561</v>
          </cell>
          <cell r="U975">
            <v>0</v>
          </cell>
          <cell r="V975">
            <v>1.3903133117325339</v>
          </cell>
          <cell r="W975">
            <v>0</v>
          </cell>
        </row>
        <row r="976">
          <cell r="K976">
            <v>30</v>
          </cell>
          <cell r="Q976">
            <v>273.47890632889295</v>
          </cell>
          <cell r="R976">
            <v>42.442681433099061</v>
          </cell>
          <cell r="U976">
            <v>0</v>
          </cell>
          <cell r="V976">
            <v>2.9792428108554301</v>
          </cell>
          <cell r="W976">
            <v>0</v>
          </cell>
        </row>
        <row r="977">
          <cell r="K977">
            <v>22</v>
          </cell>
          <cell r="Q977">
            <v>242.15094762220266</v>
          </cell>
          <cell r="R977">
            <v>37.58072484132348</v>
          </cell>
          <cell r="U977">
            <v>0</v>
          </cell>
          <cell r="V977">
            <v>2.6379601978430856</v>
          </cell>
          <cell r="W977">
            <v>0</v>
          </cell>
        </row>
        <row r="978">
          <cell r="K978">
            <v>14</v>
          </cell>
          <cell r="Q978">
            <v>154.09605757776535</v>
          </cell>
          <cell r="R978">
            <v>23.915006717205852</v>
          </cell>
          <cell r="U978">
            <v>0</v>
          </cell>
          <cell r="V978">
            <v>1.6787019440819637</v>
          </cell>
          <cell r="W978">
            <v>0</v>
          </cell>
        </row>
        <row r="979">
          <cell r="K979">
            <v>18</v>
          </cell>
          <cell r="Q979">
            <v>198.12350259998399</v>
          </cell>
          <cell r="R979">
            <v>30.747865779264668</v>
          </cell>
          <cell r="U979">
            <v>0</v>
          </cell>
          <cell r="V979">
            <v>2.1583310709625247</v>
          </cell>
          <cell r="W979">
            <v>0</v>
          </cell>
        </row>
        <row r="980">
          <cell r="K980">
            <v>18</v>
          </cell>
          <cell r="Q980">
            <v>198.12350259998399</v>
          </cell>
          <cell r="R980">
            <v>30.747865779264668</v>
          </cell>
          <cell r="U980">
            <v>0</v>
          </cell>
          <cell r="V980">
            <v>2.1583310709625247</v>
          </cell>
          <cell r="W980">
            <v>0</v>
          </cell>
        </row>
        <row r="981">
          <cell r="K981">
            <v>18</v>
          </cell>
          <cell r="Q981">
            <v>198.12350259998399</v>
          </cell>
          <cell r="R981">
            <v>30.747865779264668</v>
          </cell>
          <cell r="U981">
            <v>0</v>
          </cell>
          <cell r="V981">
            <v>2.1583310709625247</v>
          </cell>
          <cell r="W981">
            <v>0</v>
          </cell>
        </row>
        <row r="982">
          <cell r="K982">
            <v>18</v>
          </cell>
          <cell r="Q982">
            <v>198.12350259998399</v>
          </cell>
          <cell r="R982">
            <v>30.747865779264668</v>
          </cell>
          <cell r="U982">
            <v>0</v>
          </cell>
          <cell r="V982">
            <v>2.1583310709625247</v>
          </cell>
          <cell r="W982">
            <v>0</v>
          </cell>
        </row>
        <row r="983">
          <cell r="K983">
            <v>4</v>
          </cell>
          <cell r="Q983">
            <v>132.81162604852361</v>
          </cell>
          <cell r="R983">
            <v>20.611759826954646</v>
          </cell>
          <cell r="U983">
            <v>0</v>
          </cell>
          <cell r="V983">
            <v>1.4468321795437884</v>
          </cell>
          <cell r="W983">
            <v>0</v>
          </cell>
        </row>
        <row r="984">
          <cell r="K984">
            <v>12</v>
          </cell>
          <cell r="Q984">
            <v>645.4751947134539</v>
          </cell>
          <cell r="R984">
            <v>100.17481212698695</v>
          </cell>
          <cell r="U984">
            <v>0</v>
          </cell>
          <cell r="V984">
            <v>7.0317208710893526</v>
          </cell>
          <cell r="W984">
            <v>0</v>
          </cell>
        </row>
        <row r="985">
          <cell r="K985">
            <v>5</v>
          </cell>
          <cell r="Q985">
            <v>268.94799779727248</v>
          </cell>
          <cell r="R985">
            <v>41.739505052911227</v>
          </cell>
          <cell r="U985">
            <v>0</v>
          </cell>
          <cell r="V985">
            <v>2.9298836962872303</v>
          </cell>
          <cell r="W985">
            <v>0</v>
          </cell>
        </row>
        <row r="986">
          <cell r="K986">
            <v>20</v>
          </cell>
          <cell r="Q986">
            <v>181.79696537589311</v>
          </cell>
          <cell r="R986">
            <v>28.214061517687092</v>
          </cell>
          <cell r="U986">
            <v>0</v>
          </cell>
          <cell r="V986">
            <v>1.9804719471859371</v>
          </cell>
          <cell r="W986">
            <v>0</v>
          </cell>
        </row>
        <row r="987">
          <cell r="K987">
            <v>24</v>
          </cell>
          <cell r="Q987">
            <v>218.15635845107172</v>
          </cell>
          <cell r="R987">
            <v>33.856873821224511</v>
          </cell>
          <cell r="U987">
            <v>0</v>
          </cell>
          <cell r="V987">
            <v>2.3765663366231244</v>
          </cell>
          <cell r="W987">
            <v>0</v>
          </cell>
        </row>
        <row r="988">
          <cell r="K988">
            <v>12</v>
          </cell>
          <cell r="Q988">
            <v>132.08233506665601</v>
          </cell>
          <cell r="R988">
            <v>20.498577186176448</v>
          </cell>
          <cell r="U988">
            <v>0</v>
          </cell>
          <cell r="V988">
            <v>1.4388873806416833</v>
          </cell>
          <cell r="W988">
            <v>0</v>
          </cell>
        </row>
        <row r="989">
          <cell r="K989">
            <v>10.5</v>
          </cell>
          <cell r="Q989">
            <v>95.443406822343874</v>
          </cell>
          <cell r="R989">
            <v>14.812382296785723</v>
          </cell>
          <cell r="U989">
            <v>0</v>
          </cell>
          <cell r="V989">
            <v>1.0397477722726169</v>
          </cell>
          <cell r="W989">
            <v>0</v>
          </cell>
        </row>
        <row r="990">
          <cell r="K990">
            <v>34</v>
          </cell>
          <cell r="Q990">
            <v>309.05484113901827</v>
          </cell>
          <cell r="R990">
            <v>47.963904580068061</v>
          </cell>
          <cell r="U990">
            <v>0</v>
          </cell>
          <cell r="V990">
            <v>3.3668023102160931</v>
          </cell>
          <cell r="W990">
            <v>0</v>
          </cell>
        </row>
        <row r="991">
          <cell r="K991">
            <v>12</v>
          </cell>
          <cell r="Q991">
            <v>132.08233506665601</v>
          </cell>
          <cell r="R991">
            <v>20.498577186176448</v>
          </cell>
          <cell r="U991">
            <v>0</v>
          </cell>
          <cell r="V991">
            <v>1.4388873806416833</v>
          </cell>
          <cell r="W991">
            <v>0</v>
          </cell>
        </row>
        <row r="992">
          <cell r="K992">
            <v>12</v>
          </cell>
          <cell r="Q992">
            <v>132.08233506665601</v>
          </cell>
          <cell r="R992">
            <v>20.498577186176448</v>
          </cell>
          <cell r="U992">
            <v>0</v>
          </cell>
          <cell r="V992">
            <v>1.4388873806416833</v>
          </cell>
          <cell r="W992">
            <v>0</v>
          </cell>
        </row>
        <row r="993">
          <cell r="K993">
            <v>20</v>
          </cell>
          <cell r="Q993">
            <v>220.13722511109333</v>
          </cell>
          <cell r="R993">
            <v>34.164295310294072</v>
          </cell>
          <cell r="U993">
            <v>0</v>
          </cell>
          <cell r="V993">
            <v>2.3981456344028054</v>
          </cell>
          <cell r="W993">
            <v>0</v>
          </cell>
        </row>
        <row r="994">
          <cell r="K994">
            <v>17</v>
          </cell>
          <cell r="Q994">
            <v>187.11664134442935</v>
          </cell>
          <cell r="R994">
            <v>29.039651013749964</v>
          </cell>
          <cell r="U994">
            <v>0</v>
          </cell>
          <cell r="V994">
            <v>2.0384237892423847</v>
          </cell>
          <cell r="W994">
            <v>0</v>
          </cell>
        </row>
        <row r="995">
          <cell r="K995">
            <v>28</v>
          </cell>
          <cell r="Q995">
            <v>308.1921151555307</v>
          </cell>
          <cell r="R995">
            <v>47.830013434411704</v>
          </cell>
          <cell r="U995">
            <v>0</v>
          </cell>
          <cell r="V995">
            <v>3.3574038881639274</v>
          </cell>
          <cell r="W995">
            <v>0</v>
          </cell>
        </row>
        <row r="996">
          <cell r="Q996">
            <v>0</v>
          </cell>
          <cell r="R996">
            <v>0</v>
          </cell>
          <cell r="U996">
            <v>0</v>
          </cell>
          <cell r="V996">
            <v>0</v>
          </cell>
          <cell r="W996">
            <v>0</v>
          </cell>
        </row>
        <row r="997">
          <cell r="K997">
            <v>32</v>
          </cell>
          <cell r="Q997">
            <v>680.49558930858291</v>
          </cell>
          <cell r="R997">
            <v>105.60981796131242</v>
          </cell>
          <cell r="U997">
            <v>0</v>
          </cell>
          <cell r="V997">
            <v>7.4132283892793778</v>
          </cell>
          <cell r="W997">
            <v>0</v>
          </cell>
        </row>
        <row r="998">
          <cell r="K998">
            <v>16</v>
          </cell>
          <cell r="Q998">
            <v>145.43757230071446</v>
          </cell>
          <cell r="R998">
            <v>22.571249214149674</v>
          </cell>
          <cell r="U998">
            <v>0</v>
          </cell>
          <cell r="V998">
            <v>1.5843775577487496</v>
          </cell>
          <cell r="W998">
            <v>0</v>
          </cell>
        </row>
        <row r="999">
          <cell r="Q999">
            <v>0</v>
          </cell>
          <cell r="R999">
            <v>0</v>
          </cell>
          <cell r="U999">
            <v>0</v>
          </cell>
          <cell r="V999">
            <v>0</v>
          </cell>
          <cell r="W999">
            <v>0</v>
          </cell>
        </row>
        <row r="1000">
          <cell r="Q1000">
            <v>0</v>
          </cell>
          <cell r="R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K1001">
            <v>25</v>
          </cell>
          <cell r="Q1001">
            <v>227.24620671986636</v>
          </cell>
          <cell r="R1001">
            <v>35.267576897108867</v>
          </cell>
          <cell r="U1001">
            <v>0</v>
          </cell>
          <cell r="V1001">
            <v>2.4755899339824214</v>
          </cell>
          <cell r="W1001">
            <v>0</v>
          </cell>
        </row>
        <row r="1002">
          <cell r="K1002">
            <v>32</v>
          </cell>
          <cell r="Q1002">
            <v>352.21956017774937</v>
          </cell>
          <cell r="R1002">
            <v>54.662872496470527</v>
          </cell>
          <cell r="U1002">
            <v>0</v>
          </cell>
          <cell r="V1002">
            <v>3.8370330150444887</v>
          </cell>
          <cell r="W1002">
            <v>0</v>
          </cell>
        </row>
        <row r="1003">
          <cell r="K1003">
            <v>30</v>
          </cell>
          <cell r="Q1003">
            <v>330.20583766664004</v>
          </cell>
          <cell r="R1003">
            <v>51.246442965441112</v>
          </cell>
          <cell r="U1003">
            <v>0</v>
          </cell>
          <cell r="V1003">
            <v>3.5972184516042081</v>
          </cell>
          <cell r="W1003">
            <v>0</v>
          </cell>
        </row>
        <row r="1004">
          <cell r="K1004">
            <v>30</v>
          </cell>
          <cell r="Q1004">
            <v>330.20583766664004</v>
          </cell>
          <cell r="R1004">
            <v>51.246442965441112</v>
          </cell>
          <cell r="U1004">
            <v>0</v>
          </cell>
          <cell r="V1004">
            <v>3.5972184516042081</v>
          </cell>
          <cell r="W1004">
            <v>0</v>
          </cell>
        </row>
        <row r="1005">
          <cell r="K1005">
            <v>15</v>
          </cell>
          <cell r="Q1005">
            <v>498.04359768196349</v>
          </cell>
          <cell r="R1005">
            <v>77.294099351079922</v>
          </cell>
          <cell r="U1005">
            <v>0</v>
          </cell>
          <cell r="V1005">
            <v>5.4256206732892061</v>
          </cell>
          <cell r="W1005">
            <v>0</v>
          </cell>
        </row>
        <row r="1006">
          <cell r="K1006">
            <v>8</v>
          </cell>
          <cell r="Q1006">
            <v>170.12389732714573</v>
          </cell>
          <cell r="R1006">
            <v>26.402454490328104</v>
          </cell>
          <cell r="U1006">
            <v>0</v>
          </cell>
          <cell r="V1006">
            <v>1.8533070973198444</v>
          </cell>
          <cell r="W1006">
            <v>0</v>
          </cell>
        </row>
        <row r="1007">
          <cell r="K1007">
            <v>4</v>
          </cell>
          <cell r="Q1007">
            <v>36.359393075178616</v>
          </cell>
          <cell r="R1007">
            <v>5.6428123035374185</v>
          </cell>
          <cell r="U1007">
            <v>0</v>
          </cell>
          <cell r="V1007">
            <v>0.39609438943718739</v>
          </cell>
          <cell r="W1007">
            <v>0</v>
          </cell>
        </row>
        <row r="1008">
          <cell r="K1008">
            <v>32</v>
          </cell>
          <cell r="Q1008">
            <v>290.87514460142893</v>
          </cell>
          <cell r="R1008">
            <v>45.142498428299348</v>
          </cell>
          <cell r="U1008">
            <v>0</v>
          </cell>
          <cell r="V1008">
            <v>3.1687551154974991</v>
          </cell>
          <cell r="W1008">
            <v>0</v>
          </cell>
        </row>
        <row r="1009">
          <cell r="K1009">
            <v>4</v>
          </cell>
          <cell r="Q1009">
            <v>132.81162604852361</v>
          </cell>
          <cell r="R1009">
            <v>20.611759826954646</v>
          </cell>
          <cell r="U1009">
            <v>0</v>
          </cell>
          <cell r="V1009">
            <v>1.4468321795437884</v>
          </cell>
          <cell r="W1009">
            <v>0</v>
          </cell>
        </row>
        <row r="1010">
          <cell r="K1010">
            <v>20</v>
          </cell>
          <cell r="Q1010">
            <v>220.13722511109333</v>
          </cell>
          <cell r="R1010">
            <v>34.164295310294072</v>
          </cell>
          <cell r="U1010">
            <v>0</v>
          </cell>
          <cell r="V1010">
            <v>2.3981456344028054</v>
          </cell>
          <cell r="W1010">
            <v>0</v>
          </cell>
        </row>
        <row r="1011">
          <cell r="K1011">
            <v>20</v>
          </cell>
          <cell r="Q1011">
            <v>181.79696537589311</v>
          </cell>
          <cell r="R1011">
            <v>28.214061517687092</v>
          </cell>
          <cell r="U1011">
            <v>0</v>
          </cell>
          <cell r="V1011">
            <v>1.9804719471859371</v>
          </cell>
          <cell r="W1011">
            <v>0</v>
          </cell>
        </row>
        <row r="1012">
          <cell r="K1012">
            <v>18</v>
          </cell>
          <cell r="Q1012">
            <v>198.12350259998399</v>
          </cell>
          <cell r="R1012">
            <v>30.747865779264668</v>
          </cell>
          <cell r="U1012">
            <v>0</v>
          </cell>
          <cell r="V1012">
            <v>2.1583310709625247</v>
          </cell>
          <cell r="W1012">
            <v>0</v>
          </cell>
        </row>
        <row r="1013">
          <cell r="K1013">
            <v>18</v>
          </cell>
          <cell r="Q1013">
            <v>198.12350259998399</v>
          </cell>
          <cell r="R1013">
            <v>30.747865779264668</v>
          </cell>
          <cell r="U1013">
            <v>0</v>
          </cell>
          <cell r="V1013">
            <v>2.1583310709625247</v>
          </cell>
          <cell r="W1013">
            <v>0</v>
          </cell>
        </row>
        <row r="1014">
          <cell r="K1014">
            <v>14</v>
          </cell>
          <cell r="Q1014">
            <v>154.09605757776535</v>
          </cell>
          <cell r="R1014">
            <v>23.915006717205852</v>
          </cell>
          <cell r="U1014">
            <v>0</v>
          </cell>
          <cell r="V1014">
            <v>1.6787019440819637</v>
          </cell>
          <cell r="W1014">
            <v>0</v>
          </cell>
        </row>
        <row r="1015">
          <cell r="Q1015">
            <v>0</v>
          </cell>
          <cell r="R1015">
            <v>0</v>
          </cell>
          <cell r="U1015">
            <v>0</v>
          </cell>
          <cell r="V1015">
            <v>0</v>
          </cell>
          <cell r="W1015">
            <v>0</v>
          </cell>
        </row>
        <row r="1016">
          <cell r="K1016">
            <v>12</v>
          </cell>
          <cell r="Q1016">
            <v>132.08233506665601</v>
          </cell>
          <cell r="R1016">
            <v>20.498577186176448</v>
          </cell>
          <cell r="U1016">
            <v>0</v>
          </cell>
          <cell r="V1016">
            <v>1.4388873806416833</v>
          </cell>
          <cell r="W1016">
            <v>0</v>
          </cell>
        </row>
        <row r="1017">
          <cell r="K1017">
            <v>41</v>
          </cell>
          <cell r="Q1017">
            <v>372.68377902058086</v>
          </cell>
          <cell r="R1017">
            <v>57.838826111258534</v>
          </cell>
          <cell r="U1017">
            <v>0</v>
          </cell>
          <cell r="V1017">
            <v>4.0599674917311708</v>
          </cell>
          <cell r="W1017">
            <v>0</v>
          </cell>
        </row>
        <row r="1018">
          <cell r="K1018">
            <v>14</v>
          </cell>
          <cell r="Q1018">
            <v>154.09605757776535</v>
          </cell>
          <cell r="R1018">
            <v>23.915006717205852</v>
          </cell>
          <cell r="U1018">
            <v>0</v>
          </cell>
          <cell r="V1018">
            <v>1.6787019440819637</v>
          </cell>
          <cell r="W1018">
            <v>0</v>
          </cell>
        </row>
        <row r="1019">
          <cell r="K1019">
            <v>14</v>
          </cell>
          <cell r="Q1019">
            <v>154.09605757776535</v>
          </cell>
          <cell r="R1019">
            <v>23.915006717205852</v>
          </cell>
          <cell r="U1019">
            <v>0</v>
          </cell>
          <cell r="V1019">
            <v>1.6787019440819637</v>
          </cell>
          <cell r="W1019">
            <v>0</v>
          </cell>
        </row>
        <row r="1020">
          <cell r="K1020">
            <v>14</v>
          </cell>
          <cell r="Q1020">
            <v>154.09605757776535</v>
          </cell>
          <cell r="R1020">
            <v>23.915006717205852</v>
          </cell>
          <cell r="U1020">
            <v>0</v>
          </cell>
          <cell r="V1020">
            <v>1.6787019440819637</v>
          </cell>
          <cell r="W1020">
            <v>0</v>
          </cell>
        </row>
        <row r="1021">
          <cell r="K1021">
            <v>14</v>
          </cell>
          <cell r="Q1021">
            <v>154.09605757776535</v>
          </cell>
          <cell r="R1021">
            <v>23.915006717205852</v>
          </cell>
          <cell r="U1021">
            <v>0</v>
          </cell>
          <cell r="V1021">
            <v>1.6787019440819637</v>
          </cell>
          <cell r="W1021">
            <v>0</v>
          </cell>
        </row>
        <row r="1022">
          <cell r="K1022">
            <v>14</v>
          </cell>
          <cell r="Q1022">
            <v>154.09605757776535</v>
          </cell>
          <cell r="R1022">
            <v>23.915006717205852</v>
          </cell>
          <cell r="U1022">
            <v>0</v>
          </cell>
          <cell r="V1022">
            <v>1.6787019440819637</v>
          </cell>
          <cell r="W1022">
            <v>0</v>
          </cell>
        </row>
        <row r="1023">
          <cell r="K1023">
            <v>14</v>
          </cell>
          <cell r="Q1023">
            <v>154.09605757776535</v>
          </cell>
          <cell r="R1023">
            <v>23.915006717205852</v>
          </cell>
          <cell r="U1023">
            <v>0</v>
          </cell>
          <cell r="V1023">
            <v>1.6787019440819637</v>
          </cell>
          <cell r="W1023">
            <v>0</v>
          </cell>
        </row>
        <row r="1024">
          <cell r="K1024">
            <v>20</v>
          </cell>
          <cell r="Q1024">
            <v>220.13722511109333</v>
          </cell>
          <cell r="R1024">
            <v>34.164295310294072</v>
          </cell>
          <cell r="U1024">
            <v>0</v>
          </cell>
          <cell r="V1024">
            <v>2.3981456344028054</v>
          </cell>
          <cell r="W1024">
            <v>0</v>
          </cell>
        </row>
        <row r="1025">
          <cell r="K1025">
            <v>12</v>
          </cell>
          <cell r="Q1025">
            <v>132.08233506665601</v>
          </cell>
          <cell r="R1025">
            <v>20.498577186176448</v>
          </cell>
          <cell r="U1025">
            <v>0</v>
          </cell>
          <cell r="V1025">
            <v>1.4388873806416833</v>
          </cell>
          <cell r="W1025">
            <v>0</v>
          </cell>
        </row>
        <row r="1026">
          <cell r="K1026">
            <v>12</v>
          </cell>
          <cell r="Q1026">
            <v>132.08233506665601</v>
          </cell>
          <cell r="R1026">
            <v>20.498577186176448</v>
          </cell>
          <cell r="U1026">
            <v>0</v>
          </cell>
          <cell r="V1026">
            <v>1.4388873806416833</v>
          </cell>
          <cell r="W1026">
            <v>0</v>
          </cell>
        </row>
        <row r="1027">
          <cell r="K1027">
            <v>8</v>
          </cell>
          <cell r="Q1027">
            <v>430.31679647563595</v>
          </cell>
          <cell r="R1027">
            <v>66.783208084657971</v>
          </cell>
          <cell r="U1027">
            <v>0</v>
          </cell>
          <cell r="V1027">
            <v>4.6878139140595687</v>
          </cell>
          <cell r="W1027">
            <v>0</v>
          </cell>
        </row>
        <row r="1028">
          <cell r="K1028">
            <v>5</v>
          </cell>
          <cell r="Q1028">
            <v>268.94799779727248</v>
          </cell>
          <cell r="R1028">
            <v>41.739505052911227</v>
          </cell>
          <cell r="U1028">
            <v>0</v>
          </cell>
          <cell r="V1028">
            <v>2.9298836962872303</v>
          </cell>
          <cell r="W1028">
            <v>0</v>
          </cell>
        </row>
        <row r="1029">
          <cell r="K1029">
            <v>10.5</v>
          </cell>
          <cell r="Q1029">
            <v>95.443406822343874</v>
          </cell>
          <cell r="R1029">
            <v>14.812382296785723</v>
          </cell>
          <cell r="U1029">
            <v>0</v>
          </cell>
          <cell r="V1029">
            <v>1.0397477722726169</v>
          </cell>
          <cell r="W1029">
            <v>0</v>
          </cell>
        </row>
        <row r="1030">
          <cell r="K1030">
            <v>25</v>
          </cell>
          <cell r="Q1030">
            <v>227.24620671986636</v>
          </cell>
          <cell r="R1030">
            <v>35.267576897108867</v>
          </cell>
          <cell r="U1030">
            <v>0</v>
          </cell>
          <cell r="V1030">
            <v>2.4755899339824214</v>
          </cell>
          <cell r="W1030">
            <v>0</v>
          </cell>
        </row>
        <row r="1031">
          <cell r="K1031">
            <v>21</v>
          </cell>
          <cell r="Q1031">
            <v>231.144086366648</v>
          </cell>
          <cell r="R1031">
            <v>35.872510075808776</v>
          </cell>
          <cell r="U1031">
            <v>0</v>
          </cell>
          <cell r="V1031">
            <v>2.5180529161229455</v>
          </cell>
          <cell r="W1031">
            <v>0</v>
          </cell>
        </row>
        <row r="1032">
          <cell r="K1032">
            <v>21</v>
          </cell>
          <cell r="Q1032">
            <v>231.144086366648</v>
          </cell>
          <cell r="R1032">
            <v>35.872510075808776</v>
          </cell>
          <cell r="U1032">
            <v>0</v>
          </cell>
          <cell r="V1032">
            <v>2.5180529161229455</v>
          </cell>
          <cell r="W1032">
            <v>0</v>
          </cell>
        </row>
        <row r="1033">
          <cell r="K1033">
            <v>45</v>
          </cell>
          <cell r="Q1033">
            <v>496.23188648387838</v>
          </cell>
          <cell r="R1033">
            <v>77.012930019736217</v>
          </cell>
          <cell r="U1033">
            <v>0</v>
          </cell>
          <cell r="V1033">
            <v>5.4058841326005798</v>
          </cell>
          <cell r="W1033">
            <v>0</v>
          </cell>
        </row>
        <row r="1034">
          <cell r="K1034">
            <v>72</v>
          </cell>
          <cell r="Q1034">
            <v>1688.6659123103968</v>
          </cell>
          <cell r="R1034">
            <v>262.07326307254471</v>
          </cell>
          <cell r="U1034">
            <v>0</v>
          </cell>
          <cell r="V1034">
            <v>18.396101720317063</v>
          </cell>
          <cell r="W1034">
            <v>0</v>
          </cell>
        </row>
        <row r="1035">
          <cell r="K1035">
            <v>10</v>
          </cell>
          <cell r="Q1035">
            <v>234.53693226533289</v>
          </cell>
          <cell r="R1035">
            <v>36.399064315631207</v>
          </cell>
          <cell r="U1035">
            <v>0</v>
          </cell>
          <cell r="V1035">
            <v>2.5550141278218144</v>
          </cell>
          <cell r="W1035">
            <v>0</v>
          </cell>
        </row>
        <row r="1036">
          <cell r="K1036">
            <v>60</v>
          </cell>
          <cell r="Q1036">
            <v>661.64251531183788</v>
          </cell>
          <cell r="R1036">
            <v>102.68390669298161</v>
          </cell>
          <cell r="U1036">
            <v>0</v>
          </cell>
          <cell r="V1036">
            <v>7.2078455101341063</v>
          </cell>
          <cell r="W1036">
            <v>0</v>
          </cell>
        </row>
        <row r="1037">
          <cell r="K1037">
            <v>20</v>
          </cell>
          <cell r="Q1037">
            <v>181.79696537589311</v>
          </cell>
          <cell r="R1037">
            <v>28.214061517687092</v>
          </cell>
          <cell r="U1037">
            <v>0</v>
          </cell>
          <cell r="V1037">
            <v>1.9804719471859371</v>
          </cell>
          <cell r="W1037">
            <v>0</v>
          </cell>
        </row>
        <row r="1038">
          <cell r="K1038">
            <v>16</v>
          </cell>
          <cell r="Q1038">
            <v>176.10978008887469</v>
          </cell>
          <cell r="R1038">
            <v>27.331436248235264</v>
          </cell>
          <cell r="U1038">
            <v>0</v>
          </cell>
          <cell r="V1038">
            <v>1.9185165075222443</v>
          </cell>
          <cell r="W1038">
            <v>0</v>
          </cell>
        </row>
        <row r="1039">
          <cell r="K1039">
            <v>16</v>
          </cell>
          <cell r="Q1039">
            <v>176.10978008887469</v>
          </cell>
          <cell r="R1039">
            <v>27.331436248235264</v>
          </cell>
          <cell r="U1039">
            <v>0</v>
          </cell>
          <cell r="V1039">
            <v>1.9185165075222443</v>
          </cell>
          <cell r="W1039">
            <v>0</v>
          </cell>
        </row>
        <row r="1040">
          <cell r="K1040">
            <v>15</v>
          </cell>
          <cell r="Q1040">
            <v>165.10291883332002</v>
          </cell>
          <cell r="R1040">
            <v>25.623221482720556</v>
          </cell>
          <cell r="U1040">
            <v>0</v>
          </cell>
          <cell r="V1040">
            <v>1.798609225802104</v>
          </cell>
          <cell r="W1040">
            <v>0</v>
          </cell>
        </row>
        <row r="1041">
          <cell r="K1041">
            <v>22</v>
          </cell>
          <cell r="Q1041">
            <v>242.15094762220266</v>
          </cell>
          <cell r="R1041">
            <v>37.58072484132348</v>
          </cell>
          <cell r="U1041">
            <v>0</v>
          </cell>
          <cell r="V1041">
            <v>2.6379601978430856</v>
          </cell>
          <cell r="W1041">
            <v>0</v>
          </cell>
        </row>
        <row r="1042">
          <cell r="K1042">
            <v>14</v>
          </cell>
          <cell r="Q1042">
            <v>154.09605757776535</v>
          </cell>
          <cell r="R1042">
            <v>23.915006717205852</v>
          </cell>
          <cell r="U1042">
            <v>0</v>
          </cell>
          <cell r="V1042">
            <v>1.6787019440819637</v>
          </cell>
          <cell r="W1042">
            <v>0</v>
          </cell>
        </row>
        <row r="1043">
          <cell r="K1043">
            <v>15</v>
          </cell>
          <cell r="Q1043">
            <v>165.10291883332002</v>
          </cell>
          <cell r="R1043">
            <v>25.623221482720556</v>
          </cell>
          <cell r="U1043">
            <v>0</v>
          </cell>
          <cell r="V1043">
            <v>1.798609225802104</v>
          </cell>
          <cell r="W1043">
            <v>0</v>
          </cell>
        </row>
        <row r="1044">
          <cell r="K1044">
            <v>12</v>
          </cell>
          <cell r="Q1044">
            <v>208.36488101248986</v>
          </cell>
          <cell r="R1044">
            <v>32.337281091884996</v>
          </cell>
          <cell r="U1044">
            <v>0</v>
          </cell>
          <cell r="V1044">
            <v>2.26989928446128</v>
          </cell>
          <cell r="W1044">
            <v>0</v>
          </cell>
        </row>
        <row r="1045">
          <cell r="K1045">
            <v>8</v>
          </cell>
          <cell r="Q1045">
            <v>170.12389732714573</v>
          </cell>
          <cell r="R1045">
            <v>26.402454490328104</v>
          </cell>
          <cell r="U1045">
            <v>0</v>
          </cell>
          <cell r="V1045">
            <v>1.8533070973198444</v>
          </cell>
          <cell r="W1045">
            <v>0</v>
          </cell>
        </row>
        <row r="1046">
          <cell r="K1046">
            <v>4</v>
          </cell>
          <cell r="Q1046">
            <v>36.359393075178616</v>
          </cell>
          <cell r="R1046">
            <v>5.6428123035374185</v>
          </cell>
          <cell r="U1046">
            <v>0</v>
          </cell>
          <cell r="V1046">
            <v>0.39609438943718739</v>
          </cell>
          <cell r="W1046">
            <v>0</v>
          </cell>
        </row>
        <row r="1047">
          <cell r="K1047">
            <v>15</v>
          </cell>
          <cell r="Q1047">
            <v>136.34772403191982</v>
          </cell>
          <cell r="R1047">
            <v>21.160546138265317</v>
          </cell>
          <cell r="U1047">
            <v>0</v>
          </cell>
          <cell r="V1047">
            <v>1.4853539603894528</v>
          </cell>
          <cell r="W1047">
            <v>0</v>
          </cell>
        </row>
        <row r="1048">
          <cell r="K1048">
            <v>25</v>
          </cell>
          <cell r="Q1048">
            <v>275.1715313888667</v>
          </cell>
          <cell r="R1048">
            <v>42.705369137867599</v>
          </cell>
          <cell r="U1048">
            <v>0</v>
          </cell>
          <cell r="V1048">
            <v>2.9976820430035067</v>
          </cell>
          <cell r="W1048">
            <v>0</v>
          </cell>
        </row>
        <row r="1049">
          <cell r="K1049">
            <v>19.5</v>
          </cell>
          <cell r="Q1049">
            <v>214.63379448331602</v>
          </cell>
          <cell r="R1049">
            <v>33.310187927536724</v>
          </cell>
          <cell r="U1049">
            <v>0</v>
          </cell>
          <cell r="V1049">
            <v>2.3381919935427353</v>
          </cell>
          <cell r="W1049">
            <v>0</v>
          </cell>
        </row>
        <row r="1050">
          <cell r="K1050">
            <v>14</v>
          </cell>
          <cell r="Q1050">
            <v>154.09605757776535</v>
          </cell>
          <cell r="R1050">
            <v>23.915006717205852</v>
          </cell>
          <cell r="U1050">
            <v>0</v>
          </cell>
          <cell r="V1050">
            <v>1.6787019440819637</v>
          </cell>
          <cell r="W1050">
            <v>0</v>
          </cell>
        </row>
        <row r="1051">
          <cell r="K1051">
            <v>19.5</v>
          </cell>
          <cell r="Q1051">
            <v>214.63379448331602</v>
          </cell>
          <cell r="R1051">
            <v>33.310187927536724</v>
          </cell>
          <cell r="U1051">
            <v>0</v>
          </cell>
          <cell r="V1051">
            <v>2.3381919935427353</v>
          </cell>
          <cell r="W1051">
            <v>0</v>
          </cell>
        </row>
        <row r="1052">
          <cell r="K1052">
            <v>19.5</v>
          </cell>
          <cell r="Q1052">
            <v>214.63379448331602</v>
          </cell>
          <cell r="R1052">
            <v>33.310187927536724</v>
          </cell>
          <cell r="U1052">
            <v>0</v>
          </cell>
          <cell r="V1052">
            <v>2.3381919935427353</v>
          </cell>
          <cell r="W1052">
            <v>0</v>
          </cell>
        </row>
        <row r="1053">
          <cell r="K1053">
            <v>14</v>
          </cell>
          <cell r="Q1053">
            <v>154.09605757776535</v>
          </cell>
          <cell r="R1053">
            <v>23.915006717205852</v>
          </cell>
          <cell r="U1053">
            <v>0</v>
          </cell>
          <cell r="V1053">
            <v>1.6787019440819637</v>
          </cell>
          <cell r="W1053">
            <v>0</v>
          </cell>
        </row>
        <row r="1054">
          <cell r="K1054">
            <v>10</v>
          </cell>
          <cell r="Q1054">
            <v>110.06861255554666</v>
          </cell>
          <cell r="R1054">
            <v>17.082147655147036</v>
          </cell>
          <cell r="U1054">
            <v>0</v>
          </cell>
          <cell r="V1054">
            <v>1.1990728172014027</v>
          </cell>
          <cell r="W1054">
            <v>0</v>
          </cell>
        </row>
        <row r="1055">
          <cell r="K1055">
            <v>6</v>
          </cell>
          <cell r="Q1055">
            <v>66.041167533328007</v>
          </cell>
          <cell r="R1055">
            <v>10.249288593088224</v>
          </cell>
          <cell r="U1055">
            <v>0</v>
          </cell>
          <cell r="V1055">
            <v>0.71944369032084166</v>
          </cell>
          <cell r="W1055">
            <v>0</v>
          </cell>
        </row>
        <row r="1056">
          <cell r="K1056">
            <v>18</v>
          </cell>
          <cell r="Q1056">
            <v>198.12350259998399</v>
          </cell>
          <cell r="R1056">
            <v>30.747865779264668</v>
          </cell>
          <cell r="U1056">
            <v>0</v>
          </cell>
          <cell r="V1056">
            <v>2.1583310709625247</v>
          </cell>
          <cell r="W1056">
            <v>0</v>
          </cell>
        </row>
        <row r="1057">
          <cell r="K1057">
            <v>15.5</v>
          </cell>
          <cell r="Q1057">
            <v>170.60634946109732</v>
          </cell>
          <cell r="R1057">
            <v>26.477328865477908</v>
          </cell>
          <cell r="U1057">
            <v>0</v>
          </cell>
          <cell r="V1057">
            <v>1.8585628666621739</v>
          </cell>
          <cell r="W1057">
            <v>0</v>
          </cell>
        </row>
        <row r="1058">
          <cell r="K1058">
            <v>15.5</v>
          </cell>
          <cell r="Q1058">
            <v>170.60634946109732</v>
          </cell>
          <cell r="R1058">
            <v>26.477328865477908</v>
          </cell>
          <cell r="U1058">
            <v>0</v>
          </cell>
          <cell r="V1058">
            <v>1.8585628666621739</v>
          </cell>
          <cell r="W1058">
            <v>0</v>
          </cell>
        </row>
        <row r="1059">
          <cell r="K1059">
            <v>15.5</v>
          </cell>
          <cell r="Q1059">
            <v>170.60634946109732</v>
          </cell>
          <cell r="R1059">
            <v>26.477328865477908</v>
          </cell>
          <cell r="U1059">
            <v>0</v>
          </cell>
          <cell r="V1059">
            <v>1.8585628666621739</v>
          </cell>
          <cell r="W1059">
            <v>0</v>
          </cell>
        </row>
        <row r="1060">
          <cell r="K1060">
            <v>4</v>
          </cell>
          <cell r="Q1060">
            <v>132.81162604852361</v>
          </cell>
          <cell r="R1060">
            <v>20.611759826954646</v>
          </cell>
          <cell r="U1060">
            <v>0</v>
          </cell>
          <cell r="V1060">
            <v>1.4468321795437884</v>
          </cell>
          <cell r="W1060">
            <v>0</v>
          </cell>
        </row>
        <row r="1061">
          <cell r="Q1061">
            <v>0</v>
          </cell>
          <cell r="R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K1062">
            <v>8</v>
          </cell>
          <cell r="Q1062">
            <v>430.31679647563595</v>
          </cell>
          <cell r="R1062">
            <v>66.783208084657971</v>
          </cell>
          <cell r="U1062">
            <v>0</v>
          </cell>
          <cell r="V1062">
            <v>4.6878139140595687</v>
          </cell>
          <cell r="W1062">
            <v>0</v>
          </cell>
        </row>
        <row r="1063">
          <cell r="K1063">
            <v>5</v>
          </cell>
          <cell r="Q1063">
            <v>268.94799779727248</v>
          </cell>
          <cell r="R1063">
            <v>41.739505052911227</v>
          </cell>
          <cell r="U1063">
            <v>0</v>
          </cell>
          <cell r="V1063">
            <v>2.9298836962872303</v>
          </cell>
          <cell r="W1063">
            <v>0</v>
          </cell>
        </row>
        <row r="1064">
          <cell r="K1064">
            <v>23</v>
          </cell>
          <cell r="Q1064">
            <v>209.06651018227706</v>
          </cell>
          <cell r="R1064">
            <v>32.446170745340154</v>
          </cell>
          <cell r="U1064">
            <v>0</v>
          </cell>
          <cell r="V1064">
            <v>2.2775427392638274</v>
          </cell>
          <cell r="W1064">
            <v>0</v>
          </cell>
        </row>
        <row r="1065">
          <cell r="K1065">
            <v>12</v>
          </cell>
          <cell r="Q1065">
            <v>109.07817922553586</v>
          </cell>
          <cell r="R1065">
            <v>16.928436910612255</v>
          </cell>
          <cell r="U1065">
            <v>0</v>
          </cell>
          <cell r="V1065">
            <v>1.1882831683115622</v>
          </cell>
          <cell r="W1065">
            <v>0</v>
          </cell>
        </row>
        <row r="1066">
          <cell r="K1066">
            <v>20</v>
          </cell>
          <cell r="Q1066">
            <v>220.13722511109333</v>
          </cell>
          <cell r="R1066">
            <v>34.164295310294072</v>
          </cell>
          <cell r="U1066">
            <v>0</v>
          </cell>
          <cell r="V1066">
            <v>2.3981456344028054</v>
          </cell>
          <cell r="W1066">
            <v>0</v>
          </cell>
        </row>
        <row r="1067">
          <cell r="K1067">
            <v>20</v>
          </cell>
          <cell r="Q1067">
            <v>220.13722511109333</v>
          </cell>
          <cell r="R1067">
            <v>34.164295310294072</v>
          </cell>
          <cell r="U1067">
            <v>0</v>
          </cell>
          <cell r="V1067">
            <v>2.3981456344028054</v>
          </cell>
          <cell r="W1067">
            <v>0</v>
          </cell>
        </row>
        <row r="1068">
          <cell r="K1068">
            <v>10</v>
          </cell>
          <cell r="Q1068">
            <v>110.27375255197298</v>
          </cell>
          <cell r="R1068">
            <v>17.113984448830269</v>
          </cell>
          <cell r="U1068">
            <v>0</v>
          </cell>
          <cell r="V1068">
            <v>1.2013075850223509</v>
          </cell>
          <cell r="W1068">
            <v>0</v>
          </cell>
        </row>
        <row r="1069">
          <cell r="K1069">
            <v>15</v>
          </cell>
          <cell r="Q1069">
            <v>165.10291883332002</v>
          </cell>
          <cell r="R1069">
            <v>25.623221482720556</v>
          </cell>
          <cell r="U1069">
            <v>0</v>
          </cell>
          <cell r="V1069">
            <v>1.798609225802104</v>
          </cell>
          <cell r="W1069">
            <v>0</v>
          </cell>
        </row>
        <row r="1070">
          <cell r="K1070">
            <v>20</v>
          </cell>
          <cell r="Q1070">
            <v>220.13722511109333</v>
          </cell>
          <cell r="R1070">
            <v>34.164295310294072</v>
          </cell>
          <cell r="U1070">
            <v>0</v>
          </cell>
          <cell r="V1070">
            <v>2.3981456344028054</v>
          </cell>
          <cell r="W1070">
            <v>0</v>
          </cell>
        </row>
        <row r="1071">
          <cell r="K1071">
            <v>11</v>
          </cell>
          <cell r="Q1071">
            <v>121.07547381110133</v>
          </cell>
          <cell r="R1071">
            <v>18.79036242066174</v>
          </cell>
          <cell r="U1071">
            <v>0</v>
          </cell>
          <cell r="V1071">
            <v>1.3189800989215428</v>
          </cell>
          <cell r="W1071">
            <v>0</v>
          </cell>
        </row>
        <row r="1072">
          <cell r="Q1072">
            <v>0</v>
          </cell>
          <cell r="R1072">
            <v>0</v>
          </cell>
          <cell r="U1072">
            <v>0</v>
          </cell>
          <cell r="V1072">
            <v>0</v>
          </cell>
          <cell r="W1072">
            <v>2483.0537367522106</v>
          </cell>
        </row>
        <row r="1073">
          <cell r="K1073">
            <v>6.82</v>
          </cell>
          <cell r="Q1073">
            <v>241.4853640597039</v>
          </cell>
          <cell r="R1073">
            <v>37.477429302046055</v>
          </cell>
          <cell r="U1073">
            <v>0</v>
          </cell>
          <cell r="V1073">
            <v>2.6307094190893734</v>
          </cell>
          <cell r="W1073">
            <v>0</v>
          </cell>
        </row>
        <row r="1074">
          <cell r="K1074">
            <v>2.42</v>
          </cell>
          <cell r="Q1074">
            <v>8.9142286809507141</v>
          </cell>
          <cell r="R1074">
            <v>1.3834477152412619</v>
          </cell>
          <cell r="U1074">
            <v>0</v>
          </cell>
          <cell r="V1074">
            <v>9.7110420940855924E-2</v>
          </cell>
          <cell r="W1074">
            <v>0</v>
          </cell>
        </row>
        <row r="1075">
          <cell r="K1075">
            <v>3.24</v>
          </cell>
          <cell r="Q1075">
            <v>7.5879012544661126</v>
          </cell>
          <cell r="R1075">
            <v>1.1776077358661479</v>
          </cell>
          <cell r="U1075">
            <v>0</v>
          </cell>
          <cell r="V1075">
            <v>8.2661586464962147E-2</v>
          </cell>
          <cell r="W1075">
            <v>0</v>
          </cell>
        </row>
        <row r="1076">
          <cell r="K1076">
            <v>4.4000000000000004</v>
          </cell>
          <cell r="Q1076">
            <v>155.79700907077671</v>
          </cell>
          <cell r="R1076">
            <v>24.178986646481331</v>
          </cell>
          <cell r="U1076">
            <v>0</v>
          </cell>
          <cell r="V1076">
            <v>1.6972318832834667</v>
          </cell>
          <cell r="W1076">
            <v>0</v>
          </cell>
        </row>
        <row r="1077">
          <cell r="K1077">
            <v>4.41</v>
          </cell>
          <cell r="Q1077">
            <v>156.1510931823012</v>
          </cell>
          <cell r="R1077">
            <v>24.233938888859697</v>
          </cell>
          <cell r="U1077">
            <v>0</v>
          </cell>
          <cell r="V1077">
            <v>1.7010892284727472</v>
          </cell>
          <cell r="W1077">
            <v>0</v>
          </cell>
        </row>
        <row r="1078">
          <cell r="K1078">
            <v>39</v>
          </cell>
          <cell r="Q1078">
            <v>429.26758896663205</v>
          </cell>
          <cell r="R1078">
            <v>66.620375855073448</v>
          </cell>
          <cell r="U1078">
            <v>0</v>
          </cell>
          <cell r="V1078">
            <v>4.6763839870854707</v>
          </cell>
          <cell r="W1078">
            <v>0</v>
          </cell>
        </row>
        <row r="1079">
          <cell r="K1079">
            <v>20.46</v>
          </cell>
          <cell r="Q1079">
            <v>145.72874434815927</v>
          </cell>
          <cell r="R1079">
            <v>22.61643779054781</v>
          </cell>
          <cell r="U1079">
            <v>0</v>
          </cell>
          <cell r="V1079">
            <v>1.5875495472843106</v>
          </cell>
          <cell r="W1079">
            <v>0</v>
          </cell>
        </row>
        <row r="1080">
          <cell r="K1080">
            <v>31.32</v>
          </cell>
          <cell r="Q1080">
            <v>223.08036524850186</v>
          </cell>
          <cell r="R1080">
            <v>34.621057262950018</v>
          </cell>
          <cell r="U1080">
            <v>0</v>
          </cell>
          <cell r="V1080">
            <v>2.4302078113853671</v>
          </cell>
          <cell r="W1080">
            <v>0</v>
          </cell>
        </row>
        <row r="1081">
          <cell r="K1081">
            <v>16.64</v>
          </cell>
          <cell r="Q1081">
            <v>118.5203473095489</v>
          </cell>
          <cell r="R1081">
            <v>18.393818418119043</v>
          </cell>
          <cell r="U1081">
            <v>0</v>
          </cell>
          <cell r="V1081">
            <v>1.2911448908509742</v>
          </cell>
          <cell r="W1081">
            <v>0</v>
          </cell>
        </row>
        <row r="1082">
          <cell r="K1082">
            <v>17.5</v>
          </cell>
          <cell r="Q1082">
            <v>124.64579795174912</v>
          </cell>
          <cell r="R1082">
            <v>19.344460475786249</v>
          </cell>
          <cell r="U1082">
            <v>0</v>
          </cell>
          <cell r="V1082">
            <v>1.3578747349694738</v>
          </cell>
          <cell r="W1082">
            <v>0</v>
          </cell>
        </row>
        <row r="1083">
          <cell r="K1083">
            <v>8.64</v>
          </cell>
          <cell r="Q1083">
            <v>95.099281247992337</v>
          </cell>
          <cell r="R1083">
            <v>14.758975574047044</v>
          </cell>
          <cell r="U1083">
            <v>0</v>
          </cell>
          <cell r="V1083">
            <v>1.0359989140620121</v>
          </cell>
          <cell r="W1083">
            <v>0</v>
          </cell>
        </row>
        <row r="1084">
          <cell r="K1084">
            <v>9.25</v>
          </cell>
          <cell r="Q1084">
            <v>204.70487697509722</v>
          </cell>
          <cell r="R1084">
            <v>31.769265124993222</v>
          </cell>
          <cell r="U1084">
            <v>0</v>
          </cell>
          <cell r="V1084">
            <v>2.2300276875528504</v>
          </cell>
          <cell r="W1084">
            <v>0</v>
          </cell>
        </row>
        <row r="1085">
          <cell r="K1085">
            <v>15.99</v>
          </cell>
          <cell r="Q1085">
            <v>113.89064624276962</v>
          </cell>
          <cell r="R1085">
            <v>17.675309886161266</v>
          </cell>
          <cell r="U1085">
            <v>0</v>
          </cell>
          <cell r="V1085">
            <v>1.2407095435521078</v>
          </cell>
          <cell r="W1085">
            <v>0</v>
          </cell>
        </row>
        <row r="1086">
          <cell r="K1086">
            <v>7.6</v>
          </cell>
          <cell r="Q1086">
            <v>83.652145542215465</v>
          </cell>
          <cell r="R1086">
            <v>12.982432217911748</v>
          </cell>
          <cell r="U1086">
            <v>0</v>
          </cell>
          <cell r="V1086">
            <v>0.91129534107306587</v>
          </cell>
          <cell r="W1086">
            <v>0</v>
          </cell>
        </row>
        <row r="1087">
          <cell r="K1087">
            <v>91.3</v>
          </cell>
          <cell r="Q1087">
            <v>585.90803370743674</v>
          </cell>
          <cell r="R1087">
            <v>90.930259878368389</v>
          </cell>
          <cell r="U1087">
            <v>0</v>
          </cell>
          <cell r="V1087">
            <v>6.3828041463134371</v>
          </cell>
          <cell r="W1087">
            <v>0</v>
          </cell>
        </row>
        <row r="1088">
          <cell r="K1088">
            <v>8.4499999999999993</v>
          </cell>
          <cell r="Q1088">
            <v>109.46380764812054</v>
          </cell>
          <cell r="R1088">
            <v>16.98828468648286</v>
          </cell>
          <cell r="U1088">
            <v>0</v>
          </cell>
          <cell r="V1088">
            <v>1.1924841530276018</v>
          </cell>
          <cell r="W1088">
            <v>0</v>
          </cell>
        </row>
        <row r="1089">
          <cell r="K1089">
            <v>1.54</v>
          </cell>
          <cell r="Q1089">
            <v>23.856417013962687</v>
          </cell>
          <cell r="R1089">
            <v>3.7024073302424538</v>
          </cell>
          <cell r="U1089">
            <v>0</v>
          </cell>
          <cell r="V1089">
            <v>0.25988863212778085</v>
          </cell>
          <cell r="W1089">
            <v>0</v>
          </cell>
        </row>
        <row r="1090">
          <cell r="K1090">
            <v>2.08</v>
          </cell>
          <cell r="Q1090">
            <v>13.34817864306099</v>
          </cell>
          <cell r="R1090">
            <v>2.0715765667799153</v>
          </cell>
          <cell r="U1090">
            <v>0</v>
          </cell>
          <cell r="V1090">
            <v>0.14541328175610022</v>
          </cell>
          <cell r="W1090">
            <v>0</v>
          </cell>
        </row>
        <row r="1091">
          <cell r="K1091">
            <v>7.22</v>
          </cell>
          <cell r="Q1091">
            <v>16.908841684334977</v>
          </cell>
          <cell r="R1091">
            <v>2.6241752632572797</v>
          </cell>
          <cell r="U1091">
            <v>0</v>
          </cell>
          <cell r="V1091">
            <v>0.18420267107315635</v>
          </cell>
          <cell r="W1091">
            <v>0</v>
          </cell>
        </row>
        <row r="1092">
          <cell r="K1092">
            <v>7.82</v>
          </cell>
          <cell r="Q1092">
            <v>0</v>
          </cell>
          <cell r="R1092">
            <v>0</v>
          </cell>
          <cell r="U1092">
            <v>0</v>
          </cell>
          <cell r="V1092">
            <v>0</v>
          </cell>
          <cell r="W1092">
            <v>0</v>
          </cell>
        </row>
        <row r="1093">
          <cell r="K1093">
            <v>1.5</v>
          </cell>
          <cell r="Q1093">
            <v>0</v>
          </cell>
          <cell r="R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K1094">
            <v>6.3</v>
          </cell>
          <cell r="Q1094">
            <v>0</v>
          </cell>
          <cell r="R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K1095">
            <v>16.7</v>
          </cell>
          <cell r="Q1095">
            <v>0</v>
          </cell>
          <cell r="R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K1096">
            <v>20.79</v>
          </cell>
          <cell r="Q1096">
            <v>0</v>
          </cell>
          <cell r="R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K1097">
            <v>4.3499999999999996</v>
          </cell>
          <cell r="Q1097">
            <v>0</v>
          </cell>
          <cell r="R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K1098">
            <v>5.0999999999999996</v>
          </cell>
          <cell r="Q1098">
            <v>23.31295594934825</v>
          </cell>
          <cell r="R1098">
            <v>3.6180646467559856</v>
          </cell>
          <cell r="U1098">
            <v>0</v>
          </cell>
          <cell r="V1098">
            <v>0.25396823961390552</v>
          </cell>
          <cell r="W1098">
            <v>0</v>
          </cell>
        </row>
        <row r="1099">
          <cell r="K1099">
            <v>10</v>
          </cell>
          <cell r="Q1099">
            <v>90.898482687946554</v>
          </cell>
          <cell r="R1099">
            <v>14.107030758843546</v>
          </cell>
          <cell r="U1099">
            <v>0</v>
          </cell>
          <cell r="V1099">
            <v>0.99023597359296855</v>
          </cell>
          <cell r="W1099">
            <v>0</v>
          </cell>
        </row>
        <row r="1100">
          <cell r="K1100">
            <v>6</v>
          </cell>
          <cell r="Q1100">
            <v>322.73759735672695</v>
          </cell>
          <cell r="R1100">
            <v>50.087406063493475</v>
          </cell>
          <cell r="U1100">
            <v>0</v>
          </cell>
          <cell r="V1100">
            <v>3.5158604355446763</v>
          </cell>
          <cell r="W1100">
            <v>0</v>
          </cell>
        </row>
        <row r="1101">
          <cell r="K1101">
            <v>7</v>
          </cell>
          <cell r="Q1101">
            <v>376.52719691618148</v>
          </cell>
          <cell r="R1101">
            <v>58.435307074075723</v>
          </cell>
          <cell r="U1101">
            <v>0</v>
          </cell>
          <cell r="V1101">
            <v>4.1018371748021227</v>
          </cell>
          <cell r="W1101">
            <v>0</v>
          </cell>
        </row>
        <row r="1102">
          <cell r="K1102">
            <v>65</v>
          </cell>
          <cell r="Q1102">
            <v>590.84013747165261</v>
          </cell>
          <cell r="R1102">
            <v>91.695699932483052</v>
          </cell>
          <cell r="U1102">
            <v>0</v>
          </cell>
          <cell r="V1102">
            <v>6.4365338283542961</v>
          </cell>
          <cell r="W1102">
            <v>0</v>
          </cell>
        </row>
        <row r="1103">
          <cell r="K1103">
            <v>3</v>
          </cell>
          <cell r="Q1103">
            <v>57.173290521719778</v>
          </cell>
          <cell r="R1103">
            <v>8.8730344459440555</v>
          </cell>
          <cell r="U1103">
            <v>0</v>
          </cell>
          <cell r="V1103">
            <v>0.62283821829730246</v>
          </cell>
          <cell r="W1103">
            <v>0</v>
          </cell>
        </row>
        <row r="1104">
          <cell r="K1104">
            <v>10</v>
          </cell>
          <cell r="Q1104">
            <v>110.06861255554666</v>
          </cell>
          <cell r="R1104">
            <v>17.082147655147036</v>
          </cell>
          <cell r="U1104">
            <v>0</v>
          </cell>
          <cell r="V1104">
            <v>1.1990728172014027</v>
          </cell>
          <cell r="W1104">
            <v>0</v>
          </cell>
        </row>
        <row r="1105">
          <cell r="K1105">
            <v>10</v>
          </cell>
          <cell r="Q1105">
            <v>110.06861255554666</v>
          </cell>
          <cell r="R1105">
            <v>17.082147655147036</v>
          </cell>
          <cell r="U1105">
            <v>0</v>
          </cell>
          <cell r="V1105">
            <v>1.1990728172014027</v>
          </cell>
          <cell r="W1105">
            <v>0</v>
          </cell>
        </row>
        <row r="1106">
          <cell r="K1106">
            <v>18.5</v>
          </cell>
          <cell r="Q1106">
            <v>203.62693322776136</v>
          </cell>
          <cell r="R1106">
            <v>31.601973162022023</v>
          </cell>
          <cell r="U1106">
            <v>0</v>
          </cell>
          <cell r="V1106">
            <v>2.2182847118225952</v>
          </cell>
          <cell r="W1106">
            <v>0</v>
          </cell>
        </row>
        <row r="1107">
          <cell r="K1107">
            <v>17</v>
          </cell>
          <cell r="Q1107">
            <v>187.11664134442935</v>
          </cell>
          <cell r="R1107">
            <v>29.039651013749964</v>
          </cell>
          <cell r="U1107">
            <v>0</v>
          </cell>
          <cell r="V1107">
            <v>2.0384237892423847</v>
          </cell>
          <cell r="W1107">
            <v>0</v>
          </cell>
        </row>
        <row r="1108">
          <cell r="K1108">
            <v>19</v>
          </cell>
          <cell r="Q1108">
            <v>209.13036385553866</v>
          </cell>
          <cell r="R1108">
            <v>32.456080544779375</v>
          </cell>
          <cell r="U1108">
            <v>0</v>
          </cell>
          <cell r="V1108">
            <v>2.2782383526826648</v>
          </cell>
          <cell r="W1108">
            <v>0</v>
          </cell>
        </row>
        <row r="1109">
          <cell r="K1109">
            <v>34.5</v>
          </cell>
          <cell r="Q1109">
            <v>565.6693418120683</v>
          </cell>
          <cell r="R1109">
            <v>87.789307019266616</v>
          </cell>
          <cell r="U1109">
            <v>0</v>
          </cell>
          <cell r="V1109">
            <v>6.1623265301791932</v>
          </cell>
          <cell r="W1109">
            <v>0</v>
          </cell>
        </row>
        <row r="1110">
          <cell r="K1110">
            <v>37</v>
          </cell>
          <cell r="Q1110">
            <v>606.6598738274356</v>
          </cell>
          <cell r="R1110">
            <v>94.150851006169987</v>
          </cell>
          <cell r="U1110">
            <v>0</v>
          </cell>
          <cell r="V1110">
            <v>6.6088719309168162</v>
          </cell>
          <cell r="W1110">
            <v>0</v>
          </cell>
        </row>
        <row r="1111">
          <cell r="K1111">
            <v>12.5</v>
          </cell>
          <cell r="Q1111">
            <v>137.58576569443335</v>
          </cell>
          <cell r="R1111">
            <v>21.3526845689338</v>
          </cell>
          <cell r="U1111">
            <v>0</v>
          </cell>
          <cell r="V1111">
            <v>1.4988410215017534</v>
          </cell>
          <cell r="W1111">
            <v>0</v>
          </cell>
        </row>
        <row r="1112">
          <cell r="K1112">
            <v>10.5</v>
          </cell>
          <cell r="Q1112">
            <v>115.572043183324</v>
          </cell>
          <cell r="R1112">
            <v>17.936255037904388</v>
          </cell>
          <cell r="U1112">
            <v>0</v>
          </cell>
          <cell r="V1112">
            <v>1.2590264580614727</v>
          </cell>
          <cell r="W1112">
            <v>0</v>
          </cell>
        </row>
        <row r="1113">
          <cell r="K1113">
            <v>11</v>
          </cell>
          <cell r="Q1113">
            <v>121.07547381110133</v>
          </cell>
          <cell r="R1113">
            <v>18.79036242066174</v>
          </cell>
          <cell r="U1113">
            <v>0</v>
          </cell>
          <cell r="V1113">
            <v>1.3189800989215428</v>
          </cell>
          <cell r="W1113">
            <v>0</v>
          </cell>
        </row>
        <row r="1114">
          <cell r="K1114">
            <v>10</v>
          </cell>
          <cell r="Q1114">
            <v>110.06861255554666</v>
          </cell>
          <cell r="R1114">
            <v>17.082147655147036</v>
          </cell>
          <cell r="U1114">
            <v>0</v>
          </cell>
          <cell r="V1114">
            <v>1.1990728172014027</v>
          </cell>
          <cell r="W1114">
            <v>0</v>
          </cell>
        </row>
        <row r="1115">
          <cell r="K1115">
            <v>89.9</v>
          </cell>
          <cell r="Q1115">
            <v>0</v>
          </cell>
          <cell r="R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K1116">
            <v>77.8</v>
          </cell>
          <cell r="Q1116">
            <v>0</v>
          </cell>
          <cell r="R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K1117">
            <v>12.5</v>
          </cell>
          <cell r="Q1117">
            <v>0</v>
          </cell>
          <cell r="R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K1118">
            <v>25.5</v>
          </cell>
          <cell r="Q1118">
            <v>0</v>
          </cell>
          <cell r="R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K1119">
            <v>25.9</v>
          </cell>
          <cell r="Q1119">
            <v>0</v>
          </cell>
          <cell r="R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K1120">
            <v>14.2</v>
          </cell>
          <cell r="Q1120">
            <v>0</v>
          </cell>
          <cell r="R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K1121">
            <v>14.5</v>
          </cell>
          <cell r="Q1121">
            <v>0</v>
          </cell>
          <cell r="R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K1122">
            <v>22.4</v>
          </cell>
          <cell r="Q1122">
            <v>0</v>
          </cell>
          <cell r="R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K1123">
            <v>14.1</v>
          </cell>
          <cell r="Q1123">
            <v>0</v>
          </cell>
          <cell r="R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K1124">
            <v>13.6</v>
          </cell>
          <cell r="Q1124">
            <v>0</v>
          </cell>
          <cell r="R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K1125">
            <v>53.5</v>
          </cell>
          <cell r="Q1125">
            <v>0</v>
          </cell>
          <cell r="R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K1126">
            <v>11.7</v>
          </cell>
          <cell r="Q1126">
            <v>0</v>
          </cell>
          <cell r="R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K1127">
            <v>21.3</v>
          </cell>
          <cell r="Q1127">
            <v>0</v>
          </cell>
          <cell r="R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K1128">
            <v>14.2</v>
          </cell>
          <cell r="Q1128">
            <v>0</v>
          </cell>
          <cell r="R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K1129">
            <v>14.2</v>
          </cell>
          <cell r="Q1129">
            <v>0</v>
          </cell>
          <cell r="R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K1130">
            <v>5.6</v>
          </cell>
          <cell r="Q1130">
            <v>0</v>
          </cell>
          <cell r="R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K1131">
            <v>21.3</v>
          </cell>
          <cell r="Q1131">
            <v>0</v>
          </cell>
          <cell r="R1131">
            <v>0</v>
          </cell>
          <cell r="U1131">
            <v>0</v>
          </cell>
          <cell r="V1131">
            <v>0</v>
          </cell>
          <cell r="W1131">
            <v>0</v>
          </cell>
        </row>
        <row r="1132">
          <cell r="K1132">
            <v>21.3</v>
          </cell>
          <cell r="Q1132">
            <v>0</v>
          </cell>
          <cell r="R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K1133">
            <v>21.3</v>
          </cell>
          <cell r="Q1133">
            <v>0</v>
          </cell>
          <cell r="R1133">
            <v>0</v>
          </cell>
          <cell r="U1133">
            <v>0</v>
          </cell>
          <cell r="V1133">
            <v>0</v>
          </cell>
          <cell r="W1133">
            <v>0</v>
          </cell>
        </row>
        <row r="1134">
          <cell r="K1134">
            <v>21.3</v>
          </cell>
          <cell r="Q1134">
            <v>0</v>
          </cell>
          <cell r="R1134">
            <v>0</v>
          </cell>
          <cell r="U1134">
            <v>0</v>
          </cell>
          <cell r="V1134">
            <v>0</v>
          </cell>
          <cell r="W1134">
            <v>0</v>
          </cell>
        </row>
        <row r="1135">
          <cell r="K1135">
            <v>14.2</v>
          </cell>
          <cell r="Q1135">
            <v>0</v>
          </cell>
          <cell r="R1135">
            <v>0</v>
          </cell>
          <cell r="U1135">
            <v>0</v>
          </cell>
          <cell r="V1135">
            <v>0</v>
          </cell>
          <cell r="W1135">
            <v>0</v>
          </cell>
        </row>
        <row r="1136">
          <cell r="K1136">
            <v>14.2</v>
          </cell>
          <cell r="Q1136">
            <v>0</v>
          </cell>
          <cell r="R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K1137">
            <v>26.8</v>
          </cell>
          <cell r="Q1137">
            <v>0</v>
          </cell>
          <cell r="R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K1138">
            <v>54.9</v>
          </cell>
          <cell r="Q1138">
            <v>0</v>
          </cell>
          <cell r="R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K1139">
            <v>12.8</v>
          </cell>
          <cell r="Q1139">
            <v>0</v>
          </cell>
          <cell r="R1139">
            <v>0</v>
          </cell>
          <cell r="U1139">
            <v>0</v>
          </cell>
          <cell r="V1139">
            <v>0</v>
          </cell>
          <cell r="W1139">
            <v>0</v>
          </cell>
        </row>
        <row r="1140">
          <cell r="K1140">
            <v>3.6</v>
          </cell>
          <cell r="Q1140">
            <v>0</v>
          </cell>
          <cell r="R1140">
            <v>0</v>
          </cell>
          <cell r="U1140">
            <v>0</v>
          </cell>
          <cell r="V1140">
            <v>0</v>
          </cell>
          <cell r="W1140">
            <v>0</v>
          </cell>
        </row>
        <row r="1141">
          <cell r="K1141">
            <v>4.0999999999999996</v>
          </cell>
          <cell r="Q1141">
            <v>0</v>
          </cell>
          <cell r="R1141">
            <v>0</v>
          </cell>
          <cell r="U1141">
            <v>0</v>
          </cell>
          <cell r="V1141">
            <v>0</v>
          </cell>
          <cell r="W1141">
            <v>0</v>
          </cell>
        </row>
        <row r="1142">
          <cell r="K1142">
            <v>3.9</v>
          </cell>
          <cell r="Q1142">
            <v>0</v>
          </cell>
          <cell r="R1142">
            <v>0</v>
          </cell>
          <cell r="U1142">
            <v>0</v>
          </cell>
          <cell r="V1142">
            <v>0</v>
          </cell>
          <cell r="W1142">
            <v>0</v>
          </cell>
        </row>
        <row r="1143">
          <cell r="K1143">
            <v>3.9</v>
          </cell>
          <cell r="Q1143">
            <v>0</v>
          </cell>
          <cell r="R1143">
            <v>0</v>
          </cell>
          <cell r="U1143">
            <v>0</v>
          </cell>
          <cell r="V1143">
            <v>0</v>
          </cell>
          <cell r="W1143">
            <v>0</v>
          </cell>
        </row>
        <row r="1144">
          <cell r="K1144">
            <v>1.3</v>
          </cell>
          <cell r="Q1144">
            <v>0</v>
          </cell>
          <cell r="R1144">
            <v>0</v>
          </cell>
          <cell r="U1144">
            <v>0</v>
          </cell>
          <cell r="V1144">
            <v>0</v>
          </cell>
          <cell r="W1144">
            <v>0</v>
          </cell>
        </row>
        <row r="1145">
          <cell r="K1145">
            <v>29.5</v>
          </cell>
          <cell r="Q1145">
            <v>0</v>
          </cell>
          <cell r="R1145">
            <v>0</v>
          </cell>
          <cell r="U1145">
            <v>0</v>
          </cell>
          <cell r="V1145">
            <v>0</v>
          </cell>
          <cell r="W1145">
            <v>0</v>
          </cell>
        </row>
        <row r="1146">
          <cell r="K1146">
            <v>3.9</v>
          </cell>
          <cell r="Q1146">
            <v>0</v>
          </cell>
          <cell r="R1146">
            <v>0</v>
          </cell>
          <cell r="U1146">
            <v>0</v>
          </cell>
          <cell r="V1146">
            <v>0</v>
          </cell>
          <cell r="W1146">
            <v>0</v>
          </cell>
        </row>
        <row r="1147">
          <cell r="K1147">
            <v>1</v>
          </cell>
          <cell r="Q1147">
            <v>0</v>
          </cell>
          <cell r="R1147">
            <v>0</v>
          </cell>
          <cell r="U1147">
            <v>0</v>
          </cell>
          <cell r="V1147">
            <v>0</v>
          </cell>
          <cell r="W1147">
            <v>0</v>
          </cell>
        </row>
        <row r="1148">
          <cell r="K1148">
            <v>77.7</v>
          </cell>
          <cell r="Q1148">
            <v>0</v>
          </cell>
          <cell r="R1148">
            <v>0</v>
          </cell>
          <cell r="U1148">
            <v>0</v>
          </cell>
          <cell r="V1148">
            <v>0</v>
          </cell>
          <cell r="W1148">
            <v>0</v>
          </cell>
        </row>
        <row r="1149">
          <cell r="K1149">
            <v>4</v>
          </cell>
          <cell r="Q1149">
            <v>0</v>
          </cell>
          <cell r="R1149">
            <v>0</v>
          </cell>
          <cell r="U1149">
            <v>0</v>
          </cell>
          <cell r="V1149">
            <v>0</v>
          </cell>
          <cell r="W1149">
            <v>0</v>
          </cell>
        </row>
        <row r="1150">
          <cell r="K1150">
            <v>1.35</v>
          </cell>
          <cell r="Q1150">
            <v>0</v>
          </cell>
          <cell r="R1150">
            <v>0</v>
          </cell>
          <cell r="U1150">
            <v>0</v>
          </cell>
          <cell r="V1150">
            <v>0</v>
          </cell>
          <cell r="W1150">
            <v>0</v>
          </cell>
        </row>
        <row r="1151">
          <cell r="K1151">
            <v>4</v>
          </cell>
          <cell r="Q1151">
            <v>0</v>
          </cell>
          <cell r="R1151">
            <v>0</v>
          </cell>
          <cell r="U1151">
            <v>0</v>
          </cell>
          <cell r="V1151">
            <v>0</v>
          </cell>
          <cell r="W1151">
            <v>0</v>
          </cell>
        </row>
        <row r="1152">
          <cell r="K1152">
            <v>3.9</v>
          </cell>
          <cell r="Q1152">
            <v>0</v>
          </cell>
          <cell r="R1152">
            <v>0</v>
          </cell>
          <cell r="U1152">
            <v>0</v>
          </cell>
          <cell r="V1152">
            <v>0</v>
          </cell>
          <cell r="W1152">
            <v>0</v>
          </cell>
        </row>
        <row r="1153">
          <cell r="K1153">
            <v>7.1</v>
          </cell>
          <cell r="Q1153">
            <v>0</v>
          </cell>
          <cell r="R1153">
            <v>0</v>
          </cell>
          <cell r="U1153">
            <v>0</v>
          </cell>
          <cell r="V1153">
            <v>0</v>
          </cell>
          <cell r="W1153">
            <v>0</v>
          </cell>
        </row>
        <row r="1154">
          <cell r="K1154">
            <v>11.2</v>
          </cell>
          <cell r="Q1154">
            <v>0</v>
          </cell>
          <cell r="R1154">
            <v>0</v>
          </cell>
          <cell r="U1154">
            <v>0</v>
          </cell>
          <cell r="V1154">
            <v>0</v>
          </cell>
          <cell r="W1154">
            <v>0</v>
          </cell>
        </row>
        <row r="1155">
          <cell r="K1155">
            <v>11.2</v>
          </cell>
          <cell r="Q1155">
            <v>0</v>
          </cell>
          <cell r="R1155">
            <v>0</v>
          </cell>
          <cell r="U1155">
            <v>0</v>
          </cell>
          <cell r="V1155">
            <v>0</v>
          </cell>
          <cell r="W1155">
            <v>0</v>
          </cell>
        </row>
        <row r="1156">
          <cell r="K1156">
            <v>9.6</v>
          </cell>
          <cell r="Q1156">
            <v>0</v>
          </cell>
          <cell r="R1156">
            <v>0</v>
          </cell>
          <cell r="U1156">
            <v>0</v>
          </cell>
          <cell r="V1156">
            <v>0</v>
          </cell>
          <cell r="W1156">
            <v>0</v>
          </cell>
        </row>
        <row r="1157">
          <cell r="K1157">
            <v>36</v>
          </cell>
          <cell r="Q1157">
            <v>0</v>
          </cell>
          <cell r="R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K1158">
            <v>26.3</v>
          </cell>
          <cell r="Q1158">
            <v>0</v>
          </cell>
          <cell r="R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K1159">
            <v>14.4</v>
          </cell>
          <cell r="Q1159">
            <v>0</v>
          </cell>
          <cell r="R1159">
            <v>0</v>
          </cell>
          <cell r="U1159">
            <v>0</v>
          </cell>
          <cell r="V1159">
            <v>0</v>
          </cell>
          <cell r="W1159">
            <v>0</v>
          </cell>
        </row>
        <row r="1160">
          <cell r="K1160">
            <v>25.1</v>
          </cell>
          <cell r="Q1160">
            <v>0</v>
          </cell>
          <cell r="R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K1161">
            <v>6</v>
          </cell>
          <cell r="Q1161">
            <v>0</v>
          </cell>
          <cell r="R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K1162">
            <v>7.1</v>
          </cell>
          <cell r="Q1162">
            <v>0</v>
          </cell>
          <cell r="R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K1163">
            <v>74.400000000000006</v>
          </cell>
          <cell r="Q1163">
            <v>0</v>
          </cell>
          <cell r="R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K1164">
            <v>4.5999999999999996</v>
          </cell>
          <cell r="Q1164">
            <v>0</v>
          </cell>
          <cell r="R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K1165">
            <v>1.5</v>
          </cell>
          <cell r="Q1165">
            <v>0</v>
          </cell>
          <cell r="R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K1166">
            <v>3.5</v>
          </cell>
          <cell r="Q1166">
            <v>0</v>
          </cell>
          <cell r="R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K1167">
            <v>22.2</v>
          </cell>
          <cell r="Q1167">
            <v>0</v>
          </cell>
          <cell r="R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K1168">
            <v>10.9</v>
          </cell>
          <cell r="Q1168">
            <v>0</v>
          </cell>
          <cell r="R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K1169">
            <v>27.8</v>
          </cell>
          <cell r="Q1169">
            <v>0</v>
          </cell>
          <cell r="R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K1170">
            <v>8.6</v>
          </cell>
          <cell r="Q1170">
            <v>0</v>
          </cell>
          <cell r="R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K1171">
            <v>18.399999999999999</v>
          </cell>
          <cell r="Q1171">
            <v>0</v>
          </cell>
          <cell r="R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K1172">
            <v>27.1</v>
          </cell>
          <cell r="Q1172">
            <v>0</v>
          </cell>
          <cell r="R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K1173">
            <v>37.700000000000003</v>
          </cell>
          <cell r="Q1173">
            <v>0</v>
          </cell>
          <cell r="R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K1174">
            <v>17.5</v>
          </cell>
          <cell r="Q1174">
            <v>0</v>
          </cell>
          <cell r="R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K1175">
            <v>13</v>
          </cell>
          <cell r="Q1175">
            <v>0</v>
          </cell>
          <cell r="R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K1176">
            <v>11.8</v>
          </cell>
          <cell r="Q1176">
            <v>0</v>
          </cell>
          <cell r="R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K1177">
            <v>3.1</v>
          </cell>
          <cell r="Q1177">
            <v>0</v>
          </cell>
          <cell r="R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K1178">
            <v>21.1</v>
          </cell>
          <cell r="Q1178">
            <v>267.41127594297296</v>
          </cell>
          <cell r="R1178">
            <v>41.501012816018651</v>
          </cell>
          <cell r="U1178">
            <v>0</v>
          </cell>
          <cell r="V1178">
            <v>2.913142852914103</v>
          </cell>
          <cell r="W1178">
            <v>0</v>
          </cell>
        </row>
        <row r="1179">
          <cell r="K1179">
            <v>15.5</v>
          </cell>
          <cell r="Q1179">
            <v>0</v>
          </cell>
          <cell r="R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K1180">
            <v>6.6</v>
          </cell>
          <cell r="Q1180">
            <v>408.76717678333085</v>
          </cell>
          <cell r="R1180">
            <v>63.438805198590423</v>
          </cell>
          <cell r="U1180">
            <v>0</v>
          </cell>
          <cell r="V1180">
            <v>4.4530552249643369</v>
          </cell>
          <cell r="W1180">
            <v>0</v>
          </cell>
        </row>
        <row r="1181">
          <cell r="K1181">
            <v>14.6</v>
          </cell>
          <cell r="Q1181">
            <v>0</v>
          </cell>
          <cell r="R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K1182">
            <v>5</v>
          </cell>
          <cell r="Q1182">
            <v>52.331165468277717</v>
          </cell>
          <cell r="R1182">
            <v>8.1215586781738178</v>
          </cell>
          <cell r="U1182">
            <v>0</v>
          </cell>
          <cell r="V1182">
            <v>0.57008875235720802</v>
          </cell>
          <cell r="W1182">
            <v>0</v>
          </cell>
        </row>
        <row r="1183">
          <cell r="K1183">
            <v>6.4</v>
          </cell>
          <cell r="Q1183">
            <v>66.983891799395479</v>
          </cell>
          <cell r="R1183">
            <v>10.395595108062489</v>
          </cell>
          <cell r="U1183">
            <v>0</v>
          </cell>
          <cell r="V1183">
            <v>0.72971360301722621</v>
          </cell>
          <cell r="W1183">
            <v>0</v>
          </cell>
        </row>
        <row r="1184">
          <cell r="K1184">
            <v>1.7</v>
          </cell>
          <cell r="Q1184">
            <v>105.28851523207007</v>
          </cell>
          <cell r="R1184">
            <v>16.340298308727839</v>
          </cell>
          <cell r="U1184">
            <v>0</v>
          </cell>
          <cell r="V1184">
            <v>1.1469990730968747</v>
          </cell>
          <cell r="W1184">
            <v>0</v>
          </cell>
        </row>
        <row r="1185">
          <cell r="K1185">
            <v>0.3</v>
          </cell>
          <cell r="Q1185">
            <v>0</v>
          </cell>
          <cell r="R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K1186">
            <v>3.4</v>
          </cell>
          <cell r="Q1186">
            <v>35.58519251842884</v>
          </cell>
          <cell r="R1186">
            <v>5.522659901158196</v>
          </cell>
          <cell r="U1186">
            <v>0</v>
          </cell>
          <cell r="V1186">
            <v>0.38766035160290141</v>
          </cell>
          <cell r="W1186">
            <v>0</v>
          </cell>
        </row>
        <row r="1187">
          <cell r="K1187">
            <v>3.8</v>
          </cell>
          <cell r="Q1187">
            <v>123.8694112666473</v>
          </cell>
          <cell r="R1187">
            <v>19.223968796237674</v>
          </cell>
          <cell r="U1187">
            <v>0</v>
          </cell>
          <cell r="V1187">
            <v>1.3494168817438517</v>
          </cell>
          <cell r="W1187">
            <v>0</v>
          </cell>
        </row>
        <row r="1188">
          <cell r="K1188">
            <v>35.299999999999997</v>
          </cell>
          <cell r="Q1188">
            <v>1056.7122945058204</v>
          </cell>
          <cell r="R1188">
            <v>163.99693813391318</v>
          </cell>
          <cell r="U1188">
            <v>0</v>
          </cell>
          <cell r="V1188">
            <v>11.511683108615697</v>
          </cell>
          <cell r="W1188">
            <v>0</v>
          </cell>
        </row>
        <row r="1189">
          <cell r="K1189">
            <v>17.3</v>
          </cell>
          <cell r="Q1189">
            <v>661.38748766022138</v>
          </cell>
          <cell r="R1189">
            <v>102.64432756229291</v>
          </cell>
          <cell r="U1189">
            <v>0</v>
          </cell>
          <cell r="V1189">
            <v>7.2050672728365868</v>
          </cell>
          <cell r="W1189">
            <v>0</v>
          </cell>
        </row>
        <row r="1190">
          <cell r="K1190">
            <v>30.6</v>
          </cell>
          <cell r="Q1190">
            <v>320.26673266585965</v>
          </cell>
          <cell r="R1190">
            <v>49.703939110423775</v>
          </cell>
          <cell r="U1190">
            <v>0</v>
          </cell>
          <cell r="V1190">
            <v>3.4889431644261131</v>
          </cell>
          <cell r="W1190">
            <v>0</v>
          </cell>
        </row>
        <row r="1191">
          <cell r="K1191">
            <v>35.299999999999997</v>
          </cell>
          <cell r="Q1191">
            <v>1056.7122945058204</v>
          </cell>
          <cell r="R1191">
            <v>163.99693813391318</v>
          </cell>
          <cell r="U1191">
            <v>0</v>
          </cell>
          <cell r="V1191">
            <v>11.511683108615697</v>
          </cell>
          <cell r="W1191">
            <v>0</v>
          </cell>
        </row>
        <row r="1192">
          <cell r="K1192">
            <v>14.6</v>
          </cell>
          <cell r="Q1192">
            <v>0</v>
          </cell>
          <cell r="R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K1193">
            <v>3.8</v>
          </cell>
          <cell r="Q1193">
            <v>123.8694112666473</v>
          </cell>
          <cell r="R1193">
            <v>19.223968796237674</v>
          </cell>
          <cell r="U1193">
            <v>0</v>
          </cell>
          <cell r="V1193">
            <v>1.3494168817438517</v>
          </cell>
          <cell r="W1193">
            <v>0</v>
          </cell>
        </row>
        <row r="1194">
          <cell r="K1194">
            <v>6.6</v>
          </cell>
          <cell r="Q1194">
            <v>408.76717678333085</v>
          </cell>
          <cell r="R1194">
            <v>63.438805198590423</v>
          </cell>
          <cell r="U1194">
            <v>0</v>
          </cell>
          <cell r="V1194">
            <v>4.4530552249643369</v>
          </cell>
          <cell r="W1194">
            <v>0</v>
          </cell>
        </row>
        <row r="1195">
          <cell r="K1195">
            <v>5</v>
          </cell>
          <cell r="Q1195">
            <v>52.331165468277717</v>
          </cell>
          <cell r="R1195">
            <v>8.1215586781738178</v>
          </cell>
          <cell r="U1195">
            <v>0</v>
          </cell>
          <cell r="V1195">
            <v>0.57008875235720802</v>
          </cell>
          <cell r="W1195">
            <v>0</v>
          </cell>
        </row>
        <row r="1196">
          <cell r="K1196">
            <v>15.5</v>
          </cell>
          <cell r="Q1196">
            <v>0</v>
          </cell>
          <cell r="R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K1197">
            <v>4.0999999999999996</v>
          </cell>
          <cell r="Q1197">
            <v>253.93112497146305</v>
          </cell>
          <cell r="R1197">
            <v>39.408954744578899</v>
          </cell>
          <cell r="U1197">
            <v>0</v>
          </cell>
          <cell r="V1197">
            <v>2.7662918821748148</v>
          </cell>
          <cell r="W1197">
            <v>0</v>
          </cell>
        </row>
        <row r="1198">
          <cell r="K1198">
            <v>16.600000000000001</v>
          </cell>
          <cell r="Q1198">
            <v>0</v>
          </cell>
          <cell r="R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K1199">
            <v>6.4</v>
          </cell>
          <cell r="Q1199">
            <v>66.983891799395479</v>
          </cell>
          <cell r="R1199">
            <v>10.395595108062489</v>
          </cell>
          <cell r="U1199">
            <v>0</v>
          </cell>
          <cell r="V1199">
            <v>0.72971360301722621</v>
          </cell>
          <cell r="W1199">
            <v>0</v>
          </cell>
        </row>
        <row r="1200">
          <cell r="K1200">
            <v>1.7</v>
          </cell>
          <cell r="Q1200">
            <v>105.28851523207007</v>
          </cell>
          <cell r="R1200">
            <v>16.340298308727839</v>
          </cell>
          <cell r="U1200">
            <v>0</v>
          </cell>
          <cell r="V1200">
            <v>1.1469990730968747</v>
          </cell>
          <cell r="W1200">
            <v>0</v>
          </cell>
        </row>
        <row r="1201">
          <cell r="K1201">
            <v>3.4</v>
          </cell>
          <cell r="Q1201">
            <v>35.58519251842884</v>
          </cell>
          <cell r="R1201">
            <v>5.522659901158196</v>
          </cell>
          <cell r="U1201">
            <v>0</v>
          </cell>
          <cell r="V1201">
            <v>0.38766035160290141</v>
          </cell>
          <cell r="W1201">
            <v>0</v>
          </cell>
        </row>
        <row r="1202">
          <cell r="K1202">
            <v>9.9</v>
          </cell>
          <cell r="Q1202">
            <v>378.4818571003579</v>
          </cell>
          <cell r="R1202">
            <v>58.738661437381495</v>
          </cell>
          <cell r="U1202">
            <v>0</v>
          </cell>
          <cell r="V1202">
            <v>4.1231309827215146</v>
          </cell>
          <cell r="W1202">
            <v>0</v>
          </cell>
        </row>
        <row r="1203">
          <cell r="K1203">
            <v>0.3</v>
          </cell>
          <cell r="Q1203">
            <v>0</v>
          </cell>
          <cell r="R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K1204">
            <v>12.9</v>
          </cell>
          <cell r="Q1204">
            <v>135.0144069081565</v>
          </cell>
          <cell r="R1204">
            <v>20.953621389688454</v>
          </cell>
          <cell r="U1204">
            <v>0</v>
          </cell>
          <cell r="V1204">
            <v>1.4708289810815967</v>
          </cell>
          <cell r="W1204">
            <v>0</v>
          </cell>
        </row>
        <row r="1205">
          <cell r="K1205">
            <v>14.2</v>
          </cell>
          <cell r="Q1205">
            <v>38.29118207602675</v>
          </cell>
          <cell r="R1205">
            <v>5.9426171632963571</v>
          </cell>
          <cell r="U1205">
            <v>0</v>
          </cell>
          <cell r="V1205">
            <v>0.41713904172910837</v>
          </cell>
          <cell r="W1205">
            <v>0</v>
          </cell>
        </row>
        <row r="1206">
          <cell r="K1206">
            <v>1.2</v>
          </cell>
          <cell r="Q1206">
            <v>74.321304869696519</v>
          </cell>
          <cell r="R1206">
            <v>11.534328217925532</v>
          </cell>
          <cell r="U1206">
            <v>0</v>
          </cell>
          <cell r="V1206">
            <v>0.80964640453897041</v>
          </cell>
          <cell r="W1206">
            <v>0</v>
          </cell>
        </row>
        <row r="1207">
          <cell r="K1207">
            <v>7.3</v>
          </cell>
          <cell r="Q1207">
            <v>76.403501583685468</v>
          </cell>
          <cell r="R1207">
            <v>11.857475670133775</v>
          </cell>
          <cell r="U1207">
            <v>0</v>
          </cell>
          <cell r="V1207">
            <v>0.83232957844152367</v>
          </cell>
          <cell r="W1207">
            <v>0</v>
          </cell>
        </row>
        <row r="1208">
          <cell r="K1208">
            <v>9.9</v>
          </cell>
          <cell r="Q1208">
            <v>26.695964968497528</v>
          </cell>
          <cell r="R1208">
            <v>4.1430922476502783</v>
          </cell>
          <cell r="U1208">
            <v>0</v>
          </cell>
          <cell r="V1208">
            <v>0.29082228965620943</v>
          </cell>
          <cell r="W1208">
            <v>0</v>
          </cell>
        </row>
        <row r="1209">
          <cell r="K1209">
            <v>17.899999999999999</v>
          </cell>
          <cell r="Q1209">
            <v>535.8399453726397</v>
          </cell>
          <cell r="R1209">
            <v>83.159920470171258</v>
          </cell>
          <cell r="U1209">
            <v>0</v>
          </cell>
          <cell r="V1209">
            <v>5.8373690550770814</v>
          </cell>
          <cell r="W1209">
            <v>0</v>
          </cell>
        </row>
        <row r="1210">
          <cell r="K1210">
            <v>2.9</v>
          </cell>
          <cell r="Q1210">
            <v>94.531919124546633</v>
          </cell>
          <cell r="R1210">
            <v>14.670923555023487</v>
          </cell>
          <cell r="U1210">
            <v>0</v>
          </cell>
          <cell r="V1210">
            <v>1.0298181465939922</v>
          </cell>
          <cell r="W1210">
            <v>0</v>
          </cell>
        </row>
        <row r="1211">
          <cell r="K1211">
            <v>6.2</v>
          </cell>
          <cell r="Q1211">
            <v>64.890645180664364</v>
          </cell>
          <cell r="R1211">
            <v>10.070732760935536</v>
          </cell>
          <cell r="U1211">
            <v>0</v>
          </cell>
          <cell r="V1211">
            <v>0.70691005292293785</v>
          </cell>
          <cell r="W1211">
            <v>0</v>
          </cell>
        </row>
        <row r="1212">
          <cell r="K1212">
            <v>3.2</v>
          </cell>
          <cell r="Q1212">
            <v>8.6289987776961699</v>
          </cell>
          <cell r="R1212">
            <v>1.3391813325738273</v>
          </cell>
          <cell r="U1212">
            <v>0</v>
          </cell>
          <cell r="V1212">
            <v>9.4003164333320205E-2</v>
          </cell>
          <cell r="W1212">
            <v>0</v>
          </cell>
        </row>
        <row r="1213">
          <cell r="K1213">
            <v>3.6</v>
          </cell>
          <cell r="Q1213">
            <v>222.96391460908956</v>
          </cell>
          <cell r="R1213">
            <v>34.602984653776595</v>
          </cell>
          <cell r="U1213">
            <v>0</v>
          </cell>
          <cell r="V1213">
            <v>2.428939213616911</v>
          </cell>
          <cell r="W1213">
            <v>0</v>
          </cell>
        </row>
        <row r="1214">
          <cell r="K1214">
            <v>1.4</v>
          </cell>
          <cell r="Q1214">
            <v>86.708189014645939</v>
          </cell>
          <cell r="R1214">
            <v>13.456716254246455</v>
          </cell>
          <cell r="U1214">
            <v>0</v>
          </cell>
          <cell r="V1214">
            <v>0.94458747196213211</v>
          </cell>
          <cell r="W1214">
            <v>0</v>
          </cell>
        </row>
        <row r="1215">
          <cell r="K1215">
            <v>7.3</v>
          </cell>
          <cell r="Q1215">
            <v>76.403501583685468</v>
          </cell>
          <cell r="R1215">
            <v>11.857475670133775</v>
          </cell>
          <cell r="U1215">
            <v>0</v>
          </cell>
          <cell r="V1215">
            <v>0.83232957844152367</v>
          </cell>
          <cell r="W1215">
            <v>0</v>
          </cell>
        </row>
        <row r="1216">
          <cell r="K1216">
            <v>18</v>
          </cell>
          <cell r="Q1216">
            <v>688.14883109155983</v>
          </cell>
          <cell r="R1216">
            <v>106.79756624978455</v>
          </cell>
          <cell r="U1216">
            <v>0</v>
          </cell>
          <cell r="V1216">
            <v>7.4966017867663908</v>
          </cell>
          <cell r="W1216">
            <v>0</v>
          </cell>
        </row>
        <row r="1217">
          <cell r="K1217">
            <v>9.9</v>
          </cell>
          <cell r="Q1217">
            <v>26.695964968497528</v>
          </cell>
          <cell r="R1217">
            <v>4.1430922476502783</v>
          </cell>
          <cell r="U1217">
            <v>0</v>
          </cell>
          <cell r="V1217">
            <v>0.29082228965620943</v>
          </cell>
          <cell r="W1217">
            <v>0</v>
          </cell>
        </row>
        <row r="1218">
          <cell r="K1218">
            <v>12.9</v>
          </cell>
          <cell r="Q1218">
            <v>135.0144069081565</v>
          </cell>
          <cell r="R1218">
            <v>20.953621389688454</v>
          </cell>
          <cell r="U1218">
            <v>0</v>
          </cell>
          <cell r="V1218">
            <v>1.4708289810815967</v>
          </cell>
          <cell r="W1218">
            <v>0</v>
          </cell>
        </row>
        <row r="1219">
          <cell r="K1219">
            <v>20.2</v>
          </cell>
          <cell r="Q1219">
            <v>0</v>
          </cell>
          <cell r="R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K1220">
            <v>14.4</v>
          </cell>
          <cell r="Q1220">
            <v>0</v>
          </cell>
          <cell r="R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K1221">
            <v>14.2</v>
          </cell>
          <cell r="Q1221">
            <v>0</v>
          </cell>
          <cell r="R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K1222">
            <v>12.3</v>
          </cell>
          <cell r="Q1222">
            <v>0</v>
          </cell>
          <cell r="R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K1223">
            <v>13</v>
          </cell>
          <cell r="Q1223">
            <v>0</v>
          </cell>
          <cell r="R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K1224">
            <v>13</v>
          </cell>
          <cell r="Q1224">
            <v>0</v>
          </cell>
          <cell r="R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K1225">
            <v>12.4</v>
          </cell>
          <cell r="Q1225">
            <v>0</v>
          </cell>
          <cell r="R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K1226">
            <v>14.2</v>
          </cell>
          <cell r="Q1226">
            <v>0</v>
          </cell>
          <cell r="R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K1227">
            <v>14.4</v>
          </cell>
          <cell r="Q1227">
            <v>0</v>
          </cell>
          <cell r="R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K1228">
            <v>20.2</v>
          </cell>
          <cell r="Q1228">
            <v>0</v>
          </cell>
          <cell r="R1228">
            <v>0</v>
          </cell>
          <cell r="U1228">
            <v>0</v>
          </cell>
          <cell r="V1228">
            <v>0</v>
          </cell>
          <cell r="W1228">
            <v>0</v>
          </cell>
        </row>
        <row r="1229">
          <cell r="K1229">
            <v>5.6</v>
          </cell>
          <cell r="Q1229">
            <v>0</v>
          </cell>
          <cell r="R1229">
            <v>0</v>
          </cell>
          <cell r="U1229">
            <v>0</v>
          </cell>
          <cell r="V1229">
            <v>0</v>
          </cell>
          <cell r="W1229">
            <v>0</v>
          </cell>
        </row>
        <row r="1230">
          <cell r="K1230">
            <v>25.3</v>
          </cell>
          <cell r="Q1230">
            <v>0</v>
          </cell>
          <cell r="R1230">
            <v>0</v>
          </cell>
          <cell r="U1230">
            <v>0</v>
          </cell>
          <cell r="V1230">
            <v>0</v>
          </cell>
          <cell r="W1230">
            <v>0</v>
          </cell>
        </row>
        <row r="1231">
          <cell r="K1231">
            <v>14.2</v>
          </cell>
          <cell r="Q1231">
            <v>0</v>
          </cell>
          <cell r="R1231">
            <v>0</v>
          </cell>
          <cell r="U1231">
            <v>0</v>
          </cell>
          <cell r="V1231">
            <v>0</v>
          </cell>
          <cell r="W1231">
            <v>0</v>
          </cell>
        </row>
        <row r="1232">
          <cell r="K1232">
            <v>11.7</v>
          </cell>
          <cell r="Q1232">
            <v>122.45492719576983</v>
          </cell>
          <cell r="R1232">
            <v>19.004447306926732</v>
          </cell>
          <cell r="U1232">
            <v>0</v>
          </cell>
          <cell r="V1232">
            <v>1.3340076805158663</v>
          </cell>
          <cell r="W1232">
            <v>0</v>
          </cell>
        </row>
        <row r="1233">
          <cell r="K1233">
            <v>1.2</v>
          </cell>
          <cell r="Q1233">
            <v>74.321304869696519</v>
          </cell>
          <cell r="R1233">
            <v>11.534328217925532</v>
          </cell>
          <cell r="U1233">
            <v>0</v>
          </cell>
          <cell r="V1233">
            <v>0.80964640453897041</v>
          </cell>
          <cell r="W1233">
            <v>0</v>
          </cell>
        </row>
        <row r="1234">
          <cell r="K1234">
            <v>2</v>
          </cell>
          <cell r="Q1234">
            <v>123.8688414494942</v>
          </cell>
          <cell r="R1234">
            <v>19.223880363209222</v>
          </cell>
          <cell r="U1234">
            <v>0</v>
          </cell>
          <cell r="V1234">
            <v>1.3494106742316172</v>
          </cell>
          <cell r="W1234">
            <v>0</v>
          </cell>
        </row>
        <row r="1235">
          <cell r="K1235">
            <v>25.6</v>
          </cell>
          <cell r="Q1235">
            <v>267.93556719758192</v>
          </cell>
          <cell r="R1235">
            <v>41.582380432249956</v>
          </cell>
          <cell r="U1235">
            <v>0</v>
          </cell>
          <cell r="V1235">
            <v>2.9188544120689048</v>
          </cell>
          <cell r="W1235">
            <v>0</v>
          </cell>
        </row>
        <row r="1236">
          <cell r="K1236">
            <v>1.4</v>
          </cell>
          <cell r="Q1236">
            <v>86.708189014645939</v>
          </cell>
          <cell r="R1236">
            <v>13.456716254246455</v>
          </cell>
          <cell r="U1236">
            <v>0</v>
          </cell>
          <cell r="V1236">
            <v>0.94458747196213211</v>
          </cell>
          <cell r="W1236">
            <v>0</v>
          </cell>
        </row>
        <row r="1237">
          <cell r="K1237">
            <v>14.9</v>
          </cell>
          <cell r="Q1237">
            <v>0</v>
          </cell>
          <cell r="R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K1238">
            <v>0.7</v>
          </cell>
          <cell r="Q1238">
            <v>1.887593482621037</v>
          </cell>
          <cell r="R1238">
            <v>0.29294591650052471</v>
          </cell>
          <cell r="U1238">
            <v>0</v>
          </cell>
          <cell r="V1238">
            <v>2.0563192197913794E-2</v>
          </cell>
          <cell r="W1238">
            <v>0</v>
          </cell>
        </row>
        <row r="1239">
          <cell r="K1239">
            <v>14.9</v>
          </cell>
          <cell r="Q1239">
            <v>0</v>
          </cell>
          <cell r="R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K1240">
            <v>1.4</v>
          </cell>
          <cell r="Q1240">
            <v>86.708189014645939</v>
          </cell>
          <cell r="R1240">
            <v>13.456716254246455</v>
          </cell>
          <cell r="U1240">
            <v>0</v>
          </cell>
          <cell r="V1240">
            <v>0.94458747196213211</v>
          </cell>
          <cell r="W1240">
            <v>0</v>
          </cell>
        </row>
        <row r="1241">
          <cell r="K1241">
            <v>2</v>
          </cell>
          <cell r="Q1241">
            <v>123.8688414494942</v>
          </cell>
          <cell r="R1241">
            <v>19.223880363209222</v>
          </cell>
          <cell r="U1241">
            <v>0</v>
          </cell>
          <cell r="V1241">
            <v>1.3494106742316172</v>
          </cell>
          <cell r="W1241">
            <v>0</v>
          </cell>
        </row>
        <row r="1242">
          <cell r="K1242">
            <v>14.2</v>
          </cell>
          <cell r="Q1242">
            <v>0</v>
          </cell>
          <cell r="R1242">
            <v>0</v>
          </cell>
          <cell r="U1242">
            <v>0</v>
          </cell>
          <cell r="V1242">
            <v>0</v>
          </cell>
          <cell r="W1242">
            <v>0</v>
          </cell>
        </row>
        <row r="1243">
          <cell r="K1243">
            <v>1.2</v>
          </cell>
          <cell r="Q1243">
            <v>74.321304869696519</v>
          </cell>
          <cell r="R1243">
            <v>11.534328217925532</v>
          </cell>
          <cell r="U1243">
            <v>0</v>
          </cell>
          <cell r="V1243">
            <v>0.80964640453897041</v>
          </cell>
          <cell r="W1243">
            <v>0</v>
          </cell>
        </row>
        <row r="1244">
          <cell r="K1244">
            <v>11.7</v>
          </cell>
          <cell r="Q1244">
            <v>122.45492719576983</v>
          </cell>
          <cell r="R1244">
            <v>19.004447306926732</v>
          </cell>
          <cell r="U1244">
            <v>0</v>
          </cell>
          <cell r="V1244">
            <v>1.3340076805158663</v>
          </cell>
          <cell r="W1244">
            <v>0</v>
          </cell>
        </row>
        <row r="1245">
          <cell r="K1245">
            <v>25.3</v>
          </cell>
          <cell r="Q1245">
            <v>0</v>
          </cell>
          <cell r="R1245">
            <v>0</v>
          </cell>
          <cell r="U1245">
            <v>0</v>
          </cell>
          <cell r="V1245">
            <v>0</v>
          </cell>
          <cell r="W1245">
            <v>0</v>
          </cell>
        </row>
        <row r="1246">
          <cell r="K1246">
            <v>5.6</v>
          </cell>
          <cell r="Q1246">
            <v>0</v>
          </cell>
          <cell r="R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K1247">
            <v>26</v>
          </cell>
          <cell r="Q1247">
            <v>0</v>
          </cell>
          <cell r="R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K1248">
            <v>0.7</v>
          </cell>
          <cell r="Q1248">
            <v>1.887593482621037</v>
          </cell>
          <cell r="R1248">
            <v>0.29294591650052471</v>
          </cell>
          <cell r="U1248">
            <v>0</v>
          </cell>
          <cell r="V1248">
            <v>2.0563192197913794E-2</v>
          </cell>
          <cell r="W1248">
            <v>0</v>
          </cell>
        </row>
        <row r="1249">
          <cell r="K1249">
            <v>4.4000000000000004</v>
          </cell>
          <cell r="Q1249">
            <v>272.51145118888729</v>
          </cell>
          <cell r="R1249">
            <v>42.292536799060294</v>
          </cell>
          <cell r="U1249">
            <v>0</v>
          </cell>
          <cell r="V1249">
            <v>2.9687034833095582</v>
          </cell>
          <cell r="W1249">
            <v>0</v>
          </cell>
        </row>
        <row r="1250">
          <cell r="K1250">
            <v>26</v>
          </cell>
          <cell r="Q1250">
            <v>0</v>
          </cell>
          <cell r="R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K1251">
            <v>8.1</v>
          </cell>
          <cell r="Q1251">
            <v>84.776488058609885</v>
          </cell>
          <cell r="R1251">
            <v>13.156925058641583</v>
          </cell>
          <cell r="U1251">
            <v>0</v>
          </cell>
          <cell r="V1251">
            <v>0.92354377881867677</v>
          </cell>
          <cell r="W1251">
            <v>0</v>
          </cell>
        </row>
        <row r="1252">
          <cell r="K1252">
            <v>26</v>
          </cell>
          <cell r="Q1252">
            <v>0</v>
          </cell>
          <cell r="R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K1253">
            <v>8.1</v>
          </cell>
          <cell r="Q1253">
            <v>84.776488058609885</v>
          </cell>
          <cell r="R1253">
            <v>13.156925058641583</v>
          </cell>
          <cell r="U1253">
            <v>0</v>
          </cell>
          <cell r="V1253">
            <v>0.92354377881867677</v>
          </cell>
          <cell r="W1253">
            <v>0</v>
          </cell>
        </row>
        <row r="1254">
          <cell r="K1254">
            <v>26</v>
          </cell>
          <cell r="Q1254">
            <v>0</v>
          </cell>
          <cell r="R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K1255">
            <v>4.4000000000000004</v>
          </cell>
          <cell r="Q1255">
            <v>0</v>
          </cell>
          <cell r="R1255">
            <v>0</v>
          </cell>
          <cell r="U1255">
            <v>0</v>
          </cell>
          <cell r="V1255">
            <v>0</v>
          </cell>
          <cell r="W1255">
            <v>0</v>
          </cell>
        </row>
        <row r="1256">
          <cell r="K1256">
            <v>49.5</v>
          </cell>
          <cell r="Q1256">
            <v>133.47982484248763</v>
          </cell>
          <cell r="R1256">
            <v>20.71546123825139</v>
          </cell>
          <cell r="U1256">
            <v>0</v>
          </cell>
          <cell r="V1256">
            <v>1.4541114482810469</v>
          </cell>
          <cell r="W1256">
            <v>0</v>
          </cell>
        </row>
        <row r="1257">
          <cell r="K1257">
            <v>14.1</v>
          </cell>
          <cell r="Q1257">
            <v>0</v>
          </cell>
          <cell r="R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K1258">
            <v>6.6</v>
          </cell>
          <cell r="Q1258">
            <v>0</v>
          </cell>
          <cell r="R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K1259">
            <v>45.6</v>
          </cell>
          <cell r="Q1259">
            <v>414.49708105703627</v>
          </cell>
          <cell r="R1259">
            <v>64.328060260326566</v>
          </cell>
          <cell r="U1259">
            <v>0</v>
          </cell>
          <cell r="V1259">
            <v>4.5154760395839366</v>
          </cell>
          <cell r="W1259">
            <v>0</v>
          </cell>
        </row>
        <row r="1260">
          <cell r="K1260">
            <v>30.8</v>
          </cell>
          <cell r="Q1260">
            <v>339.01132667108374</v>
          </cell>
          <cell r="R1260">
            <v>52.613014777852875</v>
          </cell>
          <cell r="U1260">
            <v>0</v>
          </cell>
          <cell r="V1260">
            <v>3.6931442769803202</v>
          </cell>
          <cell r="W1260">
            <v>0</v>
          </cell>
        </row>
        <row r="1261">
          <cell r="K1261">
            <v>25.3</v>
          </cell>
          <cell r="Q1261">
            <v>278.47358976553312</v>
          </cell>
          <cell r="R1261">
            <v>43.217833567522014</v>
          </cell>
          <cell r="U1261">
            <v>0</v>
          </cell>
          <cell r="V1261">
            <v>3.0336542275195488</v>
          </cell>
          <cell r="W1261">
            <v>0</v>
          </cell>
        </row>
        <row r="1262">
          <cell r="K1262">
            <v>3.1</v>
          </cell>
          <cell r="Q1262">
            <v>7.2600289780385641</v>
          </cell>
          <cell r="R1262">
            <v>1.1267234509830426</v>
          </cell>
          <cell r="U1262">
            <v>0</v>
          </cell>
          <cell r="V1262">
            <v>7.9089789518945255E-2</v>
          </cell>
          <cell r="W1262">
            <v>0</v>
          </cell>
        </row>
        <row r="1263">
          <cell r="K1263">
            <v>19.100000000000001</v>
          </cell>
          <cell r="Q1263">
            <v>210.23104998109417</v>
          </cell>
          <cell r="R1263">
            <v>32.626902021330842</v>
          </cell>
          <cell r="U1263">
            <v>0</v>
          </cell>
          <cell r="V1263">
            <v>2.290229080854679</v>
          </cell>
          <cell r="W1263">
            <v>0</v>
          </cell>
        </row>
        <row r="1264">
          <cell r="K1264">
            <v>39.200000000000003</v>
          </cell>
          <cell r="Q1264">
            <v>431.46896121774301</v>
          </cell>
          <cell r="R1264">
            <v>66.962018808176396</v>
          </cell>
          <cell r="U1264">
            <v>0</v>
          </cell>
          <cell r="V1264">
            <v>4.700365443429499</v>
          </cell>
          <cell r="W1264">
            <v>0</v>
          </cell>
        </row>
        <row r="1265">
          <cell r="K1265">
            <v>8.6999999999999993</v>
          </cell>
          <cell r="Q1265">
            <v>20.374920035140484</v>
          </cell>
          <cell r="R1265">
            <v>3.162094846307248</v>
          </cell>
          <cell r="U1265">
            <v>0</v>
          </cell>
          <cell r="V1265">
            <v>0.2219616673596205</v>
          </cell>
          <cell r="W1265">
            <v>0</v>
          </cell>
        </row>
        <row r="1266">
          <cell r="K1266">
            <v>25</v>
          </cell>
          <cell r="Q1266">
            <v>275.1715313888667</v>
          </cell>
          <cell r="R1266">
            <v>42.705369137867599</v>
          </cell>
          <cell r="U1266">
            <v>0</v>
          </cell>
          <cell r="V1266">
            <v>2.9976820430035067</v>
          </cell>
          <cell r="W1266">
            <v>0</v>
          </cell>
        </row>
        <row r="1267">
          <cell r="K1267">
            <v>49.5</v>
          </cell>
          <cell r="Q1267">
            <v>545.85507513226617</v>
          </cell>
          <cell r="R1267">
            <v>84.714223021709827</v>
          </cell>
          <cell r="U1267">
            <v>0</v>
          </cell>
          <cell r="V1267">
            <v>5.9464725458606376</v>
          </cell>
          <cell r="W1267">
            <v>0</v>
          </cell>
        </row>
        <row r="1268">
          <cell r="K1268">
            <v>21.9</v>
          </cell>
          <cell r="Q1268">
            <v>417.36502080855433</v>
          </cell>
          <cell r="R1268">
            <v>64.773151455391584</v>
          </cell>
          <cell r="U1268">
            <v>0</v>
          </cell>
          <cell r="V1268">
            <v>4.5467189935703072</v>
          </cell>
          <cell r="W1268">
            <v>0</v>
          </cell>
        </row>
        <row r="1269">
          <cell r="K1269">
            <v>10.9</v>
          </cell>
          <cell r="Q1269">
            <v>25.527198664716238</v>
          </cell>
          <cell r="R1269">
            <v>3.9617050373274725</v>
          </cell>
          <cell r="U1269">
            <v>0</v>
          </cell>
          <cell r="V1269">
            <v>0.27808990508274295</v>
          </cell>
          <cell r="W1269">
            <v>0</v>
          </cell>
        </row>
        <row r="1270">
          <cell r="K1270">
            <v>0.9</v>
          </cell>
          <cell r="Q1270">
            <v>0</v>
          </cell>
          <cell r="R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K1271">
            <v>3.1</v>
          </cell>
          <cell r="Q1271">
            <v>166.74775863430892</v>
          </cell>
          <cell r="R1271">
            <v>25.878493132804962</v>
          </cell>
          <cell r="U1271">
            <v>0</v>
          </cell>
          <cell r="V1271">
            <v>1.8165278916980827</v>
          </cell>
          <cell r="W1271">
            <v>0</v>
          </cell>
        </row>
        <row r="1272">
          <cell r="K1272">
            <v>1.4</v>
          </cell>
          <cell r="Q1272">
            <v>75.30543938323629</v>
          </cell>
          <cell r="R1272">
            <v>11.687061414815144</v>
          </cell>
          <cell r="U1272">
            <v>0</v>
          </cell>
          <cell r="V1272">
            <v>0.82036743496042452</v>
          </cell>
          <cell r="W1272">
            <v>0</v>
          </cell>
        </row>
        <row r="1273">
          <cell r="K1273">
            <v>1.4</v>
          </cell>
          <cell r="Q1273">
            <v>75.30543938323629</v>
          </cell>
          <cell r="R1273">
            <v>11.687061414815144</v>
          </cell>
          <cell r="U1273">
            <v>0</v>
          </cell>
          <cell r="V1273">
            <v>0.82036743496042452</v>
          </cell>
          <cell r="W1273">
            <v>0</v>
          </cell>
        </row>
        <row r="1274">
          <cell r="K1274">
            <v>12</v>
          </cell>
          <cell r="Q1274">
            <v>0</v>
          </cell>
          <cell r="R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K1275">
            <v>79.7</v>
          </cell>
          <cell r="Q1275">
            <v>877.24684206770701</v>
          </cell>
          <cell r="R1275">
            <v>136.1447168115219</v>
          </cell>
          <cell r="U1275">
            <v>0</v>
          </cell>
          <cell r="V1275">
            <v>9.5566103530951789</v>
          </cell>
          <cell r="W1275">
            <v>0</v>
          </cell>
        </row>
        <row r="1276">
          <cell r="K1276">
            <v>24.7</v>
          </cell>
          <cell r="Q1276">
            <v>271.86947301220027</v>
          </cell>
          <cell r="R1276">
            <v>42.192904708213177</v>
          </cell>
          <cell r="U1276">
            <v>0</v>
          </cell>
          <cell r="V1276">
            <v>2.9617098584874642</v>
          </cell>
          <cell r="W1276">
            <v>0</v>
          </cell>
        </row>
        <row r="1277">
          <cell r="K1277">
            <v>22</v>
          </cell>
          <cell r="Q1277">
            <v>242.15094762220266</v>
          </cell>
          <cell r="R1277">
            <v>37.58072484132348</v>
          </cell>
          <cell r="U1277">
            <v>0</v>
          </cell>
          <cell r="V1277">
            <v>2.6379601978430856</v>
          </cell>
          <cell r="W1277">
            <v>0</v>
          </cell>
        </row>
        <row r="1278">
          <cell r="K1278">
            <v>22</v>
          </cell>
          <cell r="Q1278">
            <v>242.15094762220266</v>
          </cell>
          <cell r="R1278">
            <v>37.58072484132348</v>
          </cell>
          <cell r="U1278">
            <v>0</v>
          </cell>
          <cell r="V1278">
            <v>2.6379601978430856</v>
          </cell>
          <cell r="W1278">
            <v>0</v>
          </cell>
        </row>
        <row r="1279">
          <cell r="K1279">
            <v>24.9</v>
          </cell>
          <cell r="Q1279">
            <v>274.07084526331118</v>
          </cell>
          <cell r="R1279">
            <v>42.534547661316125</v>
          </cell>
          <cell r="U1279">
            <v>0</v>
          </cell>
          <cell r="V1279">
            <v>2.9856913148314925</v>
          </cell>
          <cell r="W1279">
            <v>0</v>
          </cell>
        </row>
        <row r="1280">
          <cell r="K1280">
            <v>22.3</v>
          </cell>
          <cell r="Q1280">
            <v>245.45300599886909</v>
          </cell>
          <cell r="R1280">
            <v>38.093189270977902</v>
          </cell>
          <cell r="U1280">
            <v>0</v>
          </cell>
          <cell r="V1280">
            <v>2.6739323823591281</v>
          </cell>
          <cell r="W1280">
            <v>0</v>
          </cell>
        </row>
        <row r="1281">
          <cell r="K1281">
            <v>19.100000000000001</v>
          </cell>
          <cell r="Q1281">
            <v>210.23104998109417</v>
          </cell>
          <cell r="R1281">
            <v>32.626902021330842</v>
          </cell>
          <cell r="U1281">
            <v>0</v>
          </cell>
          <cell r="V1281">
            <v>2.290229080854679</v>
          </cell>
          <cell r="W1281">
            <v>0</v>
          </cell>
        </row>
        <row r="1282">
          <cell r="K1282">
            <v>27.4</v>
          </cell>
          <cell r="Q1282">
            <v>301.58799840219791</v>
          </cell>
          <cell r="R1282">
            <v>46.805084575102882</v>
          </cell>
          <cell r="U1282">
            <v>0</v>
          </cell>
          <cell r="V1282">
            <v>3.2854595191318432</v>
          </cell>
          <cell r="W1282">
            <v>0</v>
          </cell>
        </row>
        <row r="1283">
          <cell r="K1283">
            <v>24.2</v>
          </cell>
          <cell r="Q1283">
            <v>266.36604238442294</v>
          </cell>
          <cell r="R1283">
            <v>41.338797325455836</v>
          </cell>
          <cell r="U1283">
            <v>0</v>
          </cell>
          <cell r="V1283">
            <v>2.9017562176273946</v>
          </cell>
          <cell r="W1283">
            <v>0</v>
          </cell>
        </row>
        <row r="1284">
          <cell r="K1284">
            <v>24.3</v>
          </cell>
          <cell r="Q1284">
            <v>267.46672850997845</v>
          </cell>
          <cell r="R1284">
            <v>41.509618802007303</v>
          </cell>
          <cell r="U1284">
            <v>0</v>
          </cell>
          <cell r="V1284">
            <v>2.9137469457994087</v>
          </cell>
          <cell r="W1284">
            <v>0</v>
          </cell>
        </row>
        <row r="1285">
          <cell r="K1285">
            <v>27.1</v>
          </cell>
          <cell r="Q1285">
            <v>298.28594002553149</v>
          </cell>
          <cell r="R1285">
            <v>46.292620145448474</v>
          </cell>
          <cell r="U1285">
            <v>0</v>
          </cell>
          <cell r="V1285">
            <v>3.2494873346158015</v>
          </cell>
          <cell r="W1285">
            <v>0</v>
          </cell>
        </row>
        <row r="1286">
          <cell r="K1286">
            <v>24.4</v>
          </cell>
          <cell r="Q1286">
            <v>268.56741463553385</v>
          </cell>
          <cell r="R1286">
            <v>41.68044027855877</v>
          </cell>
          <cell r="U1286">
            <v>0</v>
          </cell>
          <cell r="V1286">
            <v>2.925737673971422</v>
          </cell>
          <cell r="W1286">
            <v>0</v>
          </cell>
        </row>
        <row r="1287">
          <cell r="K1287">
            <v>2.8</v>
          </cell>
          <cell r="Q1287">
            <v>6.5574455285509607</v>
          </cell>
          <cell r="R1287">
            <v>1.0176856976621029</v>
          </cell>
          <cell r="U1287">
            <v>0</v>
          </cell>
          <cell r="V1287">
            <v>7.1435938920337644E-2</v>
          </cell>
          <cell r="W1287">
            <v>0</v>
          </cell>
        </row>
        <row r="1288">
          <cell r="K1288">
            <v>7.7</v>
          </cell>
          <cell r="Q1288">
            <v>84.752831667770934</v>
          </cell>
          <cell r="R1288">
            <v>13.153253694463219</v>
          </cell>
          <cell r="U1288">
            <v>0</v>
          </cell>
          <cell r="V1288">
            <v>0.92328606924508005</v>
          </cell>
          <cell r="W1288">
            <v>0</v>
          </cell>
        </row>
        <row r="1289">
          <cell r="K1289">
            <v>7.4</v>
          </cell>
          <cell r="Q1289">
            <v>81.450773291104554</v>
          </cell>
          <cell r="R1289">
            <v>12.640789264808809</v>
          </cell>
          <cell r="U1289">
            <v>0</v>
          </cell>
          <cell r="V1289">
            <v>0.88731388472903805</v>
          </cell>
          <cell r="W1289">
            <v>0</v>
          </cell>
        </row>
        <row r="1290">
          <cell r="K1290">
            <v>0.4</v>
          </cell>
          <cell r="Q1290">
            <v>7.6231054028959706</v>
          </cell>
          <cell r="R1290">
            <v>1.1830712594592072</v>
          </cell>
          <cell r="U1290">
            <v>0</v>
          </cell>
          <cell r="V1290">
            <v>8.3045095772973671E-2</v>
          </cell>
          <cell r="W1290">
            <v>0</v>
          </cell>
        </row>
        <row r="1291">
          <cell r="K1291">
            <v>7.5</v>
          </cell>
          <cell r="Q1291">
            <v>82.551459416660009</v>
          </cell>
          <cell r="R1291">
            <v>12.811610741360278</v>
          </cell>
          <cell r="U1291">
            <v>0</v>
          </cell>
          <cell r="V1291">
            <v>0.89930461290105201</v>
          </cell>
          <cell r="W1291">
            <v>0</v>
          </cell>
        </row>
        <row r="1292">
          <cell r="K1292">
            <v>54.3</v>
          </cell>
          <cell r="Q1292">
            <v>493.57876099554971</v>
          </cell>
          <cell r="R1292">
            <v>76.601177020520439</v>
          </cell>
          <cell r="U1292">
            <v>0</v>
          </cell>
          <cell r="V1292">
            <v>5.376981336609818</v>
          </cell>
          <cell r="W1292">
            <v>0</v>
          </cell>
        </row>
        <row r="1293">
          <cell r="K1293">
            <v>160.1</v>
          </cell>
          <cell r="Q1293">
            <v>1455.2847078340239</v>
          </cell>
          <cell r="R1293">
            <v>225.85356244908513</v>
          </cell>
          <cell r="U1293">
            <v>0</v>
          </cell>
          <cell r="V1293">
            <v>15.853677937223424</v>
          </cell>
          <cell r="W1293">
            <v>0</v>
          </cell>
        </row>
        <row r="1294">
          <cell r="K1294">
            <v>3.7</v>
          </cell>
          <cell r="Q1294">
            <v>199.02151836998164</v>
          </cell>
          <cell r="R1294">
            <v>30.887233739154308</v>
          </cell>
          <cell r="U1294">
            <v>0</v>
          </cell>
          <cell r="V1294">
            <v>2.1681139352525505</v>
          </cell>
          <cell r="W1294">
            <v>0</v>
          </cell>
        </row>
        <row r="1295">
          <cell r="K1295">
            <v>17</v>
          </cell>
          <cell r="Q1295">
            <v>187.11664134442935</v>
          </cell>
          <cell r="R1295">
            <v>29.039651013749964</v>
          </cell>
          <cell r="U1295">
            <v>0</v>
          </cell>
          <cell r="V1295">
            <v>2.0384237892423847</v>
          </cell>
          <cell r="W1295">
            <v>0</v>
          </cell>
        </row>
        <row r="1296">
          <cell r="K1296">
            <v>19.399999999999999</v>
          </cell>
          <cell r="Q1296">
            <v>213.53310835776054</v>
          </cell>
          <cell r="R1296">
            <v>33.13936645098525</v>
          </cell>
          <cell r="U1296">
            <v>0</v>
          </cell>
          <cell r="V1296">
            <v>2.3262012653707211</v>
          </cell>
          <cell r="W1296">
            <v>0</v>
          </cell>
        </row>
        <row r="1297">
          <cell r="K1297">
            <v>3.6</v>
          </cell>
          <cell r="Q1297">
            <v>0</v>
          </cell>
          <cell r="R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K1298">
            <v>47.2</v>
          </cell>
          <cell r="Q1298">
            <v>519.5238512621803</v>
          </cell>
          <cell r="R1298">
            <v>80.627736932294027</v>
          </cell>
          <cell r="U1298">
            <v>0</v>
          </cell>
          <cell r="V1298">
            <v>5.6596236971906206</v>
          </cell>
          <cell r="W1298">
            <v>0</v>
          </cell>
        </row>
        <row r="1299">
          <cell r="K1299">
            <v>16.5</v>
          </cell>
          <cell r="Q1299">
            <v>38.642089721818159</v>
          </cell>
          <cell r="R1299">
            <v>5.9970764326516779</v>
          </cell>
          <cell r="U1299">
            <v>0</v>
          </cell>
          <cell r="V1299">
            <v>0.42096178292341824</v>
          </cell>
          <cell r="W1299">
            <v>0</v>
          </cell>
        </row>
        <row r="1300">
          <cell r="K1300">
            <v>34.200000000000003</v>
          </cell>
          <cell r="Q1300">
            <v>376.43465493996968</v>
          </cell>
          <cell r="R1300">
            <v>58.420944980602883</v>
          </cell>
          <cell r="U1300">
            <v>0</v>
          </cell>
          <cell r="V1300">
            <v>4.1008290348287977</v>
          </cell>
          <cell r="W1300">
            <v>0</v>
          </cell>
        </row>
        <row r="1301">
          <cell r="K1301">
            <v>16.899999999999999</v>
          </cell>
          <cell r="Q1301">
            <v>186.01595521887384</v>
          </cell>
          <cell r="R1301">
            <v>28.86882953719849</v>
          </cell>
          <cell r="U1301">
            <v>0</v>
          </cell>
          <cell r="V1301">
            <v>2.02643306107037</v>
          </cell>
          <cell r="W1301">
            <v>0</v>
          </cell>
        </row>
        <row r="1302">
          <cell r="K1302">
            <v>36.9</v>
          </cell>
          <cell r="Q1302">
            <v>406.1531803299672</v>
          </cell>
          <cell r="R1302">
            <v>63.033124847492566</v>
          </cell>
          <cell r="U1302">
            <v>0</v>
          </cell>
          <cell r="V1302">
            <v>4.4245786954731754</v>
          </cell>
          <cell r="W1302">
            <v>0</v>
          </cell>
        </row>
        <row r="1303">
          <cell r="K1303">
            <v>19.8</v>
          </cell>
          <cell r="Q1303">
            <v>217.93585285998242</v>
          </cell>
          <cell r="R1303">
            <v>33.822652357191132</v>
          </cell>
          <cell r="U1303">
            <v>0</v>
          </cell>
          <cell r="V1303">
            <v>2.3741641780587774</v>
          </cell>
          <cell r="W1303">
            <v>0</v>
          </cell>
        </row>
        <row r="1304">
          <cell r="K1304">
            <v>19.3</v>
          </cell>
          <cell r="Q1304">
            <v>282.32897539075941</v>
          </cell>
          <cell r="R1304">
            <v>43.81617186750205</v>
          </cell>
          <cell r="U1304">
            <v>0</v>
          </cell>
          <cell r="V1304">
            <v>3.0756542854443727</v>
          </cell>
          <cell r="W1304">
            <v>0</v>
          </cell>
        </row>
        <row r="1305">
          <cell r="K1305">
            <v>25.6</v>
          </cell>
          <cell r="Q1305">
            <v>281.77564814219949</v>
          </cell>
          <cell r="R1305">
            <v>43.730297997176422</v>
          </cell>
          <cell r="U1305">
            <v>0</v>
          </cell>
          <cell r="V1305">
            <v>3.0696264120355909</v>
          </cell>
          <cell r="W1305">
            <v>0</v>
          </cell>
        </row>
        <row r="1306">
          <cell r="K1306">
            <v>22.6</v>
          </cell>
          <cell r="Q1306">
            <v>248.75506437553551</v>
          </cell>
          <cell r="R1306">
            <v>38.60565370063231</v>
          </cell>
          <cell r="U1306">
            <v>0</v>
          </cell>
          <cell r="V1306">
            <v>2.7099045668751702</v>
          </cell>
          <cell r="W1306">
            <v>0</v>
          </cell>
        </row>
        <row r="1307">
          <cell r="K1307">
            <v>21.1</v>
          </cell>
          <cell r="Q1307">
            <v>232.24477249220348</v>
          </cell>
          <cell r="R1307">
            <v>36.04333155236025</v>
          </cell>
          <cell r="U1307">
            <v>0</v>
          </cell>
          <cell r="V1307">
            <v>2.5300436442949596</v>
          </cell>
          <cell r="W1307">
            <v>0</v>
          </cell>
        </row>
        <row r="1308">
          <cell r="K1308">
            <v>6.1</v>
          </cell>
          <cell r="Q1308">
            <v>14.285863472914594</v>
          </cell>
          <cell r="R1308">
            <v>2.2171009841924385</v>
          </cell>
          <cell r="U1308">
            <v>0</v>
          </cell>
          <cell r="V1308">
            <v>0.1556282955050213</v>
          </cell>
          <cell r="W1308">
            <v>0</v>
          </cell>
        </row>
        <row r="1309">
          <cell r="K1309">
            <v>21.6</v>
          </cell>
          <cell r="Q1309">
            <v>411.64769175638241</v>
          </cell>
          <cell r="R1309">
            <v>63.885848010797197</v>
          </cell>
          <cell r="U1309">
            <v>0</v>
          </cell>
          <cell r="V1309">
            <v>4.4844351717405786</v>
          </cell>
          <cell r="W1309">
            <v>0</v>
          </cell>
        </row>
        <row r="1310">
          <cell r="K1310">
            <v>4</v>
          </cell>
          <cell r="Q1310">
            <v>179.0650224096068</v>
          </cell>
          <cell r="R1310">
            <v>27.790076404655963</v>
          </cell>
          <cell r="U1310">
            <v>0</v>
          </cell>
          <cell r="V1310">
            <v>1.9507105240793696</v>
          </cell>
          <cell r="W1310">
            <v>0</v>
          </cell>
        </row>
        <row r="1311">
          <cell r="K1311">
            <v>17.100000000000001</v>
          </cell>
          <cell r="Q1311">
            <v>0</v>
          </cell>
          <cell r="R1311">
            <v>0</v>
          </cell>
          <cell r="U1311">
            <v>0</v>
          </cell>
          <cell r="V1311">
            <v>0</v>
          </cell>
          <cell r="W1311">
            <v>0</v>
          </cell>
        </row>
        <row r="1312">
          <cell r="K1312">
            <v>1.3</v>
          </cell>
          <cell r="Q1312">
            <v>69.926479427290843</v>
          </cell>
          <cell r="R1312">
            <v>10.852271313756919</v>
          </cell>
          <cell r="U1312">
            <v>0</v>
          </cell>
          <cell r="V1312">
            <v>0.76176976103467986</v>
          </cell>
          <cell r="W1312">
            <v>0</v>
          </cell>
        </row>
        <row r="1313">
          <cell r="K1313">
            <v>1.4</v>
          </cell>
          <cell r="Q1313">
            <v>75.30543938323629</v>
          </cell>
          <cell r="R1313">
            <v>11.687061414815144</v>
          </cell>
          <cell r="U1313">
            <v>0</v>
          </cell>
          <cell r="V1313">
            <v>0.82036743496042452</v>
          </cell>
          <cell r="W1313">
            <v>0</v>
          </cell>
        </row>
        <row r="1314">
          <cell r="K1314">
            <v>1.4</v>
          </cell>
          <cell r="Q1314">
            <v>75.30543938323629</v>
          </cell>
          <cell r="R1314">
            <v>11.687061414815144</v>
          </cell>
          <cell r="U1314">
            <v>0</v>
          </cell>
          <cell r="V1314">
            <v>0.82036743496042452</v>
          </cell>
          <cell r="W1314">
            <v>0</v>
          </cell>
        </row>
        <row r="1315">
          <cell r="K1315">
            <v>3</v>
          </cell>
          <cell r="Q1315">
            <v>161.36879867836348</v>
          </cell>
          <cell r="R1315">
            <v>25.043703031746738</v>
          </cell>
          <cell r="U1315">
            <v>0</v>
          </cell>
          <cell r="V1315">
            <v>1.7579302177723382</v>
          </cell>
          <cell r="W1315">
            <v>0</v>
          </cell>
        </row>
        <row r="1316">
          <cell r="K1316">
            <v>1.4</v>
          </cell>
          <cell r="Q1316">
            <v>75.30543938323629</v>
          </cell>
          <cell r="R1316">
            <v>11.687061414815144</v>
          </cell>
          <cell r="U1316">
            <v>0</v>
          </cell>
          <cell r="V1316">
            <v>0.82036743496042452</v>
          </cell>
          <cell r="W1316">
            <v>0</v>
          </cell>
        </row>
        <row r="1317">
          <cell r="K1317">
            <v>11.7</v>
          </cell>
          <cell r="Q1317">
            <v>106.35122474489745</v>
          </cell>
          <cell r="R1317">
            <v>16.505225987846948</v>
          </cell>
          <cell r="U1317">
            <v>0</v>
          </cell>
          <cell r="V1317">
            <v>1.1585760891037731</v>
          </cell>
          <cell r="W1317">
            <v>0</v>
          </cell>
        </row>
        <row r="1318">
          <cell r="K1318">
            <v>2</v>
          </cell>
          <cell r="Q1318">
            <v>18.179696537589308</v>
          </cell>
          <cell r="R1318">
            <v>2.8214061517687092</v>
          </cell>
          <cell r="U1318">
            <v>0</v>
          </cell>
          <cell r="V1318">
            <v>0.19804719471859369</v>
          </cell>
          <cell r="W1318">
            <v>0</v>
          </cell>
        </row>
        <row r="1319">
          <cell r="K1319">
            <v>4.2</v>
          </cell>
          <cell r="Q1319">
            <v>9.8361682928264411</v>
          </cell>
          <cell r="R1319">
            <v>1.5265285464931546</v>
          </cell>
          <cell r="U1319">
            <v>0</v>
          </cell>
          <cell r="V1319">
            <v>0.10715390838050647</v>
          </cell>
          <cell r="W1319">
            <v>0</v>
          </cell>
        </row>
        <row r="1320">
          <cell r="K1320">
            <v>5.8</v>
          </cell>
          <cell r="Q1320">
            <v>164.20058558049473</v>
          </cell>
          <cell r="R1320">
            <v>25.483183469148507</v>
          </cell>
          <cell r="U1320">
            <v>0</v>
          </cell>
          <cell r="V1320">
            <v>1.7887793274287263</v>
          </cell>
          <cell r="W1320">
            <v>0</v>
          </cell>
        </row>
        <row r="1321">
          <cell r="K1321">
            <v>5.4</v>
          </cell>
          <cell r="Q1321">
            <v>290.46383762105432</v>
          </cell>
          <cell r="R1321">
            <v>45.078665457144133</v>
          </cell>
          <cell r="U1321">
            <v>0</v>
          </cell>
          <cell r="V1321">
            <v>3.164274391990209</v>
          </cell>
          <cell r="W1321">
            <v>0</v>
          </cell>
        </row>
        <row r="1322">
          <cell r="K1322">
            <v>18.8</v>
          </cell>
          <cell r="Q1322">
            <v>170.88914745333949</v>
          </cell>
          <cell r="R1322">
            <v>26.521217826625865</v>
          </cell>
          <cell r="U1322">
            <v>0</v>
          </cell>
          <cell r="V1322">
            <v>1.8616436303547805</v>
          </cell>
          <cell r="W1322">
            <v>0</v>
          </cell>
        </row>
        <row r="1323">
          <cell r="K1323">
            <v>2</v>
          </cell>
          <cell r="Q1323">
            <v>107.57919911890899</v>
          </cell>
          <cell r="R1323">
            <v>16.695802021164493</v>
          </cell>
          <cell r="U1323">
            <v>0</v>
          </cell>
          <cell r="V1323">
            <v>1.1719534785148922</v>
          </cell>
          <cell r="W1323">
            <v>0</v>
          </cell>
        </row>
        <row r="1324">
          <cell r="K1324">
            <v>2</v>
          </cell>
          <cell r="Q1324">
            <v>107.57919911890899</v>
          </cell>
          <cell r="R1324">
            <v>16.695802021164493</v>
          </cell>
          <cell r="U1324">
            <v>0</v>
          </cell>
          <cell r="V1324">
            <v>1.1719534785148922</v>
          </cell>
          <cell r="W1324">
            <v>0</v>
          </cell>
        </row>
        <row r="1325">
          <cell r="K1325">
            <v>16.899999999999999</v>
          </cell>
          <cell r="Q1325">
            <v>0</v>
          </cell>
          <cell r="R1325">
            <v>0</v>
          </cell>
          <cell r="U1325">
            <v>0</v>
          </cell>
          <cell r="V1325">
            <v>0</v>
          </cell>
          <cell r="W1325">
            <v>0</v>
          </cell>
        </row>
        <row r="1326">
          <cell r="K1326">
            <v>1.3</v>
          </cell>
          <cell r="Q1326">
            <v>69.926479427290843</v>
          </cell>
          <cell r="R1326">
            <v>10.852271313756919</v>
          </cell>
          <cell r="U1326">
            <v>0</v>
          </cell>
          <cell r="V1326">
            <v>0.76176976103467986</v>
          </cell>
          <cell r="W1326">
            <v>0</v>
          </cell>
        </row>
        <row r="1327">
          <cell r="K1327">
            <v>1.3</v>
          </cell>
          <cell r="Q1327">
            <v>69.926479427290843</v>
          </cell>
          <cell r="R1327">
            <v>10.852271313756919</v>
          </cell>
          <cell r="U1327">
            <v>0</v>
          </cell>
          <cell r="V1327">
            <v>0.76176976103467986</v>
          </cell>
          <cell r="W1327">
            <v>0</v>
          </cell>
        </row>
        <row r="1328">
          <cell r="K1328">
            <v>23.6</v>
          </cell>
          <cell r="Q1328">
            <v>259.76192563109015</v>
          </cell>
          <cell r="R1328">
            <v>40.313868466147014</v>
          </cell>
          <cell r="U1328">
            <v>0</v>
          </cell>
          <cell r="V1328">
            <v>2.8298118485953103</v>
          </cell>
          <cell r="W1328">
            <v>0</v>
          </cell>
        </row>
        <row r="1329">
          <cell r="K1329">
            <v>32.5</v>
          </cell>
          <cell r="Q1329">
            <v>357.72299080552671</v>
          </cell>
          <cell r="R1329">
            <v>55.516979879227875</v>
          </cell>
          <cell r="U1329">
            <v>0</v>
          </cell>
          <cell r="V1329">
            <v>3.8969866559045587</v>
          </cell>
          <cell r="W1329">
            <v>0</v>
          </cell>
        </row>
        <row r="1330">
          <cell r="K1330">
            <v>17.8</v>
          </cell>
          <cell r="Q1330">
            <v>195.92213034887308</v>
          </cell>
          <cell r="R1330">
            <v>30.406222826161731</v>
          </cell>
          <cell r="U1330">
            <v>0</v>
          </cell>
          <cell r="V1330">
            <v>2.1343496146184968</v>
          </cell>
          <cell r="W1330">
            <v>0</v>
          </cell>
        </row>
        <row r="1331">
          <cell r="K1331">
            <v>18</v>
          </cell>
          <cell r="Q1331">
            <v>198.12350259998399</v>
          </cell>
          <cell r="R1331">
            <v>30.747865779264668</v>
          </cell>
          <cell r="U1331">
            <v>0</v>
          </cell>
          <cell r="V1331">
            <v>2.1583310709625247</v>
          </cell>
          <cell r="W1331">
            <v>0</v>
          </cell>
        </row>
        <row r="1332">
          <cell r="K1332">
            <v>19.3</v>
          </cell>
          <cell r="Q1332">
            <v>1038.1392714974718</v>
          </cell>
          <cell r="R1332">
            <v>161.11448950423733</v>
          </cell>
          <cell r="U1332">
            <v>0</v>
          </cell>
          <cell r="V1332">
            <v>11.309351067668709</v>
          </cell>
          <cell r="W1332">
            <v>0</v>
          </cell>
        </row>
        <row r="1333">
          <cell r="K1333">
            <v>18.399999999999999</v>
          </cell>
          <cell r="Q1333">
            <v>202.52624710220587</v>
          </cell>
          <cell r="R1333">
            <v>31.431151685470546</v>
          </cell>
          <cell r="U1333">
            <v>0</v>
          </cell>
          <cell r="V1333">
            <v>2.2062939836505806</v>
          </cell>
          <cell r="W1333">
            <v>0</v>
          </cell>
        </row>
        <row r="1334">
          <cell r="K1334">
            <v>11.9</v>
          </cell>
          <cell r="Q1334">
            <v>206.62850700405244</v>
          </cell>
          <cell r="R1334">
            <v>32.067803749452622</v>
          </cell>
          <cell r="U1334">
            <v>0</v>
          </cell>
          <cell r="V1334">
            <v>2.2509834570907694</v>
          </cell>
          <cell r="W1334">
            <v>0</v>
          </cell>
        </row>
        <row r="1335">
          <cell r="K1335">
            <v>42.3</v>
          </cell>
          <cell r="Q1335">
            <v>384.50058177001387</v>
          </cell>
          <cell r="R1335">
            <v>59.672740109908197</v>
          </cell>
          <cell r="U1335">
            <v>0</v>
          </cell>
          <cell r="V1335">
            <v>4.1886981682982567</v>
          </cell>
          <cell r="W1335">
            <v>0</v>
          </cell>
        </row>
        <row r="1336">
          <cell r="K1336">
            <v>10.4</v>
          </cell>
          <cell r="Q1336">
            <v>114.47135705776854</v>
          </cell>
          <cell r="R1336">
            <v>17.765433561352921</v>
          </cell>
          <cell r="U1336">
            <v>0</v>
          </cell>
          <cell r="V1336">
            <v>1.2470357298894588</v>
          </cell>
          <cell r="W1336">
            <v>0</v>
          </cell>
        </row>
        <row r="1337">
          <cell r="K1337">
            <v>16.2</v>
          </cell>
          <cell r="Q1337">
            <v>178.3111523399856</v>
          </cell>
          <cell r="R1337">
            <v>27.673079201338197</v>
          </cell>
          <cell r="U1337">
            <v>0</v>
          </cell>
          <cell r="V1337">
            <v>1.942497963866272</v>
          </cell>
          <cell r="W1337">
            <v>0</v>
          </cell>
        </row>
        <row r="1338">
          <cell r="K1338">
            <v>16.2</v>
          </cell>
          <cell r="Q1338">
            <v>178.3111523399856</v>
          </cell>
          <cell r="R1338">
            <v>27.673079201338197</v>
          </cell>
          <cell r="U1338">
            <v>0</v>
          </cell>
          <cell r="V1338">
            <v>1.942497963866272</v>
          </cell>
          <cell r="W1338">
            <v>0</v>
          </cell>
        </row>
        <row r="1339">
          <cell r="K1339">
            <v>16.2</v>
          </cell>
          <cell r="Q1339">
            <v>178.3111523399856</v>
          </cell>
          <cell r="R1339">
            <v>27.673079201338197</v>
          </cell>
          <cell r="U1339">
            <v>0</v>
          </cell>
          <cell r="V1339">
            <v>1.942497963866272</v>
          </cell>
          <cell r="W1339">
            <v>0</v>
          </cell>
        </row>
        <row r="1340">
          <cell r="K1340">
            <v>17.2</v>
          </cell>
          <cell r="Q1340">
            <v>189.31801359554026</v>
          </cell>
          <cell r="R1340">
            <v>29.381293966852901</v>
          </cell>
          <cell r="U1340">
            <v>0</v>
          </cell>
          <cell r="V1340">
            <v>2.0624052455864121</v>
          </cell>
          <cell r="W1340">
            <v>0</v>
          </cell>
        </row>
        <row r="1341">
          <cell r="K1341">
            <v>17.2</v>
          </cell>
          <cell r="Q1341">
            <v>189.31801359554026</v>
          </cell>
          <cell r="R1341">
            <v>29.381293966852901</v>
          </cell>
          <cell r="U1341">
            <v>0</v>
          </cell>
          <cell r="V1341">
            <v>2.0624052455864121</v>
          </cell>
          <cell r="W1341">
            <v>0</v>
          </cell>
        </row>
        <row r="1342">
          <cell r="K1342">
            <v>13.1</v>
          </cell>
          <cell r="Q1342">
            <v>144.18988244776614</v>
          </cell>
          <cell r="R1342">
            <v>22.377613428242618</v>
          </cell>
          <cell r="U1342">
            <v>0</v>
          </cell>
          <cell r="V1342">
            <v>1.5707853905338374</v>
          </cell>
          <cell r="W1342">
            <v>0</v>
          </cell>
        </row>
        <row r="1343">
          <cell r="K1343">
            <v>13</v>
          </cell>
          <cell r="Q1343">
            <v>143.08919632221068</v>
          </cell>
          <cell r="R1343">
            <v>22.206791951691152</v>
          </cell>
          <cell r="U1343">
            <v>0</v>
          </cell>
          <cell r="V1343">
            <v>1.5587946623618234</v>
          </cell>
          <cell r="W1343">
            <v>0</v>
          </cell>
        </row>
        <row r="1344">
          <cell r="K1344">
            <v>16.2</v>
          </cell>
          <cell r="Q1344">
            <v>178.3111523399856</v>
          </cell>
          <cell r="R1344">
            <v>27.673079201338197</v>
          </cell>
          <cell r="U1344">
            <v>0</v>
          </cell>
          <cell r="V1344">
            <v>1.942497963866272</v>
          </cell>
          <cell r="W1344">
            <v>0</v>
          </cell>
        </row>
        <row r="1345">
          <cell r="K1345">
            <v>15.9</v>
          </cell>
          <cell r="Q1345">
            <v>175.00909396331923</v>
          </cell>
          <cell r="R1345">
            <v>27.16061477168379</v>
          </cell>
          <cell r="U1345">
            <v>0</v>
          </cell>
          <cell r="V1345">
            <v>1.9065257793502304</v>
          </cell>
          <cell r="W1345">
            <v>0</v>
          </cell>
        </row>
        <row r="1346">
          <cell r="K1346">
            <v>6.2</v>
          </cell>
          <cell r="Q1346">
            <v>14.520057956077128</v>
          </cell>
          <cell r="R1346">
            <v>2.2534469019660852</v>
          </cell>
          <cell r="U1346">
            <v>0</v>
          </cell>
          <cell r="V1346">
            <v>0.15817957903789051</v>
          </cell>
          <cell r="W1346">
            <v>0</v>
          </cell>
        </row>
        <row r="1347">
          <cell r="K1347">
            <v>2.7</v>
          </cell>
          <cell r="Q1347">
            <v>145.23191881052716</v>
          </cell>
          <cell r="R1347">
            <v>22.539332728572067</v>
          </cell>
          <cell r="U1347">
            <v>0</v>
          </cell>
          <cell r="V1347">
            <v>1.5821371959951045</v>
          </cell>
          <cell r="W1347">
            <v>0</v>
          </cell>
        </row>
        <row r="1348">
          <cell r="K1348">
            <v>4.2</v>
          </cell>
          <cell r="Q1348">
            <v>225.91631814970887</v>
          </cell>
          <cell r="R1348">
            <v>35.061184244445435</v>
          </cell>
          <cell r="U1348">
            <v>0</v>
          </cell>
          <cell r="V1348">
            <v>2.4611023048812735</v>
          </cell>
          <cell r="W1348">
            <v>0</v>
          </cell>
        </row>
        <row r="1349">
          <cell r="K1349">
            <v>3.3</v>
          </cell>
          <cell r="Q1349">
            <v>0</v>
          </cell>
          <cell r="R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K1350">
            <v>49.3</v>
          </cell>
          <cell r="Q1350">
            <v>0</v>
          </cell>
          <cell r="R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K1351">
            <v>73</v>
          </cell>
          <cell r="Q1351">
            <v>0</v>
          </cell>
          <cell r="R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K1352">
            <v>3.9</v>
          </cell>
          <cell r="Q1352">
            <v>174.58839684936663</v>
          </cell>
          <cell r="R1352">
            <v>27.095324494539561</v>
          </cell>
          <cell r="U1352">
            <v>0</v>
          </cell>
          <cell r="V1352">
            <v>1.9019427609773851</v>
          </cell>
          <cell r="W1352">
            <v>0</v>
          </cell>
        </row>
        <row r="1353">
          <cell r="K1353">
            <v>14.9</v>
          </cell>
          <cell r="Q1353">
            <v>164.00223270776456</v>
          </cell>
          <cell r="R1353">
            <v>25.452400006169089</v>
          </cell>
          <cell r="U1353">
            <v>0</v>
          </cell>
          <cell r="V1353">
            <v>1.7866184976300901</v>
          </cell>
          <cell r="W1353">
            <v>0</v>
          </cell>
        </row>
        <row r="1354">
          <cell r="K1354">
            <v>14.4</v>
          </cell>
          <cell r="Q1354">
            <v>158.4988020799872</v>
          </cell>
          <cell r="R1354">
            <v>24.598292623411737</v>
          </cell>
          <cell r="U1354">
            <v>0</v>
          </cell>
          <cell r="V1354">
            <v>1.7266648567700198</v>
          </cell>
          <cell r="W1354">
            <v>0</v>
          </cell>
        </row>
        <row r="1355">
          <cell r="K1355">
            <v>14.1</v>
          </cell>
          <cell r="Q1355">
            <v>0</v>
          </cell>
          <cell r="R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K1356">
            <v>8.9700000000000006</v>
          </cell>
          <cell r="Q1356">
            <v>0</v>
          </cell>
          <cell r="R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K1357">
            <v>10.01</v>
          </cell>
          <cell r="Q1357">
            <v>0</v>
          </cell>
          <cell r="R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K1358">
            <v>3.25</v>
          </cell>
          <cell r="Q1358">
            <v>0</v>
          </cell>
          <cell r="R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K1359">
            <v>11.25</v>
          </cell>
          <cell r="Q1359">
            <v>0</v>
          </cell>
          <cell r="R1359">
            <v>0</v>
          </cell>
          <cell r="U1359">
            <v>0</v>
          </cell>
          <cell r="V1359">
            <v>0</v>
          </cell>
          <cell r="W1359">
            <v>0</v>
          </cell>
        </row>
        <row r="1360">
          <cell r="K1360">
            <v>3</v>
          </cell>
          <cell r="Q1360">
            <v>0</v>
          </cell>
          <cell r="R1360">
            <v>0</v>
          </cell>
          <cell r="U1360">
            <v>0</v>
          </cell>
          <cell r="V1360">
            <v>0</v>
          </cell>
          <cell r="W1360">
            <v>0</v>
          </cell>
        </row>
        <row r="1361">
          <cell r="K1361">
            <v>11.25</v>
          </cell>
          <cell r="Q1361">
            <v>0</v>
          </cell>
          <cell r="R1361">
            <v>0</v>
          </cell>
          <cell r="U1361">
            <v>0</v>
          </cell>
          <cell r="V1361">
            <v>0</v>
          </cell>
          <cell r="W1361">
            <v>0</v>
          </cell>
        </row>
        <row r="1362">
          <cell r="K1362">
            <v>3</v>
          </cell>
          <cell r="Q1362">
            <v>0</v>
          </cell>
          <cell r="R1362">
            <v>0</v>
          </cell>
          <cell r="U1362">
            <v>0</v>
          </cell>
          <cell r="V1362">
            <v>0</v>
          </cell>
          <cell r="W1362">
            <v>0</v>
          </cell>
        </row>
        <row r="1363">
          <cell r="K1363">
            <v>1.84</v>
          </cell>
          <cell r="Q1363">
            <v>4.3091784901906314</v>
          </cell>
          <cell r="R1363">
            <v>0.66876488703509629</v>
          </cell>
          <cell r="U1363">
            <v>0</v>
          </cell>
          <cell r="V1363">
            <v>4.6943617004793312E-2</v>
          </cell>
          <cell r="W1363">
            <v>0</v>
          </cell>
        </row>
        <row r="1364">
          <cell r="K1364">
            <v>1.58</v>
          </cell>
          <cell r="Q1364">
            <v>3.7002728339680426</v>
          </cell>
          <cell r="R1364">
            <v>0.57426550082361538</v>
          </cell>
          <cell r="U1364">
            <v>0</v>
          </cell>
          <cell r="V1364">
            <v>4.031027981933339E-2</v>
          </cell>
          <cell r="W1364">
            <v>0</v>
          </cell>
        </row>
        <row r="1365">
          <cell r="K1365">
            <v>3.94</v>
          </cell>
          <cell r="Q1365">
            <v>211.93102226425071</v>
          </cell>
          <cell r="R1365">
            <v>32.890729981694044</v>
          </cell>
          <cell r="U1365">
            <v>0</v>
          </cell>
          <cell r="V1365">
            <v>2.3087483526743373</v>
          </cell>
          <cell r="W1365">
            <v>0</v>
          </cell>
        </row>
        <row r="1366">
          <cell r="K1366">
            <v>3.17</v>
          </cell>
          <cell r="Q1366">
            <v>170.51303060347072</v>
          </cell>
          <cell r="R1366">
            <v>26.462846203545713</v>
          </cell>
          <cell r="U1366">
            <v>0</v>
          </cell>
          <cell r="V1366">
            <v>1.8575462634461037</v>
          </cell>
          <cell r="W1366">
            <v>0</v>
          </cell>
        </row>
        <row r="1367">
          <cell r="K1367">
            <v>1.0900000000000001</v>
          </cell>
          <cell r="Q1367">
            <v>58.63066351980541</v>
          </cell>
          <cell r="R1367">
            <v>9.0992121015346488</v>
          </cell>
          <cell r="U1367">
            <v>0</v>
          </cell>
          <cell r="V1367">
            <v>0.63871464579061632</v>
          </cell>
          <cell r="W1367">
            <v>0</v>
          </cell>
        </row>
        <row r="1368">
          <cell r="K1368">
            <v>1.0900000000000001</v>
          </cell>
          <cell r="Q1368">
            <v>58.63066351980541</v>
          </cell>
          <cell r="R1368">
            <v>9.0992121015346488</v>
          </cell>
          <cell r="U1368">
            <v>0</v>
          </cell>
          <cell r="V1368">
            <v>0.63871464579061632</v>
          </cell>
          <cell r="W1368">
            <v>0</v>
          </cell>
        </row>
        <row r="1369">
          <cell r="K1369">
            <v>3.15</v>
          </cell>
          <cell r="Q1369">
            <v>169.43723861228165</v>
          </cell>
          <cell r="R1369">
            <v>26.295888183334071</v>
          </cell>
          <cell r="U1369">
            <v>0</v>
          </cell>
          <cell r="V1369">
            <v>1.8458267286609549</v>
          </cell>
          <cell r="W1369">
            <v>0</v>
          </cell>
        </row>
        <row r="1370">
          <cell r="K1370">
            <v>1.0900000000000001</v>
          </cell>
          <cell r="Q1370">
            <v>58.63066351980541</v>
          </cell>
          <cell r="R1370">
            <v>9.0992121015346488</v>
          </cell>
          <cell r="U1370">
            <v>0</v>
          </cell>
          <cell r="V1370">
            <v>0.63871464579061632</v>
          </cell>
          <cell r="W1370">
            <v>0</v>
          </cell>
        </row>
        <row r="1371">
          <cell r="K1371">
            <v>1.1000000000000001</v>
          </cell>
          <cell r="Q1371">
            <v>59.168559515399949</v>
          </cell>
          <cell r="R1371">
            <v>9.1826911116404712</v>
          </cell>
          <cell r="U1371">
            <v>0</v>
          </cell>
          <cell r="V1371">
            <v>0.64457441318319075</v>
          </cell>
          <cell r="W1371">
            <v>0</v>
          </cell>
        </row>
        <row r="1372">
          <cell r="K1372">
            <v>1.36</v>
          </cell>
          <cell r="Q1372">
            <v>73.15385540085812</v>
          </cell>
          <cell r="R1372">
            <v>11.353145374391854</v>
          </cell>
          <cell r="U1372">
            <v>0</v>
          </cell>
          <cell r="V1372">
            <v>0.79692836539012668</v>
          </cell>
          <cell r="W1372">
            <v>0</v>
          </cell>
        </row>
        <row r="1373">
          <cell r="K1373">
            <v>4.5</v>
          </cell>
          <cell r="Q1373">
            <v>10.538751742314044</v>
          </cell>
          <cell r="R1373">
            <v>1.6355662998140943</v>
          </cell>
          <cell r="U1373">
            <v>0</v>
          </cell>
          <cell r="V1373">
            <v>0.11480775897911408</v>
          </cell>
          <cell r="W1373">
            <v>0</v>
          </cell>
        </row>
        <row r="1374">
          <cell r="K1374">
            <v>6.63</v>
          </cell>
          <cell r="Q1374">
            <v>96.986585846670209</v>
          </cell>
          <cell r="R1374">
            <v>15.051876657074537</v>
          </cell>
          <cell r="U1374">
            <v>0</v>
          </cell>
          <cell r="V1374">
            <v>1.0565589591966937</v>
          </cell>
          <cell r="W1374">
            <v>0</v>
          </cell>
        </row>
        <row r="1375">
          <cell r="K1375">
            <v>27.65</v>
          </cell>
          <cell r="Q1375">
            <v>0</v>
          </cell>
          <cell r="R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K1376">
            <v>15.83</v>
          </cell>
          <cell r="Q1376">
            <v>411.55624962331609</v>
          </cell>
          <cell r="R1376">
            <v>63.871656607974231</v>
          </cell>
          <cell r="U1376">
            <v>0</v>
          </cell>
          <cell r="V1376">
            <v>4.483439013312112</v>
          </cell>
          <cell r="W1376">
            <v>0</v>
          </cell>
        </row>
        <row r="1377">
          <cell r="K1377">
            <v>11.37</v>
          </cell>
          <cell r="Q1377">
            <v>295.6029411381619</v>
          </cell>
          <cell r="R1377">
            <v>45.876230930680151</v>
          </cell>
          <cell r="U1377">
            <v>0</v>
          </cell>
          <cell r="V1377">
            <v>3.2202591017914535</v>
          </cell>
          <cell r="W1377">
            <v>0</v>
          </cell>
        </row>
        <row r="1378">
          <cell r="K1378">
            <v>11.16</v>
          </cell>
          <cell r="Q1378">
            <v>290.14325620948881</v>
          </cell>
          <cell r="R1378">
            <v>45.028912681300845</v>
          </cell>
          <cell r="U1378">
            <v>0</v>
          </cell>
          <cell r="V1378">
            <v>3.160782020755728</v>
          </cell>
          <cell r="W1378">
            <v>0</v>
          </cell>
        </row>
        <row r="1379">
          <cell r="K1379">
            <v>11.28</v>
          </cell>
          <cell r="Q1379">
            <v>293.26307616873061</v>
          </cell>
          <cell r="R1379">
            <v>45.513094538089021</v>
          </cell>
          <cell r="U1379">
            <v>0</v>
          </cell>
          <cell r="V1379">
            <v>3.1947689242047139</v>
          </cell>
          <cell r="W1379">
            <v>0</v>
          </cell>
        </row>
        <row r="1380">
          <cell r="K1380">
            <v>11.29</v>
          </cell>
          <cell r="Q1380">
            <v>293.52306116533401</v>
          </cell>
          <cell r="R1380">
            <v>45.553443026154703</v>
          </cell>
          <cell r="U1380">
            <v>0</v>
          </cell>
          <cell r="V1380">
            <v>3.1976011661587957</v>
          </cell>
          <cell r="W1380">
            <v>0</v>
          </cell>
        </row>
        <row r="1381">
          <cell r="K1381">
            <v>11.29</v>
          </cell>
          <cell r="Q1381">
            <v>293.52306116533401</v>
          </cell>
          <cell r="R1381">
            <v>45.553443026154703</v>
          </cell>
          <cell r="U1381">
            <v>0</v>
          </cell>
          <cell r="V1381">
            <v>3.1976011661587957</v>
          </cell>
          <cell r="W1381">
            <v>0</v>
          </cell>
        </row>
        <row r="1382">
          <cell r="K1382">
            <v>5.46</v>
          </cell>
          <cell r="Q1382">
            <v>141.95180814550258</v>
          </cell>
          <cell r="R1382">
            <v>22.030274483862243</v>
          </cell>
          <cell r="U1382">
            <v>0</v>
          </cell>
          <cell r="V1382">
            <v>1.5464041069288776</v>
          </cell>
          <cell r="W1382">
            <v>0</v>
          </cell>
        </row>
        <row r="1383">
          <cell r="K1383">
            <v>18.329999999999998</v>
          </cell>
          <cell r="Q1383">
            <v>476.55249877418714</v>
          </cell>
          <cell r="R1383">
            <v>73.958778624394654</v>
          </cell>
          <cell r="U1383">
            <v>0</v>
          </cell>
          <cell r="V1383">
            <v>5.1914995018326593</v>
          </cell>
          <cell r="W1383">
            <v>0</v>
          </cell>
        </row>
        <row r="1384">
          <cell r="K1384">
            <v>12.98</v>
          </cell>
          <cell r="Q1384">
            <v>337.46052559132301</v>
          </cell>
          <cell r="R1384">
            <v>52.372337509254926</v>
          </cell>
          <cell r="U1384">
            <v>0</v>
          </cell>
          <cell r="V1384">
            <v>3.6762500563986871</v>
          </cell>
          <cell r="W1384">
            <v>0</v>
          </cell>
        </row>
        <row r="1385">
          <cell r="K1385">
            <v>14.26</v>
          </cell>
          <cell r="Q1385">
            <v>370.73860515656901</v>
          </cell>
          <cell r="R1385">
            <v>57.536943981662183</v>
          </cell>
          <cell r="U1385">
            <v>0</v>
          </cell>
          <cell r="V1385">
            <v>4.0387770265212071</v>
          </cell>
          <cell r="W1385">
            <v>0</v>
          </cell>
        </row>
        <row r="1386">
          <cell r="K1386">
            <v>13.12</v>
          </cell>
          <cell r="Q1386">
            <v>341.10031554377173</v>
          </cell>
          <cell r="R1386">
            <v>52.937216342174466</v>
          </cell>
          <cell r="U1386">
            <v>0</v>
          </cell>
          <cell r="V1386">
            <v>3.7159014437558375</v>
          </cell>
          <cell r="W1386">
            <v>0</v>
          </cell>
        </row>
        <row r="1387">
          <cell r="K1387">
            <v>13.12</v>
          </cell>
          <cell r="Q1387">
            <v>341.10031554377173</v>
          </cell>
          <cell r="R1387">
            <v>52.937216342174466</v>
          </cell>
          <cell r="U1387">
            <v>0</v>
          </cell>
          <cell r="V1387">
            <v>3.7159014437558375</v>
          </cell>
          <cell r="W1387">
            <v>0</v>
          </cell>
        </row>
        <row r="1388">
          <cell r="K1388">
            <v>17.45</v>
          </cell>
          <cell r="Q1388">
            <v>453.67381907308055</v>
          </cell>
          <cell r="R1388">
            <v>70.408111674614673</v>
          </cell>
          <cell r="U1388">
            <v>0</v>
          </cell>
          <cell r="V1388">
            <v>4.9422622098734266</v>
          </cell>
          <cell r="W1388">
            <v>0</v>
          </cell>
        </row>
        <row r="1389">
          <cell r="K1389">
            <v>7.6</v>
          </cell>
          <cell r="Q1389">
            <v>0</v>
          </cell>
          <cell r="R1389">
            <v>0</v>
          </cell>
          <cell r="U1389">
            <v>0</v>
          </cell>
          <cell r="V1389">
            <v>0</v>
          </cell>
          <cell r="W1389">
            <v>0</v>
          </cell>
        </row>
        <row r="1390">
          <cell r="K1390">
            <v>4.01</v>
          </cell>
          <cell r="Q1390">
            <v>44.137513634774209</v>
          </cell>
          <cell r="R1390">
            <v>6.8499412097139611</v>
          </cell>
          <cell r="U1390">
            <v>0</v>
          </cell>
          <cell r="V1390">
            <v>0.48082819969776242</v>
          </cell>
          <cell r="W1390">
            <v>0</v>
          </cell>
        </row>
        <row r="1391">
          <cell r="K1391">
            <v>3.78</v>
          </cell>
          <cell r="Q1391">
            <v>41.605935545996644</v>
          </cell>
          <cell r="R1391">
            <v>6.4570518136455801</v>
          </cell>
          <cell r="U1391">
            <v>0</v>
          </cell>
          <cell r="V1391">
            <v>0.45324952490213016</v>
          </cell>
          <cell r="W1391">
            <v>0</v>
          </cell>
        </row>
        <row r="1392">
          <cell r="K1392">
            <v>3.78</v>
          </cell>
          <cell r="Q1392">
            <v>41.605935545996644</v>
          </cell>
          <cell r="R1392">
            <v>6.4570518136455801</v>
          </cell>
          <cell r="U1392">
            <v>0</v>
          </cell>
          <cell r="V1392">
            <v>0.45324952490213016</v>
          </cell>
          <cell r="W1392">
            <v>0</v>
          </cell>
        </row>
        <row r="1393">
          <cell r="K1393">
            <v>9.7899999999999991</v>
          </cell>
          <cell r="Q1393">
            <v>0</v>
          </cell>
          <cell r="R1393">
            <v>0</v>
          </cell>
          <cell r="U1393">
            <v>0</v>
          </cell>
          <cell r="V1393">
            <v>0</v>
          </cell>
          <cell r="W1393">
            <v>0</v>
          </cell>
        </row>
        <row r="1394">
          <cell r="K1394">
            <v>22.59</v>
          </cell>
          <cell r="Q1394">
            <v>249.10840701490696</v>
          </cell>
          <cell r="R1394">
            <v>38.660490869907576</v>
          </cell>
          <cell r="U1394">
            <v>0</v>
          </cell>
          <cell r="V1394">
            <v>2.713753834565491</v>
          </cell>
          <cell r="W1394">
            <v>0</v>
          </cell>
        </row>
        <row r="1395">
          <cell r="K1395">
            <v>22.33</v>
          </cell>
          <cell r="Q1395">
            <v>245.78321183653571</v>
          </cell>
          <cell r="R1395">
            <v>38.144435713943331</v>
          </cell>
          <cell r="U1395">
            <v>0</v>
          </cell>
          <cell r="V1395">
            <v>2.6775296008107321</v>
          </cell>
          <cell r="W1395">
            <v>0</v>
          </cell>
        </row>
        <row r="1396">
          <cell r="K1396">
            <v>51.12</v>
          </cell>
          <cell r="Q1396">
            <v>0</v>
          </cell>
          <cell r="R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K1397">
            <v>48.29</v>
          </cell>
          <cell r="Q1397">
            <v>0</v>
          </cell>
          <cell r="R1397">
            <v>0</v>
          </cell>
          <cell r="U1397">
            <v>0</v>
          </cell>
          <cell r="V1397">
            <v>0</v>
          </cell>
          <cell r="W1397">
            <v>0</v>
          </cell>
        </row>
        <row r="1398">
          <cell r="K1398">
            <v>8.9700000000000006</v>
          </cell>
          <cell r="Q1398">
            <v>0</v>
          </cell>
          <cell r="R1398">
            <v>0</v>
          </cell>
          <cell r="U1398">
            <v>0</v>
          </cell>
          <cell r="V1398">
            <v>0</v>
          </cell>
          <cell r="W1398">
            <v>0</v>
          </cell>
        </row>
        <row r="1399">
          <cell r="K1399">
            <v>10.01</v>
          </cell>
          <cell r="Q1399">
            <v>0</v>
          </cell>
          <cell r="R1399">
            <v>0</v>
          </cell>
          <cell r="U1399">
            <v>0</v>
          </cell>
          <cell r="V1399">
            <v>0</v>
          </cell>
          <cell r="W1399">
            <v>0</v>
          </cell>
        </row>
        <row r="1400">
          <cell r="K1400">
            <v>3.25</v>
          </cell>
          <cell r="Q1400">
            <v>0</v>
          </cell>
          <cell r="R1400">
            <v>0</v>
          </cell>
          <cell r="U1400">
            <v>0</v>
          </cell>
          <cell r="V1400">
            <v>0</v>
          </cell>
          <cell r="W1400">
            <v>0</v>
          </cell>
        </row>
        <row r="1401">
          <cell r="K1401">
            <v>11.25</v>
          </cell>
          <cell r="Q1401">
            <v>0</v>
          </cell>
          <cell r="R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K1402">
            <v>3</v>
          </cell>
          <cell r="Q1402">
            <v>0</v>
          </cell>
          <cell r="R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K1403">
            <v>11.25</v>
          </cell>
          <cell r="Q1403">
            <v>0</v>
          </cell>
          <cell r="R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K1404">
            <v>3</v>
          </cell>
          <cell r="Q1404">
            <v>7.0258344948760296</v>
          </cell>
          <cell r="R1404">
            <v>1.0903775332093961</v>
          </cell>
          <cell r="U1404">
            <v>0</v>
          </cell>
          <cell r="V1404">
            <v>7.6538505986076047E-2</v>
          </cell>
          <cell r="W1404">
            <v>0</v>
          </cell>
        </row>
        <row r="1405">
          <cell r="K1405">
            <v>1.84</v>
          </cell>
          <cell r="Q1405">
            <v>4.3091784901906314</v>
          </cell>
          <cell r="R1405">
            <v>0.66876488703509629</v>
          </cell>
          <cell r="U1405">
            <v>0</v>
          </cell>
          <cell r="V1405">
            <v>4.6943617004793312E-2</v>
          </cell>
          <cell r="W1405">
            <v>0</v>
          </cell>
        </row>
        <row r="1406">
          <cell r="K1406">
            <v>1.58</v>
          </cell>
          <cell r="Q1406">
            <v>3.7002728339680426</v>
          </cell>
          <cell r="R1406">
            <v>0.57426550082361538</v>
          </cell>
          <cell r="U1406">
            <v>0</v>
          </cell>
          <cell r="V1406">
            <v>4.031027981933339E-2</v>
          </cell>
          <cell r="W1406">
            <v>0</v>
          </cell>
        </row>
        <row r="1407">
          <cell r="K1407">
            <v>3.94</v>
          </cell>
          <cell r="Q1407">
            <v>211.93102226425071</v>
          </cell>
          <cell r="R1407">
            <v>32.890729981694044</v>
          </cell>
          <cell r="U1407">
            <v>0</v>
          </cell>
          <cell r="V1407">
            <v>2.3087483526743373</v>
          </cell>
          <cell r="W1407">
            <v>0</v>
          </cell>
        </row>
        <row r="1408">
          <cell r="K1408">
            <v>3.17</v>
          </cell>
          <cell r="Q1408">
            <v>170.51303060347072</v>
          </cell>
          <cell r="R1408">
            <v>26.462846203545713</v>
          </cell>
          <cell r="U1408">
            <v>0</v>
          </cell>
          <cell r="V1408">
            <v>1.8575462634461037</v>
          </cell>
          <cell r="W1408">
            <v>0</v>
          </cell>
        </row>
        <row r="1409">
          <cell r="K1409">
            <v>1.0900000000000001</v>
          </cell>
          <cell r="Q1409">
            <v>58.63066351980541</v>
          </cell>
          <cell r="R1409">
            <v>9.0992121015346488</v>
          </cell>
          <cell r="U1409">
            <v>0</v>
          </cell>
          <cell r="V1409">
            <v>0.63871464579061632</v>
          </cell>
          <cell r="W1409">
            <v>0</v>
          </cell>
        </row>
        <row r="1410">
          <cell r="K1410">
            <v>1.0900000000000001</v>
          </cell>
          <cell r="Q1410">
            <v>58.63066351980541</v>
          </cell>
          <cell r="R1410">
            <v>9.0992121015346488</v>
          </cell>
          <cell r="U1410">
            <v>0</v>
          </cell>
          <cell r="V1410">
            <v>0.63871464579061632</v>
          </cell>
          <cell r="W1410">
            <v>0</v>
          </cell>
        </row>
        <row r="1411">
          <cell r="K1411">
            <v>3.15</v>
          </cell>
          <cell r="Q1411">
            <v>169.43723861228165</v>
          </cell>
          <cell r="R1411">
            <v>26.295888183334071</v>
          </cell>
          <cell r="U1411">
            <v>0</v>
          </cell>
          <cell r="V1411">
            <v>1.8458267286609549</v>
          </cell>
          <cell r="W1411">
            <v>0</v>
          </cell>
        </row>
        <row r="1412">
          <cell r="K1412">
            <v>1.0900000000000001</v>
          </cell>
          <cell r="Q1412">
            <v>58.63066351980541</v>
          </cell>
          <cell r="R1412">
            <v>9.0992121015346488</v>
          </cell>
          <cell r="U1412">
            <v>0</v>
          </cell>
          <cell r="V1412">
            <v>0.63871464579061632</v>
          </cell>
          <cell r="W1412">
            <v>0</v>
          </cell>
        </row>
        <row r="1413">
          <cell r="K1413">
            <v>1.1000000000000001</v>
          </cell>
          <cell r="Q1413">
            <v>59.168559515399949</v>
          </cell>
          <cell r="R1413">
            <v>9.1826911116404712</v>
          </cell>
          <cell r="U1413">
            <v>0</v>
          </cell>
          <cell r="V1413">
            <v>0.64457441318319075</v>
          </cell>
          <cell r="W1413">
            <v>0</v>
          </cell>
        </row>
        <row r="1414">
          <cell r="K1414">
            <v>1.36</v>
          </cell>
          <cell r="Q1414">
            <v>73.15385540085812</v>
          </cell>
          <cell r="R1414">
            <v>11.353145374391854</v>
          </cell>
          <cell r="U1414">
            <v>0</v>
          </cell>
          <cell r="V1414">
            <v>0.79692836539012668</v>
          </cell>
          <cell r="W1414">
            <v>0</v>
          </cell>
        </row>
        <row r="1415">
          <cell r="K1415">
            <v>4.5</v>
          </cell>
          <cell r="Q1415">
            <v>10.538751742314044</v>
          </cell>
          <cell r="R1415">
            <v>1.6355662998140943</v>
          </cell>
          <cell r="U1415">
            <v>0</v>
          </cell>
          <cell r="V1415">
            <v>0.11480775897911408</v>
          </cell>
          <cell r="W1415">
            <v>0</v>
          </cell>
        </row>
        <row r="1416">
          <cell r="K1416">
            <v>35.83</v>
          </cell>
          <cell r="Q1416">
            <v>870.99993011237621</v>
          </cell>
          <cell r="R1416">
            <v>135.17522451092793</v>
          </cell>
          <cell r="U1416">
            <v>0</v>
          </cell>
          <cell r="V1416">
            <v>9.4885573255955595</v>
          </cell>
          <cell r="W1416">
            <v>0</v>
          </cell>
        </row>
        <row r="1417">
          <cell r="K1417">
            <v>15.83</v>
          </cell>
          <cell r="Q1417">
            <v>411.55624962331609</v>
          </cell>
          <cell r="R1417">
            <v>63.871656607974231</v>
          </cell>
          <cell r="U1417">
            <v>0</v>
          </cell>
          <cell r="V1417">
            <v>4.483439013312112</v>
          </cell>
          <cell r="W1417">
            <v>0</v>
          </cell>
        </row>
        <row r="1418">
          <cell r="K1418">
            <v>11.38</v>
          </cell>
          <cell r="Q1418">
            <v>295.86292613476547</v>
          </cell>
          <cell r="R1418">
            <v>45.916579418745847</v>
          </cell>
          <cell r="U1418">
            <v>0</v>
          </cell>
          <cell r="V1418">
            <v>3.2230913437455366</v>
          </cell>
          <cell r="W1418">
            <v>0</v>
          </cell>
        </row>
        <row r="1419">
          <cell r="K1419">
            <v>11.17</v>
          </cell>
          <cell r="Q1419">
            <v>290.40324120609228</v>
          </cell>
          <cell r="R1419">
            <v>45.069261169366534</v>
          </cell>
          <cell r="U1419">
            <v>0</v>
          </cell>
          <cell r="V1419">
            <v>3.1636142627098098</v>
          </cell>
          <cell r="W1419">
            <v>0</v>
          </cell>
        </row>
        <row r="1420">
          <cell r="K1420">
            <v>11.37</v>
          </cell>
          <cell r="Q1420">
            <v>295.6029411381619</v>
          </cell>
          <cell r="R1420">
            <v>45.876230930680151</v>
          </cell>
          <cell r="U1420">
            <v>0</v>
          </cell>
          <cell r="V1420">
            <v>3.2202591017914535</v>
          </cell>
          <cell r="W1420">
            <v>0</v>
          </cell>
        </row>
        <row r="1421">
          <cell r="K1421">
            <v>11.38</v>
          </cell>
          <cell r="Q1421">
            <v>197.59936216017789</v>
          </cell>
          <cell r="R1421">
            <v>30.666521568804278</v>
          </cell>
          <cell r="U1421">
            <v>0</v>
          </cell>
          <cell r="V1421">
            <v>2.1526211547641143</v>
          </cell>
          <cell r="W1421">
            <v>0</v>
          </cell>
        </row>
        <row r="1422">
          <cell r="K1422">
            <v>11.17</v>
          </cell>
          <cell r="Q1422">
            <v>290.40324120609228</v>
          </cell>
          <cell r="R1422">
            <v>45.069261169366534</v>
          </cell>
          <cell r="U1422">
            <v>0</v>
          </cell>
          <cell r="V1422">
            <v>3.1636142627098098</v>
          </cell>
          <cell r="W1422">
            <v>0</v>
          </cell>
        </row>
        <row r="1423">
          <cell r="K1423">
            <v>11.38</v>
          </cell>
          <cell r="Q1423">
            <v>295.86292613476547</v>
          </cell>
          <cell r="R1423">
            <v>45.916579418745847</v>
          </cell>
          <cell r="U1423">
            <v>0</v>
          </cell>
          <cell r="V1423">
            <v>3.2230913437455366</v>
          </cell>
          <cell r="W1423">
            <v>0</v>
          </cell>
        </row>
        <row r="1424">
          <cell r="K1424">
            <v>15.83</v>
          </cell>
          <cell r="Q1424">
            <v>411.55624962331609</v>
          </cell>
          <cell r="R1424">
            <v>63.871656607974231</v>
          </cell>
          <cell r="U1424">
            <v>0</v>
          </cell>
          <cell r="V1424">
            <v>4.483439013312112</v>
          </cell>
          <cell r="W1424">
            <v>0</v>
          </cell>
        </row>
        <row r="1425">
          <cell r="K1425">
            <v>12.98</v>
          </cell>
          <cell r="Q1425">
            <v>337.46052559132301</v>
          </cell>
          <cell r="R1425">
            <v>52.372337509254926</v>
          </cell>
          <cell r="U1425">
            <v>0</v>
          </cell>
          <cell r="V1425">
            <v>3.6762500563986871</v>
          </cell>
          <cell r="W1425">
            <v>0</v>
          </cell>
        </row>
        <row r="1426">
          <cell r="K1426">
            <v>14.26</v>
          </cell>
          <cell r="Q1426">
            <v>370.73860515656901</v>
          </cell>
          <cell r="R1426">
            <v>57.536943981662183</v>
          </cell>
          <cell r="U1426">
            <v>0</v>
          </cell>
          <cell r="V1426">
            <v>4.0387770265212071</v>
          </cell>
          <cell r="W1426">
            <v>0</v>
          </cell>
        </row>
        <row r="1427">
          <cell r="K1427">
            <v>35.83</v>
          </cell>
          <cell r="Q1427">
            <v>931.52624283028524</v>
          </cell>
          <cell r="R1427">
            <v>144.56863273933774</v>
          </cell>
          <cell r="U1427">
            <v>0</v>
          </cell>
          <cell r="V1427">
            <v>10.147922921476498</v>
          </cell>
          <cell r="W1427">
            <v>0</v>
          </cell>
        </row>
        <row r="1428">
          <cell r="K1428">
            <v>13.24</v>
          </cell>
          <cell r="Q1428">
            <v>344.22013550301358</v>
          </cell>
          <cell r="R1428">
            <v>53.421398198962656</v>
          </cell>
          <cell r="U1428">
            <v>0</v>
          </cell>
          <cell r="V1428">
            <v>3.7498883472048239</v>
          </cell>
          <cell r="W1428">
            <v>0</v>
          </cell>
        </row>
        <row r="1429">
          <cell r="K1429">
            <v>4.01</v>
          </cell>
          <cell r="Q1429">
            <v>44.137513634774209</v>
          </cell>
          <cell r="R1429">
            <v>6.8499412097139611</v>
          </cell>
          <cell r="U1429">
            <v>0</v>
          </cell>
          <cell r="V1429">
            <v>0.48082819969776242</v>
          </cell>
          <cell r="W1429">
            <v>0</v>
          </cell>
        </row>
        <row r="1430">
          <cell r="K1430">
            <v>3.78</v>
          </cell>
          <cell r="Q1430">
            <v>41.605935545996644</v>
          </cell>
          <cell r="R1430">
            <v>6.4570518136455801</v>
          </cell>
          <cell r="U1430">
            <v>0</v>
          </cell>
          <cell r="V1430">
            <v>0.45324952490213016</v>
          </cell>
          <cell r="W1430">
            <v>0</v>
          </cell>
        </row>
        <row r="1431">
          <cell r="K1431">
            <v>3.78</v>
          </cell>
          <cell r="Q1431">
            <v>41.605935545996644</v>
          </cell>
          <cell r="R1431">
            <v>6.4570518136455801</v>
          </cell>
          <cell r="U1431">
            <v>0</v>
          </cell>
          <cell r="V1431">
            <v>0.45324952490213016</v>
          </cell>
          <cell r="W1431">
            <v>0</v>
          </cell>
        </row>
        <row r="1432">
          <cell r="K1432">
            <v>3.7</v>
          </cell>
          <cell r="Q1432">
            <v>40.725386645552277</v>
          </cell>
          <cell r="R1432">
            <v>6.3203946324044047</v>
          </cell>
          <cell r="U1432">
            <v>0</v>
          </cell>
          <cell r="V1432">
            <v>0.44365694236451902</v>
          </cell>
          <cell r="W1432">
            <v>0</v>
          </cell>
        </row>
        <row r="1433">
          <cell r="K1433">
            <v>5.71</v>
          </cell>
          <cell r="Q1433">
            <v>0</v>
          </cell>
          <cell r="R1433">
            <v>0</v>
          </cell>
          <cell r="U1433">
            <v>0</v>
          </cell>
          <cell r="V1433">
            <v>0</v>
          </cell>
          <cell r="W1433">
            <v>0</v>
          </cell>
        </row>
        <row r="1434">
          <cell r="K1434">
            <v>13.23</v>
          </cell>
          <cell r="Q1434">
            <v>343.96015050641006</v>
          </cell>
          <cell r="R1434">
            <v>53.381049710896967</v>
          </cell>
          <cell r="U1434">
            <v>0</v>
          </cell>
          <cell r="V1434">
            <v>3.7470561052507416</v>
          </cell>
          <cell r="W1434">
            <v>0</v>
          </cell>
        </row>
        <row r="1435">
          <cell r="K1435">
            <v>13.19</v>
          </cell>
          <cell r="Q1435">
            <v>342.92021051999615</v>
          </cell>
          <cell r="R1435">
            <v>53.219655758634239</v>
          </cell>
          <cell r="U1435">
            <v>0</v>
          </cell>
          <cell r="V1435">
            <v>3.735727137434413</v>
          </cell>
          <cell r="W1435">
            <v>0</v>
          </cell>
        </row>
        <row r="1436">
          <cell r="K1436">
            <v>17.559999999999999</v>
          </cell>
          <cell r="Q1436">
            <v>193.28048364753994</v>
          </cell>
          <cell r="R1436">
            <v>29.996251282438195</v>
          </cell>
          <cell r="U1436">
            <v>0</v>
          </cell>
          <cell r="V1436">
            <v>2.1055718670056631</v>
          </cell>
          <cell r="W1436">
            <v>0</v>
          </cell>
        </row>
        <row r="1437">
          <cell r="K1437">
            <v>47.5</v>
          </cell>
          <cell r="Q1437">
            <v>0</v>
          </cell>
          <cell r="R1437">
            <v>0</v>
          </cell>
          <cell r="U1437">
            <v>0</v>
          </cell>
          <cell r="V1437">
            <v>0</v>
          </cell>
          <cell r="W1437">
            <v>0</v>
          </cell>
        </row>
        <row r="1438">
          <cell r="K1438">
            <v>51.59</v>
          </cell>
          <cell r="Q1438">
            <v>0</v>
          </cell>
          <cell r="R1438">
            <v>0</v>
          </cell>
          <cell r="U1438">
            <v>0</v>
          </cell>
          <cell r="V1438">
            <v>0</v>
          </cell>
          <cell r="W1438">
            <v>0</v>
          </cell>
        </row>
        <row r="1439">
          <cell r="K1439">
            <v>0</v>
          </cell>
          <cell r="Q1439">
            <v>0</v>
          </cell>
          <cell r="R1439">
            <v>0</v>
          </cell>
          <cell r="U1439">
            <v>0</v>
          </cell>
          <cell r="V1439">
            <v>0</v>
          </cell>
          <cell r="W1439">
            <v>0</v>
          </cell>
        </row>
        <row r="1440">
          <cell r="K1440">
            <v>22.2</v>
          </cell>
          <cell r="Q1440">
            <v>0</v>
          </cell>
          <cell r="R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K1441">
            <v>10.9</v>
          </cell>
          <cell r="Q1441">
            <v>0</v>
          </cell>
          <cell r="R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K1442">
            <v>0</v>
          </cell>
          <cell r="Q1442">
            <v>0</v>
          </cell>
          <cell r="R1442">
            <v>0</v>
          </cell>
          <cell r="U1442">
            <v>0</v>
          </cell>
          <cell r="V1442">
            <v>0</v>
          </cell>
          <cell r="W1442">
            <v>0</v>
          </cell>
        </row>
        <row r="1443">
          <cell r="K1443">
            <v>22.2</v>
          </cell>
          <cell r="Q1443">
            <v>0</v>
          </cell>
          <cell r="R1443">
            <v>0</v>
          </cell>
          <cell r="U1443">
            <v>0</v>
          </cell>
          <cell r="V1443">
            <v>0</v>
          </cell>
          <cell r="W1443">
            <v>0</v>
          </cell>
        </row>
        <row r="1444">
          <cell r="K1444">
            <v>10.9</v>
          </cell>
          <cell r="Q1444">
            <v>0</v>
          </cell>
          <cell r="R1444">
            <v>0</v>
          </cell>
          <cell r="U1444">
            <v>0</v>
          </cell>
          <cell r="V1444">
            <v>0</v>
          </cell>
          <cell r="W1444">
            <v>0</v>
          </cell>
        </row>
        <row r="1445">
          <cell r="K1445">
            <v>3.4</v>
          </cell>
          <cell r="Q1445">
            <v>70.816822304898508</v>
          </cell>
          <cell r="R1445">
            <v>10.990448475673334</v>
          </cell>
          <cell r="U1445">
            <v>0</v>
          </cell>
          <cell r="V1445">
            <v>0.77146903785612131</v>
          </cell>
          <cell r="W1445">
            <v>0</v>
          </cell>
        </row>
        <row r="1446">
          <cell r="K1446">
            <v>11.1</v>
          </cell>
          <cell r="Q1446">
            <v>168.44287019665146</v>
          </cell>
          <cell r="R1446">
            <v>26.141566731422998</v>
          </cell>
          <cell r="U1446">
            <v>0</v>
          </cell>
          <cell r="V1446">
            <v>1.8349942114720601</v>
          </cell>
          <cell r="W1446">
            <v>0</v>
          </cell>
        </row>
        <row r="1447">
          <cell r="K1447">
            <v>5.5</v>
          </cell>
          <cell r="Q1447">
            <v>166.92536686154651</v>
          </cell>
          <cell r="R1447">
            <v>25.906057121230003</v>
          </cell>
          <cell r="U1447">
            <v>0</v>
          </cell>
          <cell r="V1447">
            <v>1.8184627320894289</v>
          </cell>
          <cell r="W1447">
            <v>0</v>
          </cell>
        </row>
        <row r="1448">
          <cell r="K1448">
            <v>5.2</v>
          </cell>
          <cell r="Q1448">
            <v>157.82034685091668</v>
          </cell>
          <cell r="R1448">
            <v>24.492999460071999</v>
          </cell>
          <cell r="U1448">
            <v>0</v>
          </cell>
          <cell r="V1448">
            <v>1.7192738557936418</v>
          </cell>
          <cell r="W1448">
            <v>0</v>
          </cell>
        </row>
        <row r="1449">
          <cell r="K1449">
            <v>94.5</v>
          </cell>
          <cell r="Q1449">
            <v>936.90655909380735</v>
          </cell>
          <cell r="R1449">
            <v>145.40363333315818</v>
          </cell>
          <cell r="U1449">
            <v>0</v>
          </cell>
          <cell r="V1449">
            <v>10.206535370836486</v>
          </cell>
          <cell r="W1449">
            <v>0</v>
          </cell>
        </row>
        <row r="1450">
          <cell r="K1450">
            <v>6.4</v>
          </cell>
          <cell r="Q1450">
            <v>133.30225375039723</v>
          </cell>
          <cell r="R1450">
            <v>20.687903013032159</v>
          </cell>
          <cell r="U1450">
            <v>0</v>
          </cell>
          <cell r="V1450">
            <v>1.4521770124350522</v>
          </cell>
          <cell r="W1450">
            <v>0</v>
          </cell>
        </row>
        <row r="1451">
          <cell r="K1451">
            <v>20.6</v>
          </cell>
          <cell r="Q1451">
            <v>204.23571552732733</v>
          </cell>
          <cell r="R1451">
            <v>31.696453403841893</v>
          </cell>
          <cell r="U1451">
            <v>0</v>
          </cell>
          <cell r="V1451">
            <v>2.224916705177054</v>
          </cell>
          <cell r="W1451">
            <v>0</v>
          </cell>
        </row>
        <row r="1452">
          <cell r="K1452">
            <v>20.6</v>
          </cell>
          <cell r="Q1452">
            <v>204.23571552732733</v>
          </cell>
          <cell r="R1452">
            <v>31.696453403841893</v>
          </cell>
          <cell r="U1452">
            <v>0</v>
          </cell>
          <cell r="V1452">
            <v>2.224916705177054</v>
          </cell>
          <cell r="W1452">
            <v>0</v>
          </cell>
        </row>
        <row r="1453">
          <cell r="K1453">
            <v>45.2</v>
          </cell>
          <cell r="Q1453">
            <v>670.00730014697547</v>
          </cell>
          <cell r="R1453">
            <v>103.98208322432697</v>
          </cell>
          <cell r="U1453">
            <v>0</v>
          </cell>
          <cell r="V1453">
            <v>7.2989703629389</v>
          </cell>
          <cell r="W1453">
            <v>0</v>
          </cell>
        </row>
        <row r="1454">
          <cell r="K1454">
            <v>52.2</v>
          </cell>
          <cell r="Q1454">
            <v>773.76949264761311</v>
          </cell>
          <cell r="R1454">
            <v>120.08550319269618</v>
          </cell>
          <cell r="U1454">
            <v>0</v>
          </cell>
          <cell r="V1454">
            <v>8.4293418793232409</v>
          </cell>
          <cell r="W1454">
            <v>0</v>
          </cell>
        </row>
        <row r="1455">
          <cell r="K1455">
            <v>52.4</v>
          </cell>
          <cell r="Q1455">
            <v>726.0263782389161</v>
          </cell>
          <cell r="R1455">
            <v>112.67598915494661</v>
          </cell>
          <cell r="U1455">
            <v>0</v>
          </cell>
          <cell r="V1455">
            <v>7.9092347446292788</v>
          </cell>
          <cell r="W1455">
            <v>0</v>
          </cell>
        </row>
        <row r="1456">
          <cell r="K1456">
            <v>6.3</v>
          </cell>
          <cell r="Q1456">
            <v>191.20542022322599</v>
          </cell>
          <cell r="R1456">
            <v>29.674210884317997</v>
          </cell>
          <cell r="U1456">
            <v>0</v>
          </cell>
          <cell r="V1456">
            <v>2.0829664022115275</v>
          </cell>
          <cell r="W1456">
            <v>0</v>
          </cell>
        </row>
        <row r="1457">
          <cell r="K1457">
            <v>30.9</v>
          </cell>
          <cell r="Q1457">
            <v>635.29542848362166</v>
          </cell>
          <cell r="R1457">
            <v>98.594958744669455</v>
          </cell>
          <cell r="U1457">
            <v>0</v>
          </cell>
          <cell r="V1457">
            <v>6.920823852509268</v>
          </cell>
          <cell r="W1457">
            <v>0</v>
          </cell>
        </row>
        <row r="1458">
          <cell r="K1458">
            <v>6.4</v>
          </cell>
          <cell r="Q1458">
            <v>63.451872785189067</v>
          </cell>
          <cell r="R1458">
            <v>9.8474418342033054</v>
          </cell>
          <cell r="U1458">
            <v>0</v>
          </cell>
          <cell r="V1458">
            <v>0.69123625791908472</v>
          </cell>
          <cell r="W1458">
            <v>0</v>
          </cell>
        </row>
        <row r="1459">
          <cell r="K1459">
            <v>6.4</v>
          </cell>
          <cell r="Q1459">
            <v>194.24042689343594</v>
          </cell>
          <cell r="R1459">
            <v>30.145230104704002</v>
          </cell>
          <cell r="U1459">
            <v>0</v>
          </cell>
          <cell r="V1459">
            <v>2.11602936097679</v>
          </cell>
          <cell r="W1459">
            <v>0</v>
          </cell>
        </row>
        <row r="1460">
          <cell r="K1460">
            <v>32.799999999999997</v>
          </cell>
          <cell r="Q1460">
            <v>325.19084802409395</v>
          </cell>
          <cell r="R1460">
            <v>50.468139400291939</v>
          </cell>
          <cell r="U1460">
            <v>0</v>
          </cell>
          <cell r="V1460">
            <v>3.542585821835309</v>
          </cell>
          <cell r="W1460">
            <v>0</v>
          </cell>
        </row>
        <row r="1461">
          <cell r="K1461">
            <v>2.2000000000000002</v>
          </cell>
          <cell r="Q1461">
            <v>11.715359508756455</v>
          </cell>
          <cell r="R1461">
            <v>1.8181704694489111</v>
          </cell>
          <cell r="U1461">
            <v>0</v>
          </cell>
          <cell r="V1461">
            <v>0.12762556740326556</v>
          </cell>
          <cell r="W1461">
            <v>0</v>
          </cell>
        </row>
        <row r="1462">
          <cell r="K1462">
            <v>49.4</v>
          </cell>
          <cell r="Q1462">
            <v>489.76914306067812</v>
          </cell>
          <cell r="R1462">
            <v>76.009941657756769</v>
          </cell>
          <cell r="U1462">
            <v>0</v>
          </cell>
          <cell r="V1462">
            <v>5.3354798658129354</v>
          </cell>
          <cell r="W1462">
            <v>0</v>
          </cell>
        </row>
        <row r="1463">
          <cell r="K1463">
            <v>15.5</v>
          </cell>
          <cell r="Q1463">
            <v>82.540032902602292</v>
          </cell>
          <cell r="R1463">
            <v>12.809837398390057</v>
          </cell>
          <cell r="U1463">
            <v>0</v>
          </cell>
          <cell r="V1463">
            <v>0.89918013397755281</v>
          </cell>
          <cell r="W1463">
            <v>0</v>
          </cell>
        </row>
        <row r="1464">
          <cell r="K1464">
            <v>3.8</v>
          </cell>
          <cell r="Q1464">
            <v>27.169146249667797</v>
          </cell>
          <cell r="R1464">
            <v>4.2165278286477506</v>
          </cell>
          <cell r="U1464">
            <v>0</v>
          </cell>
          <cell r="V1464">
            <v>0.29597706356210812</v>
          </cell>
          <cell r="W1464">
            <v>0</v>
          </cell>
        </row>
        <row r="1465">
          <cell r="K1465">
            <v>5</v>
          </cell>
          <cell r="Q1465">
            <v>102.79861302323977</v>
          </cell>
          <cell r="R1465">
            <v>15.953876819525805</v>
          </cell>
          <cell r="U1465">
            <v>0</v>
          </cell>
          <cell r="V1465">
            <v>1.1198744097911437</v>
          </cell>
          <cell r="W1465">
            <v>0</v>
          </cell>
        </row>
        <row r="1466">
          <cell r="K1466">
            <v>2.2999999999999998</v>
          </cell>
          <cell r="Q1466">
            <v>69.805153414828524</v>
          </cell>
          <cell r="R1466">
            <v>10.833442068877998</v>
          </cell>
          <cell r="U1466">
            <v>0</v>
          </cell>
          <cell r="V1466">
            <v>0.76044805160103379</v>
          </cell>
          <cell r="W1466">
            <v>0</v>
          </cell>
        </row>
        <row r="1467">
          <cell r="K1467">
            <v>2.2999999999999998</v>
          </cell>
          <cell r="Q1467">
            <v>69.805153414828524</v>
          </cell>
          <cell r="R1467">
            <v>10.833442068877998</v>
          </cell>
          <cell r="U1467">
            <v>0</v>
          </cell>
          <cell r="V1467">
            <v>0.76044805160103379</v>
          </cell>
          <cell r="W1467">
            <v>0</v>
          </cell>
        </row>
        <row r="1468">
          <cell r="K1468">
            <v>15</v>
          </cell>
          <cell r="Q1468">
            <v>148.71532684028685</v>
          </cell>
          <cell r="R1468">
            <v>23.079941798913993</v>
          </cell>
          <cell r="U1468">
            <v>0</v>
          </cell>
          <cell r="V1468">
            <v>1.6200849794978545</v>
          </cell>
          <cell r="W1468">
            <v>0</v>
          </cell>
        </row>
        <row r="1469">
          <cell r="K1469">
            <v>8.1</v>
          </cell>
          <cell r="Q1469">
            <v>18.969753136165281</v>
          </cell>
          <cell r="R1469">
            <v>2.9440193396653696</v>
          </cell>
          <cell r="U1469">
            <v>0</v>
          </cell>
          <cell r="V1469">
            <v>0.20665396616240533</v>
          </cell>
          <cell r="W1469">
            <v>0</v>
          </cell>
        </row>
        <row r="1470">
          <cell r="K1470">
            <v>9.1999999999999993</v>
          </cell>
          <cell r="Q1470">
            <v>91.212067128709279</v>
          </cell>
          <cell r="R1470">
            <v>14.155697636667252</v>
          </cell>
          <cell r="U1470">
            <v>0</v>
          </cell>
          <cell r="V1470">
            <v>0.99365212075868425</v>
          </cell>
          <cell r="W1470">
            <v>0</v>
          </cell>
        </row>
        <row r="1471">
          <cell r="K1471">
            <v>7.4</v>
          </cell>
          <cell r="Q1471">
            <v>39.406209256726257</v>
          </cell>
          <cell r="R1471">
            <v>6.1156643063281564</v>
          </cell>
          <cell r="U1471">
            <v>0</v>
          </cell>
          <cell r="V1471">
            <v>0.42928599944734774</v>
          </cell>
          <cell r="W1471">
            <v>0</v>
          </cell>
        </row>
        <row r="1472">
          <cell r="K1472">
            <v>8.8000000000000007</v>
          </cell>
          <cell r="Q1472">
            <v>87.246325079634971</v>
          </cell>
          <cell r="R1472">
            <v>13.540232522029546</v>
          </cell>
          <cell r="U1472">
            <v>0</v>
          </cell>
          <cell r="V1472">
            <v>0.95044985463874143</v>
          </cell>
          <cell r="W1472">
            <v>0</v>
          </cell>
        </row>
        <row r="1473">
          <cell r="K1473">
            <v>34.6</v>
          </cell>
          <cell r="Q1473">
            <v>343.03668724492837</v>
          </cell>
          <cell r="R1473">
            <v>53.23773241616162</v>
          </cell>
          <cell r="U1473">
            <v>0</v>
          </cell>
          <cell r="V1473">
            <v>3.7369960193750513</v>
          </cell>
          <cell r="W1473">
            <v>0</v>
          </cell>
        </row>
        <row r="1474">
          <cell r="K1474">
            <v>4.5</v>
          </cell>
          <cell r="Q1474">
            <v>44.614598052086059</v>
          </cell>
          <cell r="R1474">
            <v>6.9239825396742001</v>
          </cell>
          <cell r="U1474">
            <v>0</v>
          </cell>
          <cell r="V1474">
            <v>0.48602549384935639</v>
          </cell>
          <cell r="W1474">
            <v>0</v>
          </cell>
        </row>
        <row r="1475">
          <cell r="K1475">
            <v>2.6</v>
          </cell>
          <cell r="Q1475">
            <v>13.8454248739849</v>
          </cell>
          <cell r="R1475">
            <v>2.1487469184396222</v>
          </cell>
          <cell r="U1475">
            <v>0</v>
          </cell>
          <cell r="V1475">
            <v>0.15083021602204111</v>
          </cell>
          <cell r="W1475">
            <v>0</v>
          </cell>
        </row>
        <row r="1476">
          <cell r="K1476">
            <v>7.2</v>
          </cell>
          <cell r="Q1476">
            <v>148.03000275346528</v>
          </cell>
          <cell r="R1476">
            <v>22.973582620117163</v>
          </cell>
          <cell r="U1476">
            <v>0</v>
          </cell>
          <cell r="V1476">
            <v>1.6126191500992471</v>
          </cell>
          <cell r="W1476">
            <v>0</v>
          </cell>
        </row>
        <row r="1477">
          <cell r="K1477">
            <v>2.2000000000000002</v>
          </cell>
          <cell r="Q1477">
            <v>66.7701467446186</v>
          </cell>
          <cell r="R1477">
            <v>10.362422848492001</v>
          </cell>
          <cell r="U1477">
            <v>0</v>
          </cell>
          <cell r="V1477">
            <v>0.72738509283577157</v>
          </cell>
          <cell r="W1477">
            <v>0</v>
          </cell>
        </row>
        <row r="1478">
          <cell r="K1478">
            <v>2.7</v>
          </cell>
          <cell r="Q1478">
            <v>81.945180095668292</v>
          </cell>
          <cell r="R1478">
            <v>12.717518950422001</v>
          </cell>
          <cell r="U1478">
            <v>0</v>
          </cell>
          <cell r="V1478">
            <v>0.89269988666208333</v>
          </cell>
          <cell r="W1478">
            <v>0</v>
          </cell>
        </row>
        <row r="1479">
          <cell r="K1479">
            <v>2.2000000000000002</v>
          </cell>
          <cell r="Q1479">
            <v>66.7701467446186</v>
          </cell>
          <cell r="R1479">
            <v>10.362422848492001</v>
          </cell>
          <cell r="U1479">
            <v>0</v>
          </cell>
          <cell r="V1479">
            <v>0.72738509283577157</v>
          </cell>
          <cell r="W1479">
            <v>0</v>
          </cell>
        </row>
        <row r="1480">
          <cell r="K1480">
            <v>14.8</v>
          </cell>
          <cell r="Q1480">
            <v>224.59049359553532</v>
          </cell>
          <cell r="R1480">
            <v>34.855422308564002</v>
          </cell>
          <cell r="U1480">
            <v>0</v>
          </cell>
          <cell r="V1480">
            <v>2.4466589486294135</v>
          </cell>
          <cell r="W1480">
            <v>0</v>
          </cell>
        </row>
        <row r="1481">
          <cell r="K1481">
            <v>76.2</v>
          </cell>
          <cell r="Q1481">
            <v>1129.5255812212283</v>
          </cell>
          <cell r="R1481">
            <v>175.2972287985335</v>
          </cell>
          <cell r="U1481">
            <v>0</v>
          </cell>
          <cell r="V1481">
            <v>12.304901364069559</v>
          </cell>
          <cell r="W1481">
            <v>0</v>
          </cell>
        </row>
        <row r="1482">
          <cell r="K1482">
            <v>3.6</v>
          </cell>
          <cell r="Q1482">
            <v>35.691678441668849</v>
          </cell>
          <cell r="R1482">
            <v>5.5391860317393595</v>
          </cell>
          <cell r="U1482">
            <v>0</v>
          </cell>
          <cell r="V1482">
            <v>0.38882039507948518</v>
          </cell>
          <cell r="W1482">
            <v>0</v>
          </cell>
        </row>
        <row r="1483">
          <cell r="K1483">
            <v>9.6</v>
          </cell>
          <cell r="Q1483">
            <v>51.121568765482706</v>
          </cell>
          <cell r="R1483">
            <v>7.9338347757770666</v>
          </cell>
          <cell r="U1483">
            <v>0</v>
          </cell>
          <cell r="V1483">
            <v>0.55691156685061327</v>
          </cell>
          <cell r="W1483">
            <v>0</v>
          </cell>
        </row>
        <row r="1484">
          <cell r="K1484">
            <v>19.899999999999999</v>
          </cell>
          <cell r="Q1484">
            <v>409.13847983249423</v>
          </cell>
          <cell r="R1484">
            <v>63.496429741712689</v>
          </cell>
          <cell r="U1484">
            <v>0</v>
          </cell>
          <cell r="V1484">
            <v>4.4571001509687518</v>
          </cell>
          <cell r="W1484">
            <v>0</v>
          </cell>
        </row>
        <row r="1485">
          <cell r="K1485">
            <v>12.3</v>
          </cell>
          <cell r="Q1485">
            <v>28.80592142899172</v>
          </cell>
          <cell r="R1485">
            <v>4.4705478861585242</v>
          </cell>
          <cell r="U1485">
            <v>0</v>
          </cell>
          <cell r="V1485">
            <v>0.31380787454291181</v>
          </cell>
          <cell r="W1485">
            <v>0</v>
          </cell>
        </row>
        <row r="1486">
          <cell r="K1486">
            <v>15</v>
          </cell>
          <cell r="Q1486">
            <v>35.129172474380148</v>
          </cell>
          <cell r="R1486">
            <v>5.4518876660469804</v>
          </cell>
          <cell r="U1486">
            <v>0</v>
          </cell>
          <cell r="V1486">
            <v>0.38269252993038022</v>
          </cell>
          <cell r="W1486">
            <v>0</v>
          </cell>
        </row>
        <row r="1487">
          <cell r="K1487">
            <v>5.7</v>
          </cell>
          <cell r="Q1487">
            <v>30.353431454505362</v>
          </cell>
          <cell r="R1487">
            <v>4.7107143981176343</v>
          </cell>
          <cell r="U1487">
            <v>0</v>
          </cell>
          <cell r="V1487">
            <v>0.33066624281755164</v>
          </cell>
          <cell r="W1487">
            <v>0</v>
          </cell>
        </row>
        <row r="1488">
          <cell r="K1488">
            <v>27.6</v>
          </cell>
          <cell r="Q1488">
            <v>409.11950185965759</v>
          </cell>
          <cell r="R1488">
            <v>63.493484446712934</v>
          </cell>
          <cell r="U1488">
            <v>0</v>
          </cell>
          <cell r="V1488">
            <v>4.4568934074582662</v>
          </cell>
          <cell r="W1488">
            <v>0</v>
          </cell>
        </row>
        <row r="1489">
          <cell r="K1489">
            <v>9.6</v>
          </cell>
          <cell r="Q1489">
            <v>95.177809177783587</v>
          </cell>
          <cell r="R1489">
            <v>14.771162751304956</v>
          </cell>
          <cell r="U1489">
            <v>0</v>
          </cell>
          <cell r="V1489">
            <v>1.0368543868786269</v>
          </cell>
          <cell r="W1489">
            <v>0</v>
          </cell>
        </row>
        <row r="1490">
          <cell r="K1490">
            <v>4.9000000000000004</v>
          </cell>
          <cell r="Q1490">
            <v>26.093300724048468</v>
          </cell>
          <cell r="R1490">
            <v>4.0495615001362122</v>
          </cell>
          <cell r="U1490">
            <v>0</v>
          </cell>
          <cell r="V1490">
            <v>0.28425694558000059</v>
          </cell>
          <cell r="W1490">
            <v>0</v>
          </cell>
        </row>
        <row r="1491">
          <cell r="K1491">
            <v>9.1</v>
          </cell>
          <cell r="Q1491">
            <v>90.220631616440699</v>
          </cell>
          <cell r="R1491">
            <v>14.001831358007825</v>
          </cell>
          <cell r="U1491">
            <v>0</v>
          </cell>
          <cell r="V1491">
            <v>0.98285155422869852</v>
          </cell>
          <cell r="W1491">
            <v>0</v>
          </cell>
        </row>
        <row r="1492">
          <cell r="K1492">
            <v>5.2</v>
          </cell>
          <cell r="Q1492">
            <v>106.91055754416935</v>
          </cell>
          <cell r="R1492">
            <v>16.592031892306835</v>
          </cell>
          <cell r="U1492">
            <v>0</v>
          </cell>
          <cell r="V1492">
            <v>1.1646693861827895</v>
          </cell>
          <cell r="W1492">
            <v>0</v>
          </cell>
        </row>
        <row r="1493">
          <cell r="K1493">
            <v>26.5</v>
          </cell>
          <cell r="Q1493">
            <v>262.73041075117345</v>
          </cell>
          <cell r="R1493">
            <v>40.774563844748066</v>
          </cell>
          <cell r="U1493">
            <v>0</v>
          </cell>
          <cell r="V1493">
            <v>2.86215013044621</v>
          </cell>
          <cell r="W1493">
            <v>0</v>
          </cell>
        </row>
        <row r="1494">
          <cell r="K1494">
            <v>37.700000000000003</v>
          </cell>
          <cell r="Q1494">
            <v>373.77118812525435</v>
          </cell>
          <cell r="R1494">
            <v>58.007587054603853</v>
          </cell>
          <cell r="U1494">
            <v>0</v>
          </cell>
          <cell r="V1494">
            <v>4.0718135818046086</v>
          </cell>
          <cell r="W1494">
            <v>0</v>
          </cell>
        </row>
        <row r="1495">
          <cell r="K1495">
            <v>40.700000000000003</v>
          </cell>
          <cell r="Q1495">
            <v>617.62385738772218</v>
          </cell>
          <cell r="R1495">
            <v>95.852411348551016</v>
          </cell>
          <cell r="U1495">
            <v>0</v>
          </cell>
          <cell r="V1495">
            <v>6.7283121087308881</v>
          </cell>
          <cell r="W1495">
            <v>0</v>
          </cell>
        </row>
        <row r="1496">
          <cell r="K1496">
            <v>20.7</v>
          </cell>
          <cell r="Q1496">
            <v>205.2271510395959</v>
          </cell>
          <cell r="R1496">
            <v>31.850319682501318</v>
          </cell>
          <cell r="U1496">
            <v>0</v>
          </cell>
          <cell r="V1496">
            <v>2.2357172717070397</v>
          </cell>
          <cell r="W1496">
            <v>0</v>
          </cell>
        </row>
        <row r="1497">
          <cell r="K1497">
            <v>20.399999999999999</v>
          </cell>
          <cell r="Q1497">
            <v>202.25284450279014</v>
          </cell>
          <cell r="R1497">
            <v>31.388720846523036</v>
          </cell>
          <cell r="U1497">
            <v>0</v>
          </cell>
          <cell r="V1497">
            <v>2.2033155721170825</v>
          </cell>
          <cell r="W1497">
            <v>0</v>
          </cell>
        </row>
        <row r="1498">
          <cell r="K1498">
            <v>20.399999999999999</v>
          </cell>
          <cell r="Q1498">
            <v>202.25284450279014</v>
          </cell>
          <cell r="R1498">
            <v>31.388720846523036</v>
          </cell>
          <cell r="U1498">
            <v>0</v>
          </cell>
          <cell r="V1498">
            <v>2.2033155721170825</v>
          </cell>
          <cell r="W1498">
            <v>0</v>
          </cell>
        </row>
        <row r="1499">
          <cell r="K1499">
            <v>17.399999999999999</v>
          </cell>
          <cell r="Q1499">
            <v>172.50977913473275</v>
          </cell>
          <cell r="R1499">
            <v>26.772732486740235</v>
          </cell>
          <cell r="U1499">
            <v>0</v>
          </cell>
          <cell r="V1499">
            <v>1.8792985762175112</v>
          </cell>
          <cell r="W1499">
            <v>0</v>
          </cell>
        </row>
        <row r="1500">
          <cell r="K1500">
            <v>4.9000000000000004</v>
          </cell>
          <cell r="Q1500">
            <v>148.71532684028688</v>
          </cell>
          <cell r="R1500">
            <v>23.079941798914</v>
          </cell>
          <cell r="U1500">
            <v>0</v>
          </cell>
          <cell r="V1500">
            <v>1.6200849794978549</v>
          </cell>
          <cell r="W1500">
            <v>0</v>
          </cell>
        </row>
        <row r="1501">
          <cell r="K1501">
            <v>30.4</v>
          </cell>
          <cell r="Q1501">
            <v>301.39639572964802</v>
          </cell>
          <cell r="R1501">
            <v>46.775348712465693</v>
          </cell>
          <cell r="U1501">
            <v>0</v>
          </cell>
          <cell r="V1501">
            <v>3.2833722251156519</v>
          </cell>
          <cell r="W1501">
            <v>0</v>
          </cell>
        </row>
        <row r="1502">
          <cell r="K1502">
            <v>19.8</v>
          </cell>
          <cell r="Q1502">
            <v>196.30423142917869</v>
          </cell>
          <cell r="R1502">
            <v>30.465523174566478</v>
          </cell>
          <cell r="U1502">
            <v>0</v>
          </cell>
          <cell r="V1502">
            <v>2.1385121729371681</v>
          </cell>
          <cell r="W1502">
            <v>0</v>
          </cell>
        </row>
        <row r="1503">
          <cell r="K1503">
            <v>18.3</v>
          </cell>
          <cell r="Q1503">
            <v>181.43269874514999</v>
          </cell>
          <cell r="R1503">
            <v>28.157528994675079</v>
          </cell>
          <cell r="U1503">
            <v>0</v>
          </cell>
          <cell r="V1503">
            <v>1.976503674987383</v>
          </cell>
          <cell r="W1503">
            <v>0</v>
          </cell>
        </row>
        <row r="1504">
          <cell r="K1504">
            <v>26.7</v>
          </cell>
          <cell r="Q1504">
            <v>142.18186312899877</v>
          </cell>
          <cell r="R1504">
            <v>22.065977970129968</v>
          </cell>
          <cell r="U1504">
            <v>0</v>
          </cell>
          <cell r="V1504">
            <v>1.5489102953032681</v>
          </cell>
          <cell r="W1504">
            <v>0</v>
          </cell>
        </row>
        <row r="1505">
          <cell r="K1505">
            <v>2.8</v>
          </cell>
          <cell r="Q1505">
            <v>58.319736015798767</v>
          </cell>
          <cell r="R1505">
            <v>9.0509575682015679</v>
          </cell>
          <cell r="U1505">
            <v>0</v>
          </cell>
          <cell r="V1505">
            <v>0.63532744294033516</v>
          </cell>
          <cell r="W1505">
            <v>0</v>
          </cell>
        </row>
        <row r="1506">
          <cell r="K1506">
            <v>3.9</v>
          </cell>
          <cell r="Q1506">
            <v>118.36526013818749</v>
          </cell>
          <cell r="R1506">
            <v>18.369749595053996</v>
          </cell>
          <cell r="U1506">
            <v>0</v>
          </cell>
          <cell r="V1506">
            <v>1.2894553918452312</v>
          </cell>
          <cell r="W1506">
            <v>0</v>
          </cell>
        </row>
        <row r="1507">
          <cell r="K1507">
            <v>0</v>
          </cell>
          <cell r="Q1507">
            <v>0</v>
          </cell>
          <cell r="R1507">
            <v>0</v>
          </cell>
          <cell r="U1507">
            <v>0</v>
          </cell>
          <cell r="V1507">
            <v>0</v>
          </cell>
          <cell r="W150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a-Data"/>
      <sheetName val="1b-Contractblad totaal"/>
      <sheetName val="1c-Contractblad per locatie"/>
      <sheetName val="2-Kengetal"/>
      <sheetName val="3-Basis ruimtestaat"/>
      <sheetName val="4-Premies en opslagen"/>
      <sheetName val="5-Opbouw uurtarieven"/>
      <sheetName val="6-Tarievenmatrix"/>
      <sheetName val="7-Afroepprijs"/>
    </sheetNames>
    <sheetDataSet>
      <sheetData sheetId="0"/>
      <sheetData sheetId="1"/>
      <sheetData sheetId="2"/>
      <sheetData sheetId="3"/>
      <sheetData sheetId="4"/>
      <sheetData sheetId="5">
        <row r="9">
          <cell r="M9" t="str">
            <v>UREN P/JR        MA-VR</v>
          </cell>
          <cell r="N9" t="str">
            <v>UREN P/JR     NALOOP</v>
          </cell>
        </row>
        <row r="10">
          <cell r="M10">
            <v>0</v>
          </cell>
          <cell r="N10">
            <v>0</v>
          </cell>
        </row>
        <row r="11">
          <cell r="M11">
            <v>0</v>
          </cell>
          <cell r="N11">
            <v>0</v>
          </cell>
        </row>
        <row r="12">
          <cell r="M12">
            <v>0</v>
          </cell>
          <cell r="N12">
            <v>0</v>
          </cell>
        </row>
        <row r="13">
          <cell r="M13">
            <v>0</v>
          </cell>
          <cell r="N13">
            <v>0</v>
          </cell>
        </row>
        <row r="14">
          <cell r="M14">
            <v>0</v>
          </cell>
          <cell r="N14">
            <v>0</v>
          </cell>
        </row>
        <row r="15">
          <cell r="M15">
            <v>0</v>
          </cell>
          <cell r="N15">
            <v>0</v>
          </cell>
        </row>
        <row r="16">
          <cell r="M16">
            <v>0</v>
          </cell>
          <cell r="N16">
            <v>0</v>
          </cell>
        </row>
        <row r="17">
          <cell r="M17">
            <v>0</v>
          </cell>
          <cell r="N17">
            <v>0</v>
          </cell>
        </row>
        <row r="18">
          <cell r="M18">
            <v>0</v>
          </cell>
          <cell r="N18">
            <v>0</v>
          </cell>
        </row>
        <row r="19">
          <cell r="M19">
            <v>0</v>
          </cell>
          <cell r="N19">
            <v>0</v>
          </cell>
        </row>
        <row r="20">
          <cell r="M20">
            <v>0</v>
          </cell>
          <cell r="N20">
            <v>0</v>
          </cell>
        </row>
        <row r="21">
          <cell r="M21">
            <v>0</v>
          </cell>
          <cell r="N21">
            <v>0</v>
          </cell>
        </row>
        <row r="22">
          <cell r="M22">
            <v>0</v>
          </cell>
          <cell r="N22">
            <v>0</v>
          </cell>
        </row>
        <row r="23">
          <cell r="M23">
            <v>0</v>
          </cell>
          <cell r="N23">
            <v>0</v>
          </cell>
        </row>
        <row r="24">
          <cell r="M24">
            <v>0</v>
          </cell>
          <cell r="N24">
            <v>0</v>
          </cell>
        </row>
        <row r="25">
          <cell r="M25">
            <v>0</v>
          </cell>
          <cell r="N25">
            <v>0</v>
          </cell>
        </row>
        <row r="26">
          <cell r="M26">
            <v>0</v>
          </cell>
          <cell r="N26">
            <v>0</v>
          </cell>
        </row>
        <row r="27">
          <cell r="M27">
            <v>0</v>
          </cell>
          <cell r="N27">
            <v>0</v>
          </cell>
        </row>
        <row r="28">
          <cell r="M28">
            <v>0</v>
          </cell>
          <cell r="N28">
            <v>0</v>
          </cell>
        </row>
        <row r="29">
          <cell r="M29">
            <v>0</v>
          </cell>
          <cell r="N29">
            <v>0</v>
          </cell>
        </row>
        <row r="30">
          <cell r="M30">
            <v>0</v>
          </cell>
          <cell r="N30">
            <v>0</v>
          </cell>
        </row>
        <row r="31">
          <cell r="M31">
            <v>0</v>
          </cell>
          <cell r="N31">
            <v>0</v>
          </cell>
        </row>
        <row r="32">
          <cell r="M32">
            <v>0</v>
          </cell>
          <cell r="N32">
            <v>0</v>
          </cell>
        </row>
        <row r="33">
          <cell r="M33">
            <v>0</v>
          </cell>
          <cell r="N33">
            <v>0</v>
          </cell>
        </row>
        <row r="34">
          <cell r="M34">
            <v>0</v>
          </cell>
          <cell r="N34">
            <v>0</v>
          </cell>
        </row>
        <row r="35">
          <cell r="M35">
            <v>0</v>
          </cell>
          <cell r="N35">
            <v>0</v>
          </cell>
        </row>
        <row r="36">
          <cell r="M36">
            <v>0</v>
          </cell>
          <cell r="N36">
            <v>0</v>
          </cell>
        </row>
        <row r="37">
          <cell r="M37">
            <v>0</v>
          </cell>
          <cell r="N37">
            <v>0</v>
          </cell>
        </row>
        <row r="38">
          <cell r="M38">
            <v>0</v>
          </cell>
          <cell r="N38">
            <v>0</v>
          </cell>
        </row>
        <row r="39">
          <cell r="M39">
            <v>0</v>
          </cell>
          <cell r="N39">
            <v>0</v>
          </cell>
        </row>
        <row r="40">
          <cell r="M40">
            <v>0</v>
          </cell>
          <cell r="N40">
            <v>0</v>
          </cell>
        </row>
        <row r="41">
          <cell r="M41">
            <v>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6">
          <cell r="M46">
            <v>0</v>
          </cell>
          <cell r="N46">
            <v>0</v>
          </cell>
        </row>
        <row r="47">
          <cell r="M47">
            <v>0</v>
          </cell>
          <cell r="N47">
            <v>0</v>
          </cell>
        </row>
        <row r="48">
          <cell r="M48">
            <v>0</v>
          </cell>
          <cell r="N48">
            <v>0</v>
          </cell>
        </row>
        <row r="49">
          <cell r="M49">
            <v>0</v>
          </cell>
          <cell r="N49">
            <v>0</v>
          </cell>
        </row>
        <row r="50">
          <cell r="M50">
            <v>0</v>
          </cell>
          <cell r="N50">
            <v>0</v>
          </cell>
        </row>
        <row r="51">
          <cell r="M51">
            <v>0</v>
          </cell>
          <cell r="N51">
            <v>0</v>
          </cell>
        </row>
        <row r="52">
          <cell r="M52">
            <v>0</v>
          </cell>
          <cell r="N52">
            <v>0</v>
          </cell>
        </row>
        <row r="53">
          <cell r="M53">
            <v>0</v>
          </cell>
          <cell r="N53">
            <v>0</v>
          </cell>
        </row>
        <row r="54">
          <cell r="M54">
            <v>0</v>
          </cell>
          <cell r="N54">
            <v>0</v>
          </cell>
        </row>
        <row r="55">
          <cell r="M55">
            <v>0</v>
          </cell>
          <cell r="N55">
            <v>0</v>
          </cell>
        </row>
        <row r="56">
          <cell r="M56">
            <v>0</v>
          </cell>
          <cell r="N56">
            <v>0</v>
          </cell>
        </row>
        <row r="57">
          <cell r="M57">
            <v>0</v>
          </cell>
          <cell r="N57">
            <v>0</v>
          </cell>
        </row>
        <row r="58">
          <cell r="M58">
            <v>0</v>
          </cell>
          <cell r="N58">
            <v>0</v>
          </cell>
        </row>
        <row r="59">
          <cell r="M59">
            <v>0</v>
          </cell>
          <cell r="N59">
            <v>0</v>
          </cell>
        </row>
        <row r="60">
          <cell r="M60">
            <v>0</v>
          </cell>
          <cell r="N60">
            <v>0</v>
          </cell>
        </row>
        <row r="61">
          <cell r="M61">
            <v>0</v>
          </cell>
          <cell r="N61">
            <v>0</v>
          </cell>
        </row>
        <row r="62">
          <cell r="M62">
            <v>0</v>
          </cell>
          <cell r="N62">
            <v>0</v>
          </cell>
        </row>
        <row r="63">
          <cell r="M63">
            <v>0</v>
          </cell>
          <cell r="N63">
            <v>0</v>
          </cell>
        </row>
        <row r="64">
          <cell r="M64">
            <v>0</v>
          </cell>
          <cell r="N64">
            <v>0</v>
          </cell>
        </row>
        <row r="65">
          <cell r="M65">
            <v>0</v>
          </cell>
          <cell r="N65">
            <v>0</v>
          </cell>
        </row>
        <row r="66">
          <cell r="M66">
            <v>0</v>
          </cell>
          <cell r="N66">
            <v>0</v>
          </cell>
        </row>
        <row r="67">
          <cell r="M67">
            <v>0</v>
          </cell>
          <cell r="N67">
            <v>0</v>
          </cell>
        </row>
        <row r="68">
          <cell r="M68">
            <v>0</v>
          </cell>
          <cell r="N68">
            <v>0</v>
          </cell>
        </row>
        <row r="69">
          <cell r="M69">
            <v>0</v>
          </cell>
          <cell r="N69">
            <v>0</v>
          </cell>
        </row>
        <row r="70">
          <cell r="M70">
            <v>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  <row r="78">
          <cell r="M78">
            <v>0</v>
          </cell>
          <cell r="N78">
            <v>0</v>
          </cell>
        </row>
        <row r="79">
          <cell r="M79">
            <v>0</v>
          </cell>
          <cell r="N79">
            <v>0</v>
          </cell>
        </row>
        <row r="80">
          <cell r="M80">
            <v>0</v>
          </cell>
          <cell r="N80">
            <v>0</v>
          </cell>
        </row>
        <row r="81">
          <cell r="M81">
            <v>0</v>
          </cell>
          <cell r="N81">
            <v>0</v>
          </cell>
        </row>
        <row r="82">
          <cell r="M82">
            <v>0</v>
          </cell>
          <cell r="N82">
            <v>0</v>
          </cell>
        </row>
        <row r="83">
          <cell r="M83">
            <v>0</v>
          </cell>
          <cell r="N83">
            <v>0</v>
          </cell>
        </row>
        <row r="84">
          <cell r="M84">
            <v>0</v>
          </cell>
          <cell r="N84">
            <v>0</v>
          </cell>
        </row>
        <row r="85">
          <cell r="M85">
            <v>0</v>
          </cell>
          <cell r="N85">
            <v>0</v>
          </cell>
        </row>
        <row r="86">
          <cell r="M86">
            <v>0</v>
          </cell>
          <cell r="N86">
            <v>0</v>
          </cell>
        </row>
        <row r="87">
          <cell r="M87">
            <v>0</v>
          </cell>
          <cell r="N87">
            <v>0</v>
          </cell>
        </row>
        <row r="88">
          <cell r="M88">
            <v>0</v>
          </cell>
          <cell r="N88">
            <v>0</v>
          </cell>
        </row>
        <row r="89">
          <cell r="M89">
            <v>0</v>
          </cell>
          <cell r="N89">
            <v>0</v>
          </cell>
        </row>
        <row r="90">
          <cell r="M90">
            <v>0</v>
          </cell>
          <cell r="N90">
            <v>0</v>
          </cell>
        </row>
        <row r="91">
          <cell r="M91">
            <v>0</v>
          </cell>
          <cell r="N91">
            <v>0</v>
          </cell>
        </row>
        <row r="92">
          <cell r="M92">
            <v>0</v>
          </cell>
          <cell r="N92">
            <v>0</v>
          </cell>
        </row>
        <row r="93">
          <cell r="M93">
            <v>0</v>
          </cell>
          <cell r="N93">
            <v>0</v>
          </cell>
        </row>
        <row r="94">
          <cell r="M94">
            <v>0</v>
          </cell>
          <cell r="N94">
            <v>0</v>
          </cell>
        </row>
        <row r="95">
          <cell r="M95">
            <v>0</v>
          </cell>
          <cell r="N95">
            <v>0</v>
          </cell>
        </row>
        <row r="96">
          <cell r="M96">
            <v>0</v>
          </cell>
          <cell r="N96">
            <v>0</v>
          </cell>
        </row>
        <row r="97">
          <cell r="M97">
            <v>0</v>
          </cell>
          <cell r="N97">
            <v>0</v>
          </cell>
        </row>
        <row r="98">
          <cell r="M98">
            <v>0</v>
          </cell>
          <cell r="N98">
            <v>0</v>
          </cell>
        </row>
        <row r="99">
          <cell r="M99">
            <v>0</v>
          </cell>
          <cell r="N99">
            <v>0</v>
          </cell>
        </row>
        <row r="100">
          <cell r="M100">
            <v>0</v>
          </cell>
          <cell r="N100">
            <v>0</v>
          </cell>
        </row>
        <row r="101">
          <cell r="M101">
            <v>0</v>
          </cell>
          <cell r="N101">
            <v>0</v>
          </cell>
        </row>
        <row r="102">
          <cell r="M102">
            <v>0</v>
          </cell>
          <cell r="N102">
            <v>0</v>
          </cell>
        </row>
        <row r="103">
          <cell r="M103">
            <v>0</v>
          </cell>
          <cell r="N103">
            <v>0</v>
          </cell>
        </row>
        <row r="104">
          <cell r="M104">
            <v>0</v>
          </cell>
          <cell r="N104">
            <v>0</v>
          </cell>
        </row>
        <row r="105">
          <cell r="M105">
            <v>0</v>
          </cell>
          <cell r="N105">
            <v>0</v>
          </cell>
        </row>
        <row r="106">
          <cell r="M106">
            <v>0</v>
          </cell>
          <cell r="N106">
            <v>0</v>
          </cell>
        </row>
        <row r="107">
          <cell r="M107">
            <v>0</v>
          </cell>
          <cell r="N107">
            <v>0</v>
          </cell>
        </row>
        <row r="108">
          <cell r="M108">
            <v>0</v>
          </cell>
          <cell r="N108">
            <v>0</v>
          </cell>
        </row>
        <row r="109">
          <cell r="M109">
            <v>0</v>
          </cell>
          <cell r="N109">
            <v>0</v>
          </cell>
        </row>
        <row r="110">
          <cell r="M110">
            <v>0</v>
          </cell>
          <cell r="N110">
            <v>0</v>
          </cell>
        </row>
        <row r="111">
          <cell r="M111">
            <v>0</v>
          </cell>
          <cell r="N111">
            <v>0</v>
          </cell>
        </row>
        <row r="112">
          <cell r="M112">
            <v>0</v>
          </cell>
          <cell r="N112">
            <v>0</v>
          </cell>
        </row>
        <row r="113">
          <cell r="M113">
            <v>0</v>
          </cell>
          <cell r="N113">
            <v>0</v>
          </cell>
        </row>
        <row r="114">
          <cell r="M114">
            <v>0</v>
          </cell>
          <cell r="N114">
            <v>0</v>
          </cell>
        </row>
        <row r="115">
          <cell r="M115">
            <v>0</v>
          </cell>
          <cell r="N115">
            <v>0</v>
          </cell>
        </row>
        <row r="116">
          <cell r="M116">
            <v>0</v>
          </cell>
          <cell r="N116">
            <v>0</v>
          </cell>
        </row>
        <row r="117">
          <cell r="M117">
            <v>0</v>
          </cell>
          <cell r="N117">
            <v>0</v>
          </cell>
        </row>
        <row r="118">
          <cell r="M118">
            <v>0</v>
          </cell>
          <cell r="N118">
            <v>0</v>
          </cell>
        </row>
        <row r="119">
          <cell r="M119">
            <v>0</v>
          </cell>
          <cell r="N119">
            <v>0</v>
          </cell>
        </row>
        <row r="120">
          <cell r="M120">
            <v>0</v>
          </cell>
          <cell r="N120">
            <v>0</v>
          </cell>
        </row>
        <row r="121">
          <cell r="M121">
            <v>0</v>
          </cell>
          <cell r="N121">
            <v>0</v>
          </cell>
        </row>
        <row r="122">
          <cell r="M122">
            <v>0</v>
          </cell>
          <cell r="N122">
            <v>0</v>
          </cell>
        </row>
        <row r="123">
          <cell r="M123">
            <v>0</v>
          </cell>
          <cell r="N123">
            <v>0</v>
          </cell>
        </row>
        <row r="124">
          <cell r="M124">
            <v>0</v>
          </cell>
          <cell r="N124">
            <v>0</v>
          </cell>
        </row>
        <row r="125">
          <cell r="M125">
            <v>0</v>
          </cell>
          <cell r="N125">
            <v>0</v>
          </cell>
        </row>
        <row r="126">
          <cell r="M126">
            <v>0</v>
          </cell>
          <cell r="N126">
            <v>0</v>
          </cell>
        </row>
        <row r="127">
          <cell r="M127">
            <v>0</v>
          </cell>
          <cell r="N127">
            <v>0</v>
          </cell>
        </row>
        <row r="128">
          <cell r="M128">
            <v>0</v>
          </cell>
          <cell r="N128">
            <v>0</v>
          </cell>
        </row>
        <row r="129">
          <cell r="M129">
            <v>0</v>
          </cell>
          <cell r="N129">
            <v>0</v>
          </cell>
        </row>
        <row r="130">
          <cell r="M130">
            <v>0</v>
          </cell>
          <cell r="N130">
            <v>0</v>
          </cell>
        </row>
        <row r="131">
          <cell r="M131">
            <v>0</v>
          </cell>
          <cell r="N131">
            <v>0</v>
          </cell>
        </row>
        <row r="132">
          <cell r="M132">
            <v>0</v>
          </cell>
          <cell r="N132">
            <v>0</v>
          </cell>
        </row>
        <row r="133">
          <cell r="M133">
            <v>0</v>
          </cell>
          <cell r="N133">
            <v>0</v>
          </cell>
        </row>
        <row r="134">
          <cell r="M134">
            <v>0</v>
          </cell>
          <cell r="N134">
            <v>0</v>
          </cell>
        </row>
        <row r="135">
          <cell r="M135">
            <v>0</v>
          </cell>
          <cell r="N135">
            <v>0</v>
          </cell>
        </row>
        <row r="136">
          <cell r="M136">
            <v>0</v>
          </cell>
          <cell r="N136">
            <v>0</v>
          </cell>
        </row>
        <row r="137">
          <cell r="M137">
            <v>0</v>
          </cell>
          <cell r="N137">
            <v>0</v>
          </cell>
        </row>
        <row r="138">
          <cell r="M138">
            <v>0</v>
          </cell>
          <cell r="N138">
            <v>0</v>
          </cell>
        </row>
        <row r="139">
          <cell r="M139">
            <v>0</v>
          </cell>
          <cell r="N139">
            <v>0</v>
          </cell>
        </row>
        <row r="140">
          <cell r="M140">
            <v>0</v>
          </cell>
          <cell r="N140">
            <v>0</v>
          </cell>
        </row>
        <row r="141">
          <cell r="M141">
            <v>0</v>
          </cell>
          <cell r="N141">
            <v>0</v>
          </cell>
        </row>
        <row r="142">
          <cell r="M142">
            <v>0</v>
          </cell>
          <cell r="N142">
            <v>0</v>
          </cell>
        </row>
        <row r="143">
          <cell r="M143">
            <v>0</v>
          </cell>
          <cell r="N143">
            <v>0</v>
          </cell>
        </row>
        <row r="144">
          <cell r="M144">
            <v>0</v>
          </cell>
          <cell r="N144">
            <v>0</v>
          </cell>
        </row>
        <row r="145">
          <cell r="M145">
            <v>0</v>
          </cell>
          <cell r="N145">
            <v>0</v>
          </cell>
        </row>
        <row r="146">
          <cell r="M146">
            <v>0</v>
          </cell>
          <cell r="N146">
            <v>0</v>
          </cell>
        </row>
        <row r="147">
          <cell r="M147">
            <v>0</v>
          </cell>
          <cell r="N147">
            <v>0</v>
          </cell>
        </row>
        <row r="148">
          <cell r="M148">
            <v>0</v>
          </cell>
          <cell r="N148">
            <v>0</v>
          </cell>
        </row>
        <row r="149">
          <cell r="M149">
            <v>0</v>
          </cell>
          <cell r="N149">
            <v>0</v>
          </cell>
        </row>
        <row r="150">
          <cell r="M150">
            <v>0</v>
          </cell>
          <cell r="N150">
            <v>0</v>
          </cell>
        </row>
        <row r="151">
          <cell r="M151">
            <v>0</v>
          </cell>
          <cell r="N151">
            <v>0</v>
          </cell>
        </row>
        <row r="152">
          <cell r="M152">
            <v>0</v>
          </cell>
          <cell r="N152">
            <v>0</v>
          </cell>
        </row>
        <row r="153">
          <cell r="M153">
            <v>0</v>
          </cell>
          <cell r="N153">
            <v>0</v>
          </cell>
        </row>
        <row r="154">
          <cell r="M154">
            <v>0</v>
          </cell>
          <cell r="N154">
            <v>0</v>
          </cell>
        </row>
        <row r="155">
          <cell r="M155">
            <v>0</v>
          </cell>
          <cell r="N155">
            <v>0</v>
          </cell>
        </row>
        <row r="156">
          <cell r="M156">
            <v>0</v>
          </cell>
          <cell r="N156">
            <v>0</v>
          </cell>
        </row>
        <row r="157">
          <cell r="M157">
            <v>0</v>
          </cell>
          <cell r="N157">
            <v>0</v>
          </cell>
        </row>
        <row r="158">
          <cell r="M158">
            <v>0</v>
          </cell>
          <cell r="N158">
            <v>0</v>
          </cell>
        </row>
        <row r="159">
          <cell r="M159">
            <v>0</v>
          </cell>
          <cell r="N159">
            <v>0</v>
          </cell>
        </row>
        <row r="160">
          <cell r="M160">
            <v>0</v>
          </cell>
          <cell r="N160">
            <v>0</v>
          </cell>
        </row>
        <row r="161">
          <cell r="M161">
            <v>0</v>
          </cell>
          <cell r="N161">
            <v>0</v>
          </cell>
        </row>
        <row r="162">
          <cell r="M162">
            <v>0</v>
          </cell>
          <cell r="N162">
            <v>0</v>
          </cell>
        </row>
        <row r="163">
          <cell r="M163">
            <v>0</v>
          </cell>
          <cell r="N163">
            <v>0</v>
          </cell>
        </row>
        <row r="164">
          <cell r="M164">
            <v>0</v>
          </cell>
          <cell r="N164">
            <v>0</v>
          </cell>
        </row>
        <row r="165">
          <cell r="M165">
            <v>0</v>
          </cell>
          <cell r="N165">
            <v>0</v>
          </cell>
        </row>
        <row r="166">
          <cell r="M166">
            <v>0</v>
          </cell>
          <cell r="N166">
            <v>0</v>
          </cell>
        </row>
        <row r="167">
          <cell r="M167">
            <v>0</v>
          </cell>
          <cell r="N167">
            <v>0</v>
          </cell>
        </row>
        <row r="168">
          <cell r="M168">
            <v>0</v>
          </cell>
          <cell r="N168">
            <v>0</v>
          </cell>
        </row>
        <row r="169">
          <cell r="M169">
            <v>0</v>
          </cell>
          <cell r="N169">
            <v>0</v>
          </cell>
        </row>
        <row r="170">
          <cell r="M170">
            <v>0</v>
          </cell>
          <cell r="N170">
            <v>0</v>
          </cell>
        </row>
        <row r="171">
          <cell r="M171">
            <v>0</v>
          </cell>
          <cell r="N171">
            <v>0</v>
          </cell>
        </row>
        <row r="172">
          <cell r="M172">
            <v>0</v>
          </cell>
          <cell r="N172">
            <v>0</v>
          </cell>
        </row>
        <row r="173">
          <cell r="M173">
            <v>0</v>
          </cell>
          <cell r="N173">
            <v>0</v>
          </cell>
        </row>
        <row r="174">
          <cell r="M174">
            <v>0</v>
          </cell>
          <cell r="N174">
            <v>0</v>
          </cell>
        </row>
        <row r="175">
          <cell r="M175">
            <v>0</v>
          </cell>
          <cell r="N175">
            <v>0</v>
          </cell>
        </row>
        <row r="176">
          <cell r="M176">
            <v>0</v>
          </cell>
          <cell r="N176">
            <v>0</v>
          </cell>
        </row>
        <row r="177">
          <cell r="M177">
            <v>0</v>
          </cell>
          <cell r="N177">
            <v>0</v>
          </cell>
        </row>
        <row r="178">
          <cell r="M178">
            <v>0</v>
          </cell>
          <cell r="N178">
            <v>0</v>
          </cell>
        </row>
        <row r="179">
          <cell r="M179">
            <v>0</v>
          </cell>
          <cell r="N179">
            <v>0</v>
          </cell>
        </row>
        <row r="180">
          <cell r="M180">
            <v>0</v>
          </cell>
          <cell r="N180">
            <v>0</v>
          </cell>
        </row>
        <row r="181">
          <cell r="M181">
            <v>0</v>
          </cell>
          <cell r="N181">
            <v>0</v>
          </cell>
        </row>
        <row r="182">
          <cell r="M182">
            <v>0</v>
          </cell>
          <cell r="N182">
            <v>0</v>
          </cell>
        </row>
        <row r="183">
          <cell r="M183">
            <v>0</v>
          </cell>
          <cell r="N183">
            <v>0</v>
          </cell>
        </row>
        <row r="184">
          <cell r="M184">
            <v>0</v>
          </cell>
          <cell r="N184">
            <v>0</v>
          </cell>
        </row>
        <row r="185">
          <cell r="M185">
            <v>0</v>
          </cell>
          <cell r="N185">
            <v>0</v>
          </cell>
        </row>
        <row r="186">
          <cell r="M186">
            <v>0</v>
          </cell>
          <cell r="N186">
            <v>0</v>
          </cell>
        </row>
        <row r="187">
          <cell r="M187">
            <v>0</v>
          </cell>
          <cell r="N187">
            <v>0</v>
          </cell>
        </row>
        <row r="188">
          <cell r="M188">
            <v>0</v>
          </cell>
          <cell r="N188">
            <v>0</v>
          </cell>
        </row>
        <row r="189">
          <cell r="M189">
            <v>0</v>
          </cell>
          <cell r="N189">
            <v>0</v>
          </cell>
        </row>
        <row r="190">
          <cell r="M190">
            <v>0</v>
          </cell>
          <cell r="N190">
            <v>0</v>
          </cell>
        </row>
        <row r="191">
          <cell r="M191">
            <v>0</v>
          </cell>
          <cell r="N191">
            <v>0</v>
          </cell>
        </row>
        <row r="192">
          <cell r="M192">
            <v>0</v>
          </cell>
          <cell r="N192">
            <v>0</v>
          </cell>
        </row>
        <row r="193">
          <cell r="M193">
            <v>0</v>
          </cell>
          <cell r="N193">
            <v>0</v>
          </cell>
        </row>
        <row r="194">
          <cell r="M194">
            <v>0</v>
          </cell>
          <cell r="N194">
            <v>0</v>
          </cell>
        </row>
        <row r="195">
          <cell r="M195">
            <v>0</v>
          </cell>
          <cell r="N195">
            <v>0</v>
          </cell>
        </row>
        <row r="196">
          <cell r="M196">
            <v>0</v>
          </cell>
          <cell r="N196">
            <v>0</v>
          </cell>
        </row>
        <row r="197">
          <cell r="M197">
            <v>0</v>
          </cell>
          <cell r="N197">
            <v>0</v>
          </cell>
        </row>
        <row r="198">
          <cell r="M198">
            <v>0</v>
          </cell>
          <cell r="N198">
            <v>0</v>
          </cell>
        </row>
        <row r="199">
          <cell r="M199">
            <v>0</v>
          </cell>
          <cell r="N199">
            <v>0</v>
          </cell>
        </row>
        <row r="200">
          <cell r="M200">
            <v>0</v>
          </cell>
          <cell r="N200">
            <v>0</v>
          </cell>
        </row>
        <row r="201">
          <cell r="M201">
            <v>0</v>
          </cell>
          <cell r="N201">
            <v>0</v>
          </cell>
        </row>
        <row r="202">
          <cell r="M202">
            <v>0</v>
          </cell>
          <cell r="N202">
            <v>0</v>
          </cell>
        </row>
        <row r="203">
          <cell r="M203">
            <v>0</v>
          </cell>
          <cell r="N203">
            <v>0</v>
          </cell>
        </row>
        <row r="204">
          <cell r="M204">
            <v>0</v>
          </cell>
          <cell r="N204">
            <v>0</v>
          </cell>
        </row>
        <row r="205">
          <cell r="M205">
            <v>0</v>
          </cell>
          <cell r="N205">
            <v>0</v>
          </cell>
        </row>
        <row r="206">
          <cell r="M206">
            <v>0</v>
          </cell>
          <cell r="N206">
            <v>0</v>
          </cell>
        </row>
        <row r="207">
          <cell r="M207">
            <v>0</v>
          </cell>
          <cell r="N207">
            <v>0</v>
          </cell>
        </row>
        <row r="208">
          <cell r="M208">
            <v>0</v>
          </cell>
          <cell r="N208">
            <v>0</v>
          </cell>
        </row>
        <row r="209">
          <cell r="M209">
            <v>0</v>
          </cell>
          <cell r="N209">
            <v>0</v>
          </cell>
        </row>
        <row r="210">
          <cell r="M210">
            <v>0</v>
          </cell>
          <cell r="N210">
            <v>0</v>
          </cell>
        </row>
        <row r="211">
          <cell r="M211">
            <v>0</v>
          </cell>
          <cell r="N211">
            <v>0</v>
          </cell>
        </row>
        <row r="212">
          <cell r="M212">
            <v>0</v>
          </cell>
          <cell r="N212">
            <v>0</v>
          </cell>
        </row>
        <row r="213">
          <cell r="M213">
            <v>0</v>
          </cell>
          <cell r="N213">
            <v>0</v>
          </cell>
        </row>
        <row r="214">
          <cell r="M214">
            <v>0</v>
          </cell>
          <cell r="N214">
            <v>0</v>
          </cell>
        </row>
        <row r="215">
          <cell r="M215">
            <v>0</v>
          </cell>
          <cell r="N215">
            <v>0</v>
          </cell>
        </row>
        <row r="216">
          <cell r="M216">
            <v>0</v>
          </cell>
          <cell r="N216">
            <v>0</v>
          </cell>
        </row>
        <row r="217">
          <cell r="M217">
            <v>0</v>
          </cell>
          <cell r="N217">
            <v>0</v>
          </cell>
        </row>
        <row r="218">
          <cell r="M218">
            <v>0</v>
          </cell>
          <cell r="N218">
            <v>0</v>
          </cell>
        </row>
        <row r="219">
          <cell r="M219">
            <v>0</v>
          </cell>
          <cell r="N219">
            <v>0</v>
          </cell>
        </row>
        <row r="220">
          <cell r="M220">
            <v>0</v>
          </cell>
          <cell r="N220">
            <v>0</v>
          </cell>
        </row>
        <row r="221">
          <cell r="M221">
            <v>0</v>
          </cell>
          <cell r="N221">
            <v>0</v>
          </cell>
        </row>
        <row r="222">
          <cell r="M222">
            <v>0</v>
          </cell>
          <cell r="N222">
            <v>0</v>
          </cell>
        </row>
        <row r="223">
          <cell r="M223">
            <v>0</v>
          </cell>
          <cell r="N223">
            <v>0</v>
          </cell>
        </row>
        <row r="224">
          <cell r="M224">
            <v>0</v>
          </cell>
          <cell r="N224">
            <v>0</v>
          </cell>
        </row>
        <row r="225">
          <cell r="M225">
            <v>0</v>
          </cell>
          <cell r="N225">
            <v>0</v>
          </cell>
        </row>
        <row r="226">
          <cell r="M226">
            <v>0</v>
          </cell>
          <cell r="N226">
            <v>0</v>
          </cell>
        </row>
        <row r="227">
          <cell r="M227">
            <v>0</v>
          </cell>
          <cell r="N227">
            <v>0</v>
          </cell>
        </row>
        <row r="228">
          <cell r="M228">
            <v>0</v>
          </cell>
          <cell r="N228">
            <v>0</v>
          </cell>
        </row>
        <row r="229">
          <cell r="M229">
            <v>0</v>
          </cell>
          <cell r="N229">
            <v>0</v>
          </cell>
        </row>
        <row r="230">
          <cell r="M230">
            <v>0</v>
          </cell>
          <cell r="N230">
            <v>0</v>
          </cell>
        </row>
        <row r="231">
          <cell r="M231">
            <v>0</v>
          </cell>
          <cell r="N231">
            <v>0</v>
          </cell>
        </row>
        <row r="232">
          <cell r="M232">
            <v>0</v>
          </cell>
          <cell r="N232">
            <v>0</v>
          </cell>
        </row>
        <row r="233">
          <cell r="M233">
            <v>0</v>
          </cell>
          <cell r="N233">
            <v>0</v>
          </cell>
        </row>
        <row r="234">
          <cell r="M234">
            <v>0</v>
          </cell>
          <cell r="N234">
            <v>0</v>
          </cell>
        </row>
        <row r="235">
          <cell r="M235">
            <v>0</v>
          </cell>
          <cell r="N235">
            <v>0</v>
          </cell>
        </row>
        <row r="236">
          <cell r="M236">
            <v>0</v>
          </cell>
          <cell r="N236">
            <v>0</v>
          </cell>
        </row>
        <row r="237">
          <cell r="M237">
            <v>0</v>
          </cell>
          <cell r="N237">
            <v>0</v>
          </cell>
        </row>
        <row r="238">
          <cell r="M238">
            <v>0</v>
          </cell>
          <cell r="N238">
            <v>0</v>
          </cell>
        </row>
        <row r="239">
          <cell r="M239">
            <v>0</v>
          </cell>
          <cell r="N239">
            <v>0</v>
          </cell>
        </row>
        <row r="240">
          <cell r="M240">
            <v>0</v>
          </cell>
          <cell r="N240">
            <v>0</v>
          </cell>
        </row>
        <row r="241">
          <cell r="M241">
            <v>0</v>
          </cell>
          <cell r="N241">
            <v>0</v>
          </cell>
        </row>
        <row r="242">
          <cell r="M242">
            <v>0</v>
          </cell>
          <cell r="N242">
            <v>0</v>
          </cell>
        </row>
        <row r="243">
          <cell r="M243">
            <v>0</v>
          </cell>
          <cell r="N243">
            <v>0</v>
          </cell>
        </row>
        <row r="244">
          <cell r="M244">
            <v>0</v>
          </cell>
          <cell r="N244">
            <v>0</v>
          </cell>
        </row>
        <row r="245">
          <cell r="M245">
            <v>0</v>
          </cell>
          <cell r="N245">
            <v>0</v>
          </cell>
        </row>
        <row r="246">
          <cell r="M246">
            <v>0</v>
          </cell>
          <cell r="N246">
            <v>0</v>
          </cell>
        </row>
        <row r="247">
          <cell r="M247">
            <v>0</v>
          </cell>
          <cell r="N247">
            <v>0</v>
          </cell>
        </row>
        <row r="248">
          <cell r="M248">
            <v>0</v>
          </cell>
          <cell r="N248">
            <v>0</v>
          </cell>
        </row>
        <row r="249">
          <cell r="M249">
            <v>0</v>
          </cell>
          <cell r="N249">
            <v>0</v>
          </cell>
        </row>
        <row r="250">
          <cell r="M250">
            <v>0</v>
          </cell>
          <cell r="N250">
            <v>0</v>
          </cell>
        </row>
        <row r="251">
          <cell r="M251">
            <v>0</v>
          </cell>
          <cell r="N251">
            <v>0</v>
          </cell>
        </row>
        <row r="252">
          <cell r="M252">
            <v>0</v>
          </cell>
          <cell r="N252">
            <v>0</v>
          </cell>
        </row>
        <row r="253">
          <cell r="M253">
            <v>0</v>
          </cell>
          <cell r="N253">
            <v>0</v>
          </cell>
        </row>
        <row r="254">
          <cell r="M254">
            <v>0</v>
          </cell>
          <cell r="N254">
            <v>0</v>
          </cell>
        </row>
        <row r="255">
          <cell r="M255">
            <v>0</v>
          </cell>
          <cell r="N255">
            <v>0</v>
          </cell>
        </row>
        <row r="256">
          <cell r="M256">
            <v>0</v>
          </cell>
          <cell r="N256">
            <v>0</v>
          </cell>
        </row>
        <row r="257">
          <cell r="M257">
            <v>0</v>
          </cell>
          <cell r="N257">
            <v>0</v>
          </cell>
        </row>
        <row r="258">
          <cell r="M258">
            <v>0</v>
          </cell>
          <cell r="N258">
            <v>0</v>
          </cell>
        </row>
        <row r="259">
          <cell r="M259">
            <v>0</v>
          </cell>
          <cell r="N259">
            <v>0</v>
          </cell>
        </row>
        <row r="260">
          <cell r="M260">
            <v>0</v>
          </cell>
          <cell r="N260">
            <v>0</v>
          </cell>
        </row>
        <row r="261">
          <cell r="M261">
            <v>0</v>
          </cell>
          <cell r="N261">
            <v>0</v>
          </cell>
        </row>
        <row r="262">
          <cell r="M262">
            <v>0</v>
          </cell>
          <cell r="N262">
            <v>0</v>
          </cell>
        </row>
        <row r="263">
          <cell r="M263">
            <v>0</v>
          </cell>
          <cell r="N263">
            <v>0</v>
          </cell>
        </row>
        <row r="264">
          <cell r="M264">
            <v>0</v>
          </cell>
          <cell r="N264">
            <v>0</v>
          </cell>
        </row>
        <row r="265">
          <cell r="M265">
            <v>0</v>
          </cell>
          <cell r="N265">
            <v>0</v>
          </cell>
        </row>
        <row r="266">
          <cell r="M266">
            <v>0</v>
          </cell>
          <cell r="N266">
            <v>0</v>
          </cell>
        </row>
        <row r="267">
          <cell r="M267">
            <v>0</v>
          </cell>
          <cell r="N267">
            <v>0</v>
          </cell>
        </row>
        <row r="268">
          <cell r="M268">
            <v>0</v>
          </cell>
          <cell r="N268">
            <v>0</v>
          </cell>
        </row>
        <row r="269">
          <cell r="M269">
            <v>0</v>
          </cell>
          <cell r="N269">
            <v>0</v>
          </cell>
        </row>
        <row r="270">
          <cell r="M270">
            <v>0</v>
          </cell>
          <cell r="N270">
            <v>0</v>
          </cell>
        </row>
        <row r="271">
          <cell r="M271">
            <v>0</v>
          </cell>
          <cell r="N271">
            <v>0</v>
          </cell>
        </row>
        <row r="272">
          <cell r="M272">
            <v>0</v>
          </cell>
          <cell r="N272">
            <v>0</v>
          </cell>
        </row>
        <row r="273">
          <cell r="M273">
            <v>0</v>
          </cell>
          <cell r="N273">
            <v>0</v>
          </cell>
        </row>
        <row r="274">
          <cell r="M274">
            <v>0</v>
          </cell>
          <cell r="N274">
            <v>0</v>
          </cell>
        </row>
        <row r="275">
          <cell r="M275">
            <v>0</v>
          </cell>
          <cell r="N275">
            <v>0</v>
          </cell>
        </row>
        <row r="276">
          <cell r="M276">
            <v>0</v>
          </cell>
          <cell r="N276">
            <v>0</v>
          </cell>
        </row>
        <row r="277">
          <cell r="M277">
            <v>0</v>
          </cell>
          <cell r="N277">
            <v>0</v>
          </cell>
        </row>
        <row r="278">
          <cell r="M278">
            <v>0</v>
          </cell>
          <cell r="N278">
            <v>0</v>
          </cell>
        </row>
        <row r="279">
          <cell r="M279">
            <v>0</v>
          </cell>
          <cell r="N279">
            <v>0</v>
          </cell>
        </row>
        <row r="280">
          <cell r="M280">
            <v>0</v>
          </cell>
          <cell r="N280">
            <v>0</v>
          </cell>
        </row>
        <row r="281">
          <cell r="M281">
            <v>0</v>
          </cell>
          <cell r="N281">
            <v>0</v>
          </cell>
        </row>
        <row r="282">
          <cell r="M282">
            <v>0</v>
          </cell>
          <cell r="N282">
            <v>0</v>
          </cell>
        </row>
        <row r="283">
          <cell r="M283">
            <v>0</v>
          </cell>
          <cell r="N283">
            <v>0</v>
          </cell>
        </row>
        <row r="284">
          <cell r="M284">
            <v>0</v>
          </cell>
          <cell r="N284">
            <v>0</v>
          </cell>
        </row>
        <row r="285">
          <cell r="M285">
            <v>0</v>
          </cell>
          <cell r="N285">
            <v>0</v>
          </cell>
        </row>
        <row r="286">
          <cell r="M286">
            <v>0</v>
          </cell>
          <cell r="N286">
            <v>0</v>
          </cell>
        </row>
        <row r="287">
          <cell r="M287">
            <v>0</v>
          </cell>
          <cell r="N287">
            <v>0</v>
          </cell>
        </row>
        <row r="288">
          <cell r="M288">
            <v>0</v>
          </cell>
          <cell r="N288">
            <v>0</v>
          </cell>
        </row>
        <row r="289">
          <cell r="M289">
            <v>0</v>
          </cell>
          <cell r="N289">
            <v>0</v>
          </cell>
        </row>
        <row r="290">
          <cell r="M290">
            <v>0</v>
          </cell>
          <cell r="N290">
            <v>0</v>
          </cell>
        </row>
        <row r="291">
          <cell r="M291">
            <v>0</v>
          </cell>
          <cell r="N291">
            <v>0</v>
          </cell>
        </row>
        <row r="292">
          <cell r="M292">
            <v>0</v>
          </cell>
          <cell r="N292">
            <v>0</v>
          </cell>
        </row>
        <row r="293">
          <cell r="M293">
            <v>0</v>
          </cell>
          <cell r="N293">
            <v>0</v>
          </cell>
        </row>
        <row r="294">
          <cell r="M294">
            <v>0</v>
          </cell>
          <cell r="N294">
            <v>0</v>
          </cell>
        </row>
        <row r="295">
          <cell r="M295">
            <v>0</v>
          </cell>
          <cell r="N295">
            <v>0</v>
          </cell>
        </row>
        <row r="296">
          <cell r="M296">
            <v>0</v>
          </cell>
          <cell r="N296">
            <v>0</v>
          </cell>
        </row>
        <row r="297">
          <cell r="M297">
            <v>0</v>
          </cell>
          <cell r="N297">
            <v>0</v>
          </cell>
        </row>
        <row r="298">
          <cell r="M298">
            <v>0</v>
          </cell>
          <cell r="N298">
            <v>0</v>
          </cell>
        </row>
        <row r="299">
          <cell r="M299">
            <v>0</v>
          </cell>
          <cell r="N299">
            <v>0</v>
          </cell>
        </row>
        <row r="300">
          <cell r="M300">
            <v>0</v>
          </cell>
          <cell r="N300">
            <v>0</v>
          </cell>
        </row>
        <row r="301">
          <cell r="M301">
            <v>0</v>
          </cell>
          <cell r="N301">
            <v>0</v>
          </cell>
        </row>
        <row r="302">
          <cell r="M302">
            <v>0</v>
          </cell>
          <cell r="N302">
            <v>0</v>
          </cell>
        </row>
        <row r="303">
          <cell r="M303">
            <v>0</v>
          </cell>
          <cell r="N303">
            <v>0</v>
          </cell>
        </row>
        <row r="304">
          <cell r="M304">
            <v>0</v>
          </cell>
          <cell r="N304">
            <v>0</v>
          </cell>
        </row>
        <row r="305">
          <cell r="M305">
            <v>0</v>
          </cell>
          <cell r="N305">
            <v>0</v>
          </cell>
        </row>
        <row r="306">
          <cell r="M306">
            <v>0</v>
          </cell>
          <cell r="N306">
            <v>0</v>
          </cell>
        </row>
        <row r="307">
          <cell r="M307">
            <v>0</v>
          </cell>
          <cell r="N307">
            <v>0</v>
          </cell>
        </row>
        <row r="308">
          <cell r="M308">
            <v>0</v>
          </cell>
          <cell r="N308">
            <v>0</v>
          </cell>
        </row>
        <row r="309">
          <cell r="M309">
            <v>0</v>
          </cell>
          <cell r="N309">
            <v>0</v>
          </cell>
        </row>
        <row r="310">
          <cell r="M310">
            <v>0</v>
          </cell>
          <cell r="N310">
            <v>0</v>
          </cell>
        </row>
        <row r="311">
          <cell r="M311">
            <v>0</v>
          </cell>
          <cell r="N311">
            <v>0</v>
          </cell>
        </row>
        <row r="312">
          <cell r="M312">
            <v>0</v>
          </cell>
          <cell r="N312">
            <v>0</v>
          </cell>
        </row>
        <row r="313">
          <cell r="M313">
            <v>0</v>
          </cell>
          <cell r="N313">
            <v>0</v>
          </cell>
        </row>
        <row r="314">
          <cell r="M314">
            <v>0</v>
          </cell>
          <cell r="N314">
            <v>0</v>
          </cell>
        </row>
        <row r="315">
          <cell r="M315">
            <v>0</v>
          </cell>
          <cell r="N315">
            <v>0</v>
          </cell>
        </row>
        <row r="316">
          <cell r="M316">
            <v>0</v>
          </cell>
          <cell r="N316">
            <v>0</v>
          </cell>
        </row>
        <row r="317">
          <cell r="M317">
            <v>0</v>
          </cell>
          <cell r="N317">
            <v>0</v>
          </cell>
        </row>
        <row r="318">
          <cell r="M318">
            <v>0</v>
          </cell>
          <cell r="N318">
            <v>0</v>
          </cell>
        </row>
        <row r="319">
          <cell r="M319">
            <v>0</v>
          </cell>
          <cell r="N319">
            <v>0</v>
          </cell>
        </row>
        <row r="320">
          <cell r="M320">
            <v>0</v>
          </cell>
          <cell r="N320">
            <v>0</v>
          </cell>
        </row>
        <row r="321">
          <cell r="M321">
            <v>0</v>
          </cell>
          <cell r="N321">
            <v>0</v>
          </cell>
        </row>
        <row r="322">
          <cell r="M322">
            <v>0</v>
          </cell>
          <cell r="N322">
            <v>0</v>
          </cell>
        </row>
        <row r="323">
          <cell r="M323">
            <v>0</v>
          </cell>
          <cell r="N323">
            <v>0</v>
          </cell>
        </row>
        <row r="324">
          <cell r="M324">
            <v>0</v>
          </cell>
          <cell r="N324">
            <v>0</v>
          </cell>
        </row>
        <row r="325">
          <cell r="M325">
            <v>0</v>
          </cell>
          <cell r="N325">
            <v>0</v>
          </cell>
        </row>
        <row r="326">
          <cell r="M326">
            <v>0</v>
          </cell>
          <cell r="N326">
            <v>0</v>
          </cell>
        </row>
        <row r="327">
          <cell r="M327">
            <v>0</v>
          </cell>
          <cell r="N327">
            <v>0</v>
          </cell>
        </row>
        <row r="328">
          <cell r="M328">
            <v>0</v>
          </cell>
          <cell r="N328">
            <v>0</v>
          </cell>
        </row>
        <row r="329">
          <cell r="M329">
            <v>0</v>
          </cell>
          <cell r="N329">
            <v>0</v>
          </cell>
        </row>
        <row r="330">
          <cell r="M330">
            <v>0</v>
          </cell>
          <cell r="N330">
            <v>0</v>
          </cell>
        </row>
        <row r="331">
          <cell r="M331">
            <v>0</v>
          </cell>
          <cell r="N331">
            <v>0</v>
          </cell>
        </row>
        <row r="332">
          <cell r="M332">
            <v>0</v>
          </cell>
          <cell r="N332">
            <v>0</v>
          </cell>
        </row>
        <row r="333">
          <cell r="M333">
            <v>0</v>
          </cell>
          <cell r="N333">
            <v>0</v>
          </cell>
        </row>
        <row r="334">
          <cell r="M334">
            <v>0</v>
          </cell>
          <cell r="N334">
            <v>0</v>
          </cell>
        </row>
        <row r="335">
          <cell r="M335">
            <v>0</v>
          </cell>
          <cell r="N335">
            <v>0</v>
          </cell>
        </row>
        <row r="336">
          <cell r="M336">
            <v>0</v>
          </cell>
          <cell r="N336">
            <v>0</v>
          </cell>
        </row>
        <row r="337">
          <cell r="M337">
            <v>0</v>
          </cell>
          <cell r="N337">
            <v>0</v>
          </cell>
        </row>
        <row r="338">
          <cell r="M338">
            <v>0</v>
          </cell>
          <cell r="N338">
            <v>0</v>
          </cell>
        </row>
        <row r="339">
          <cell r="M339">
            <v>0</v>
          </cell>
          <cell r="N339">
            <v>0</v>
          </cell>
        </row>
        <row r="340">
          <cell r="M340">
            <v>0</v>
          </cell>
          <cell r="N340">
            <v>0</v>
          </cell>
        </row>
        <row r="341">
          <cell r="M341">
            <v>0</v>
          </cell>
          <cell r="N341">
            <v>0</v>
          </cell>
        </row>
        <row r="342">
          <cell r="M342">
            <v>0</v>
          </cell>
          <cell r="N342">
            <v>0</v>
          </cell>
        </row>
        <row r="343">
          <cell r="M343">
            <v>0</v>
          </cell>
          <cell r="N343">
            <v>0</v>
          </cell>
        </row>
        <row r="344">
          <cell r="M344">
            <v>0</v>
          </cell>
          <cell r="N344">
            <v>0</v>
          </cell>
        </row>
        <row r="345">
          <cell r="M345">
            <v>0</v>
          </cell>
          <cell r="N345">
            <v>0</v>
          </cell>
        </row>
        <row r="346">
          <cell r="M346">
            <v>0</v>
          </cell>
          <cell r="N346">
            <v>0</v>
          </cell>
        </row>
        <row r="347">
          <cell r="M347">
            <v>0</v>
          </cell>
          <cell r="N347">
            <v>0</v>
          </cell>
        </row>
        <row r="348">
          <cell r="M348">
            <v>0</v>
          </cell>
          <cell r="N348">
            <v>0</v>
          </cell>
        </row>
        <row r="349">
          <cell r="M349">
            <v>0</v>
          </cell>
          <cell r="N349">
            <v>0</v>
          </cell>
        </row>
        <row r="350">
          <cell r="M350">
            <v>0</v>
          </cell>
          <cell r="N350">
            <v>0</v>
          </cell>
        </row>
        <row r="351">
          <cell r="M351">
            <v>0</v>
          </cell>
          <cell r="N351">
            <v>0</v>
          </cell>
        </row>
        <row r="352">
          <cell r="M352">
            <v>0</v>
          </cell>
          <cell r="N352">
            <v>0</v>
          </cell>
        </row>
        <row r="353">
          <cell r="M353">
            <v>0</v>
          </cell>
          <cell r="N353">
            <v>0</v>
          </cell>
        </row>
        <row r="354">
          <cell r="M354">
            <v>0</v>
          </cell>
          <cell r="N354">
            <v>0</v>
          </cell>
        </row>
        <row r="355">
          <cell r="M355">
            <v>0</v>
          </cell>
          <cell r="N355">
            <v>0</v>
          </cell>
        </row>
        <row r="356">
          <cell r="M356">
            <v>0</v>
          </cell>
          <cell r="N356">
            <v>0</v>
          </cell>
        </row>
        <row r="357">
          <cell r="M357">
            <v>0</v>
          </cell>
          <cell r="N357">
            <v>0</v>
          </cell>
        </row>
        <row r="358">
          <cell r="M358">
            <v>0</v>
          </cell>
          <cell r="N358">
            <v>0</v>
          </cell>
        </row>
        <row r="359">
          <cell r="M359">
            <v>0</v>
          </cell>
          <cell r="N359">
            <v>0</v>
          </cell>
        </row>
        <row r="360">
          <cell r="M360">
            <v>0</v>
          </cell>
          <cell r="N360">
            <v>0</v>
          </cell>
        </row>
        <row r="361">
          <cell r="M361">
            <v>0</v>
          </cell>
          <cell r="N361">
            <v>0</v>
          </cell>
        </row>
        <row r="362">
          <cell r="M362">
            <v>0</v>
          </cell>
          <cell r="N362">
            <v>0</v>
          </cell>
        </row>
        <row r="363">
          <cell r="M363">
            <v>0</v>
          </cell>
          <cell r="N363">
            <v>0</v>
          </cell>
        </row>
        <row r="364">
          <cell r="M364">
            <v>0</v>
          </cell>
          <cell r="N364">
            <v>0</v>
          </cell>
        </row>
        <row r="365">
          <cell r="M365">
            <v>0</v>
          </cell>
          <cell r="N365">
            <v>0</v>
          </cell>
        </row>
        <row r="366">
          <cell r="M366">
            <v>0</v>
          </cell>
          <cell r="N366">
            <v>0</v>
          </cell>
        </row>
        <row r="367">
          <cell r="M367">
            <v>0</v>
          </cell>
          <cell r="N367">
            <v>0</v>
          </cell>
        </row>
        <row r="368">
          <cell r="M368">
            <v>0</v>
          </cell>
          <cell r="N368">
            <v>0</v>
          </cell>
        </row>
        <row r="369">
          <cell r="M369">
            <v>0</v>
          </cell>
          <cell r="N369">
            <v>0</v>
          </cell>
        </row>
        <row r="370">
          <cell r="M370">
            <v>0</v>
          </cell>
          <cell r="N370">
            <v>0</v>
          </cell>
        </row>
        <row r="371">
          <cell r="M371">
            <v>0</v>
          </cell>
          <cell r="N371">
            <v>0</v>
          </cell>
        </row>
        <row r="372">
          <cell r="M372">
            <v>0</v>
          </cell>
          <cell r="N372">
            <v>0</v>
          </cell>
        </row>
        <row r="373">
          <cell r="M373">
            <v>0</v>
          </cell>
          <cell r="N373">
            <v>0</v>
          </cell>
        </row>
        <row r="374">
          <cell r="M374">
            <v>0</v>
          </cell>
          <cell r="N374">
            <v>0</v>
          </cell>
        </row>
        <row r="375">
          <cell r="M375">
            <v>0</v>
          </cell>
          <cell r="N375">
            <v>0</v>
          </cell>
        </row>
        <row r="376">
          <cell r="M376">
            <v>0</v>
          </cell>
          <cell r="N376">
            <v>0</v>
          </cell>
        </row>
        <row r="377">
          <cell r="M377">
            <v>0</v>
          </cell>
          <cell r="N377">
            <v>0</v>
          </cell>
        </row>
        <row r="378">
          <cell r="M378">
            <v>0</v>
          </cell>
          <cell r="N378">
            <v>0</v>
          </cell>
        </row>
        <row r="379">
          <cell r="M379">
            <v>0</v>
          </cell>
          <cell r="N379">
            <v>0</v>
          </cell>
        </row>
        <row r="380">
          <cell r="M380">
            <v>0</v>
          </cell>
          <cell r="N380">
            <v>0</v>
          </cell>
        </row>
        <row r="381">
          <cell r="M381">
            <v>0</v>
          </cell>
          <cell r="N381">
            <v>0</v>
          </cell>
        </row>
        <row r="382">
          <cell r="M382">
            <v>0</v>
          </cell>
          <cell r="N382">
            <v>0</v>
          </cell>
        </row>
        <row r="383">
          <cell r="M383">
            <v>0</v>
          </cell>
          <cell r="N383">
            <v>0</v>
          </cell>
        </row>
        <row r="384">
          <cell r="M384">
            <v>0</v>
          </cell>
          <cell r="N384">
            <v>0</v>
          </cell>
        </row>
        <row r="385">
          <cell r="M385">
            <v>0</v>
          </cell>
          <cell r="N385">
            <v>0</v>
          </cell>
        </row>
        <row r="386">
          <cell r="M386">
            <v>0</v>
          </cell>
          <cell r="N386">
            <v>0</v>
          </cell>
        </row>
        <row r="387">
          <cell r="M387">
            <v>0</v>
          </cell>
          <cell r="N387">
            <v>0</v>
          </cell>
        </row>
        <row r="388">
          <cell r="M388">
            <v>0</v>
          </cell>
          <cell r="N388">
            <v>0</v>
          </cell>
        </row>
        <row r="389">
          <cell r="M389">
            <v>0</v>
          </cell>
          <cell r="N389">
            <v>0</v>
          </cell>
        </row>
        <row r="390">
          <cell r="M390">
            <v>0</v>
          </cell>
          <cell r="N390">
            <v>0</v>
          </cell>
        </row>
        <row r="391">
          <cell r="M391">
            <v>0</v>
          </cell>
          <cell r="N391">
            <v>0</v>
          </cell>
        </row>
        <row r="392">
          <cell r="M392">
            <v>0</v>
          </cell>
          <cell r="N392">
            <v>0</v>
          </cell>
        </row>
        <row r="393">
          <cell r="M393">
            <v>0</v>
          </cell>
          <cell r="N393">
            <v>0</v>
          </cell>
        </row>
        <row r="394">
          <cell r="M394">
            <v>0</v>
          </cell>
          <cell r="N394">
            <v>0</v>
          </cell>
        </row>
        <row r="395">
          <cell r="M395">
            <v>0</v>
          </cell>
          <cell r="N395">
            <v>0</v>
          </cell>
        </row>
        <row r="396">
          <cell r="M396">
            <v>0</v>
          </cell>
          <cell r="N396">
            <v>0</v>
          </cell>
        </row>
        <row r="397">
          <cell r="M397">
            <v>0</v>
          </cell>
          <cell r="N397">
            <v>0</v>
          </cell>
        </row>
        <row r="398">
          <cell r="M398">
            <v>0</v>
          </cell>
          <cell r="N398">
            <v>0</v>
          </cell>
        </row>
        <row r="399">
          <cell r="M399">
            <v>0</v>
          </cell>
          <cell r="N399">
            <v>0</v>
          </cell>
        </row>
        <row r="400">
          <cell r="M400">
            <v>0</v>
          </cell>
          <cell r="N400">
            <v>0</v>
          </cell>
        </row>
        <row r="401">
          <cell r="M401">
            <v>0</v>
          </cell>
          <cell r="N401">
            <v>0</v>
          </cell>
        </row>
        <row r="402">
          <cell r="M402">
            <v>0</v>
          </cell>
          <cell r="N402">
            <v>0</v>
          </cell>
        </row>
        <row r="403">
          <cell r="M403">
            <v>0</v>
          </cell>
          <cell r="N403">
            <v>0</v>
          </cell>
        </row>
        <row r="404">
          <cell r="M404">
            <v>0</v>
          </cell>
          <cell r="N404">
            <v>0</v>
          </cell>
        </row>
        <row r="405">
          <cell r="M405">
            <v>0</v>
          </cell>
          <cell r="N405">
            <v>0</v>
          </cell>
        </row>
        <row r="406">
          <cell r="M406">
            <v>0</v>
          </cell>
          <cell r="N406">
            <v>0</v>
          </cell>
        </row>
        <row r="407">
          <cell r="M407">
            <v>0</v>
          </cell>
          <cell r="N407">
            <v>0</v>
          </cell>
        </row>
        <row r="408">
          <cell r="M408">
            <v>0</v>
          </cell>
          <cell r="N408">
            <v>0</v>
          </cell>
        </row>
        <row r="409">
          <cell r="M409">
            <v>0</v>
          </cell>
          <cell r="N409">
            <v>0</v>
          </cell>
        </row>
        <row r="410">
          <cell r="M410">
            <v>0</v>
          </cell>
          <cell r="N410">
            <v>0</v>
          </cell>
        </row>
        <row r="411">
          <cell r="M411">
            <v>0</v>
          </cell>
          <cell r="N411">
            <v>0</v>
          </cell>
        </row>
        <row r="412">
          <cell r="M412">
            <v>0</v>
          </cell>
          <cell r="N412">
            <v>0</v>
          </cell>
        </row>
        <row r="413">
          <cell r="M413">
            <v>0</v>
          </cell>
          <cell r="N413">
            <v>0</v>
          </cell>
        </row>
        <row r="414">
          <cell r="M414">
            <v>0</v>
          </cell>
          <cell r="N414">
            <v>0</v>
          </cell>
        </row>
        <row r="415">
          <cell r="M415">
            <v>0</v>
          </cell>
          <cell r="N415">
            <v>0</v>
          </cell>
        </row>
        <row r="416">
          <cell r="M416">
            <v>0</v>
          </cell>
          <cell r="N416">
            <v>0</v>
          </cell>
        </row>
        <row r="417">
          <cell r="M417">
            <v>0</v>
          </cell>
          <cell r="N417">
            <v>0</v>
          </cell>
        </row>
        <row r="418">
          <cell r="M418">
            <v>0</v>
          </cell>
          <cell r="N418">
            <v>0</v>
          </cell>
        </row>
        <row r="419">
          <cell r="M419">
            <v>0</v>
          </cell>
          <cell r="N419">
            <v>0</v>
          </cell>
        </row>
        <row r="420">
          <cell r="M420">
            <v>0</v>
          </cell>
          <cell r="N420">
            <v>0</v>
          </cell>
        </row>
        <row r="421">
          <cell r="M421">
            <v>0</v>
          </cell>
          <cell r="N421">
            <v>0</v>
          </cell>
        </row>
        <row r="422">
          <cell r="M422">
            <v>0</v>
          </cell>
          <cell r="N422">
            <v>0</v>
          </cell>
        </row>
        <row r="423">
          <cell r="M423">
            <v>0</v>
          </cell>
          <cell r="N423">
            <v>0</v>
          </cell>
        </row>
        <row r="424">
          <cell r="M424">
            <v>0</v>
          </cell>
          <cell r="N424">
            <v>0</v>
          </cell>
        </row>
        <row r="425">
          <cell r="M425">
            <v>0</v>
          </cell>
          <cell r="N425">
            <v>0</v>
          </cell>
        </row>
        <row r="426">
          <cell r="M426">
            <v>0</v>
          </cell>
          <cell r="N426">
            <v>0</v>
          </cell>
        </row>
        <row r="427">
          <cell r="M427">
            <v>0</v>
          </cell>
          <cell r="N427">
            <v>0</v>
          </cell>
        </row>
        <row r="428">
          <cell r="M428">
            <v>0</v>
          </cell>
          <cell r="N428">
            <v>0</v>
          </cell>
        </row>
        <row r="429">
          <cell r="M429">
            <v>0</v>
          </cell>
          <cell r="N429">
            <v>0</v>
          </cell>
        </row>
        <row r="430">
          <cell r="M430">
            <v>0</v>
          </cell>
          <cell r="N430">
            <v>0</v>
          </cell>
        </row>
        <row r="431">
          <cell r="M431">
            <v>0</v>
          </cell>
          <cell r="N431">
            <v>0</v>
          </cell>
        </row>
        <row r="432">
          <cell r="M432">
            <v>0</v>
          </cell>
          <cell r="N432">
            <v>0</v>
          </cell>
        </row>
        <row r="433">
          <cell r="M433">
            <v>0</v>
          </cell>
          <cell r="N433">
            <v>0</v>
          </cell>
        </row>
        <row r="434">
          <cell r="M434">
            <v>0</v>
          </cell>
          <cell r="N434">
            <v>0</v>
          </cell>
        </row>
        <row r="435">
          <cell r="M435">
            <v>0</v>
          </cell>
          <cell r="N435">
            <v>0</v>
          </cell>
        </row>
        <row r="436">
          <cell r="M436">
            <v>0</v>
          </cell>
          <cell r="N436">
            <v>0</v>
          </cell>
        </row>
        <row r="437">
          <cell r="M437">
            <v>0</v>
          </cell>
          <cell r="N437">
            <v>0</v>
          </cell>
        </row>
        <row r="438">
          <cell r="M438">
            <v>0</v>
          </cell>
          <cell r="N438">
            <v>0</v>
          </cell>
        </row>
        <row r="439">
          <cell r="M439">
            <v>0</v>
          </cell>
          <cell r="N439">
            <v>0</v>
          </cell>
        </row>
        <row r="440">
          <cell r="M440">
            <v>0</v>
          </cell>
          <cell r="N440">
            <v>0</v>
          </cell>
        </row>
        <row r="441">
          <cell r="M441">
            <v>0</v>
          </cell>
          <cell r="N441">
            <v>0</v>
          </cell>
        </row>
        <row r="442">
          <cell r="M442">
            <v>0</v>
          </cell>
          <cell r="N442">
            <v>0</v>
          </cell>
        </row>
        <row r="443">
          <cell r="M443">
            <v>0</v>
          </cell>
          <cell r="N443">
            <v>0</v>
          </cell>
        </row>
        <row r="444">
          <cell r="M444">
            <v>0</v>
          </cell>
          <cell r="N444">
            <v>0</v>
          </cell>
        </row>
        <row r="445">
          <cell r="M445">
            <v>0</v>
          </cell>
          <cell r="N445">
            <v>0</v>
          </cell>
        </row>
        <row r="446">
          <cell r="M446">
            <v>0</v>
          </cell>
          <cell r="N446">
            <v>0</v>
          </cell>
        </row>
        <row r="447">
          <cell r="M447">
            <v>0</v>
          </cell>
          <cell r="N447">
            <v>0</v>
          </cell>
        </row>
        <row r="448">
          <cell r="M448">
            <v>0</v>
          </cell>
          <cell r="N448">
            <v>0</v>
          </cell>
        </row>
        <row r="449">
          <cell r="M449">
            <v>0</v>
          </cell>
          <cell r="N449">
            <v>0</v>
          </cell>
        </row>
        <row r="450">
          <cell r="M450">
            <v>0</v>
          </cell>
          <cell r="N450">
            <v>0</v>
          </cell>
        </row>
        <row r="451">
          <cell r="M451">
            <v>0</v>
          </cell>
          <cell r="N451">
            <v>0</v>
          </cell>
        </row>
        <row r="452">
          <cell r="M452">
            <v>0</v>
          </cell>
          <cell r="N452">
            <v>0</v>
          </cell>
        </row>
        <row r="453">
          <cell r="M453">
            <v>0</v>
          </cell>
          <cell r="N453">
            <v>0</v>
          </cell>
        </row>
        <row r="454">
          <cell r="M454">
            <v>0</v>
          </cell>
          <cell r="N454">
            <v>0</v>
          </cell>
        </row>
        <row r="455">
          <cell r="M455">
            <v>0</v>
          </cell>
          <cell r="N455">
            <v>0</v>
          </cell>
        </row>
        <row r="456">
          <cell r="M456">
            <v>0</v>
          </cell>
          <cell r="N456">
            <v>0</v>
          </cell>
        </row>
        <row r="457">
          <cell r="M457">
            <v>0</v>
          </cell>
          <cell r="N457">
            <v>0</v>
          </cell>
        </row>
        <row r="458">
          <cell r="M458">
            <v>0</v>
          </cell>
          <cell r="N458">
            <v>0</v>
          </cell>
        </row>
        <row r="459">
          <cell r="M459">
            <v>0</v>
          </cell>
          <cell r="N459">
            <v>0</v>
          </cell>
        </row>
        <row r="460">
          <cell r="M460">
            <v>0</v>
          </cell>
          <cell r="N460">
            <v>0</v>
          </cell>
        </row>
        <row r="461">
          <cell r="M461">
            <v>0</v>
          </cell>
          <cell r="N461">
            <v>0</v>
          </cell>
        </row>
        <row r="462">
          <cell r="M462">
            <v>0</v>
          </cell>
          <cell r="N462">
            <v>0</v>
          </cell>
        </row>
        <row r="463">
          <cell r="M463">
            <v>0</v>
          </cell>
          <cell r="N463">
            <v>0</v>
          </cell>
        </row>
        <row r="464">
          <cell r="M464">
            <v>0</v>
          </cell>
          <cell r="N464">
            <v>0</v>
          </cell>
        </row>
        <row r="465">
          <cell r="M465">
            <v>0</v>
          </cell>
          <cell r="N465">
            <v>0</v>
          </cell>
        </row>
        <row r="466">
          <cell r="M466">
            <v>0</v>
          </cell>
          <cell r="N466">
            <v>0</v>
          </cell>
        </row>
        <row r="467">
          <cell r="M467">
            <v>0</v>
          </cell>
          <cell r="N467">
            <v>0</v>
          </cell>
        </row>
        <row r="468">
          <cell r="M468">
            <v>0</v>
          </cell>
          <cell r="N468">
            <v>0</v>
          </cell>
        </row>
        <row r="469">
          <cell r="M469">
            <v>0</v>
          </cell>
          <cell r="N469">
            <v>0</v>
          </cell>
        </row>
        <row r="470">
          <cell r="M470">
            <v>0</v>
          </cell>
          <cell r="N470">
            <v>0</v>
          </cell>
        </row>
        <row r="471">
          <cell r="M471">
            <v>0</v>
          </cell>
          <cell r="N471">
            <v>0</v>
          </cell>
        </row>
        <row r="472">
          <cell r="M472">
            <v>0</v>
          </cell>
          <cell r="N472">
            <v>0</v>
          </cell>
        </row>
        <row r="473">
          <cell r="M473">
            <v>0</v>
          </cell>
          <cell r="N473">
            <v>0</v>
          </cell>
        </row>
        <row r="474">
          <cell r="M474">
            <v>0</v>
          </cell>
          <cell r="N474">
            <v>0</v>
          </cell>
        </row>
        <row r="475">
          <cell r="M475">
            <v>0</v>
          </cell>
          <cell r="N475">
            <v>0</v>
          </cell>
        </row>
        <row r="476">
          <cell r="M476">
            <v>0</v>
          </cell>
          <cell r="N476">
            <v>0</v>
          </cell>
        </row>
        <row r="477">
          <cell r="M477">
            <v>0</v>
          </cell>
          <cell r="N477">
            <v>0</v>
          </cell>
        </row>
        <row r="478">
          <cell r="M478">
            <v>0</v>
          </cell>
          <cell r="N478">
            <v>0</v>
          </cell>
        </row>
        <row r="479">
          <cell r="M479">
            <v>0</v>
          </cell>
          <cell r="N479">
            <v>0</v>
          </cell>
        </row>
        <row r="480">
          <cell r="M480">
            <v>0</v>
          </cell>
          <cell r="N480">
            <v>0</v>
          </cell>
        </row>
        <row r="481">
          <cell r="M481">
            <v>0</v>
          </cell>
          <cell r="N481">
            <v>0</v>
          </cell>
        </row>
        <row r="482">
          <cell r="M482">
            <v>0</v>
          </cell>
          <cell r="N482">
            <v>0</v>
          </cell>
        </row>
        <row r="483">
          <cell r="M483">
            <v>0</v>
          </cell>
          <cell r="N483">
            <v>0</v>
          </cell>
        </row>
        <row r="484">
          <cell r="M484">
            <v>0</v>
          </cell>
          <cell r="N484">
            <v>0</v>
          </cell>
        </row>
        <row r="485">
          <cell r="M485">
            <v>0</v>
          </cell>
          <cell r="N485">
            <v>0</v>
          </cell>
        </row>
        <row r="486">
          <cell r="M486">
            <v>0</v>
          </cell>
          <cell r="N486">
            <v>0</v>
          </cell>
        </row>
        <row r="487">
          <cell r="M487">
            <v>0</v>
          </cell>
          <cell r="N487">
            <v>0</v>
          </cell>
        </row>
        <row r="488">
          <cell r="M488">
            <v>0</v>
          </cell>
          <cell r="N488">
            <v>0</v>
          </cell>
        </row>
        <row r="489">
          <cell r="M489">
            <v>0</v>
          </cell>
          <cell r="N489">
            <v>0</v>
          </cell>
        </row>
        <row r="490">
          <cell r="M490">
            <v>0</v>
          </cell>
          <cell r="N490">
            <v>0</v>
          </cell>
        </row>
        <row r="491">
          <cell r="M491">
            <v>0</v>
          </cell>
          <cell r="N491">
            <v>0</v>
          </cell>
        </row>
        <row r="492">
          <cell r="M492">
            <v>0</v>
          </cell>
          <cell r="N492">
            <v>0</v>
          </cell>
        </row>
        <row r="493">
          <cell r="M493">
            <v>0</v>
          </cell>
          <cell r="N493">
            <v>0</v>
          </cell>
        </row>
        <row r="494">
          <cell r="M494">
            <v>0</v>
          </cell>
          <cell r="N494">
            <v>0</v>
          </cell>
        </row>
        <row r="495">
          <cell r="M495">
            <v>0</v>
          </cell>
          <cell r="N495">
            <v>0</v>
          </cell>
        </row>
        <row r="496">
          <cell r="M496">
            <v>0</v>
          </cell>
          <cell r="N496">
            <v>0</v>
          </cell>
        </row>
        <row r="497">
          <cell r="M497">
            <v>0</v>
          </cell>
          <cell r="N497">
            <v>0</v>
          </cell>
        </row>
        <row r="498">
          <cell r="M498">
            <v>0</v>
          </cell>
          <cell r="N498">
            <v>0</v>
          </cell>
        </row>
        <row r="499">
          <cell r="M499">
            <v>0</v>
          </cell>
          <cell r="N499">
            <v>0</v>
          </cell>
        </row>
        <row r="500">
          <cell r="M500">
            <v>0</v>
          </cell>
          <cell r="N500">
            <v>0</v>
          </cell>
        </row>
        <row r="501">
          <cell r="M501">
            <v>0</v>
          </cell>
          <cell r="N501">
            <v>0</v>
          </cell>
        </row>
        <row r="502">
          <cell r="M502">
            <v>0</v>
          </cell>
          <cell r="N502">
            <v>0</v>
          </cell>
        </row>
        <row r="503">
          <cell r="M503">
            <v>0</v>
          </cell>
          <cell r="N503">
            <v>0</v>
          </cell>
        </row>
        <row r="504">
          <cell r="M504">
            <v>0</v>
          </cell>
          <cell r="N504">
            <v>0</v>
          </cell>
        </row>
        <row r="505">
          <cell r="M505">
            <v>0</v>
          </cell>
          <cell r="N505">
            <v>0</v>
          </cell>
        </row>
        <row r="506">
          <cell r="M506">
            <v>0</v>
          </cell>
          <cell r="N506">
            <v>0</v>
          </cell>
        </row>
        <row r="507">
          <cell r="M507">
            <v>0</v>
          </cell>
          <cell r="N507">
            <v>0</v>
          </cell>
        </row>
        <row r="508">
          <cell r="M508">
            <v>0</v>
          </cell>
          <cell r="N508">
            <v>0</v>
          </cell>
        </row>
        <row r="509">
          <cell r="M509">
            <v>0</v>
          </cell>
          <cell r="N509">
            <v>0</v>
          </cell>
        </row>
        <row r="510">
          <cell r="M510">
            <v>0</v>
          </cell>
          <cell r="N510">
            <v>0</v>
          </cell>
        </row>
        <row r="511">
          <cell r="M511">
            <v>0</v>
          </cell>
          <cell r="N511">
            <v>0</v>
          </cell>
        </row>
        <row r="512">
          <cell r="M512">
            <v>0</v>
          </cell>
          <cell r="N512">
            <v>0</v>
          </cell>
        </row>
        <row r="513">
          <cell r="M513">
            <v>0</v>
          </cell>
          <cell r="N513">
            <v>0</v>
          </cell>
        </row>
        <row r="514">
          <cell r="M514">
            <v>0</v>
          </cell>
          <cell r="N514">
            <v>0</v>
          </cell>
        </row>
        <row r="515">
          <cell r="M515">
            <v>0</v>
          </cell>
          <cell r="N515">
            <v>0</v>
          </cell>
        </row>
        <row r="516">
          <cell r="M516">
            <v>0</v>
          </cell>
          <cell r="N516">
            <v>0</v>
          </cell>
        </row>
        <row r="517">
          <cell r="M517">
            <v>0</v>
          </cell>
          <cell r="N517">
            <v>0</v>
          </cell>
        </row>
        <row r="518">
          <cell r="M518">
            <v>0</v>
          </cell>
          <cell r="N518">
            <v>0</v>
          </cell>
        </row>
        <row r="519">
          <cell r="M519">
            <v>0</v>
          </cell>
          <cell r="N519">
            <v>0</v>
          </cell>
        </row>
        <row r="520">
          <cell r="M520">
            <v>0</v>
          </cell>
          <cell r="N520">
            <v>0</v>
          </cell>
        </row>
        <row r="521">
          <cell r="M521">
            <v>0</v>
          </cell>
          <cell r="N521">
            <v>0</v>
          </cell>
        </row>
        <row r="522">
          <cell r="M522">
            <v>0</v>
          </cell>
          <cell r="N522">
            <v>0</v>
          </cell>
        </row>
        <row r="523">
          <cell r="M523">
            <v>0</v>
          </cell>
          <cell r="N523">
            <v>0</v>
          </cell>
        </row>
        <row r="524">
          <cell r="M524">
            <v>0</v>
          </cell>
          <cell r="N524">
            <v>0</v>
          </cell>
        </row>
        <row r="525">
          <cell r="M525">
            <v>0</v>
          </cell>
          <cell r="N525">
            <v>0</v>
          </cell>
        </row>
        <row r="526">
          <cell r="M526">
            <v>0</v>
          </cell>
          <cell r="N526">
            <v>0</v>
          </cell>
        </row>
        <row r="527">
          <cell r="M527">
            <v>0</v>
          </cell>
          <cell r="N527">
            <v>0</v>
          </cell>
        </row>
        <row r="528">
          <cell r="M528">
            <v>0</v>
          </cell>
          <cell r="N528">
            <v>0</v>
          </cell>
        </row>
        <row r="529">
          <cell r="M529">
            <v>0</v>
          </cell>
          <cell r="N529">
            <v>0</v>
          </cell>
        </row>
        <row r="530">
          <cell r="M530">
            <v>0</v>
          </cell>
          <cell r="N530">
            <v>0</v>
          </cell>
        </row>
        <row r="531">
          <cell r="M531">
            <v>0</v>
          </cell>
          <cell r="N531">
            <v>0</v>
          </cell>
        </row>
        <row r="532">
          <cell r="M532">
            <v>0</v>
          </cell>
          <cell r="N532">
            <v>0</v>
          </cell>
        </row>
        <row r="533">
          <cell r="M533">
            <v>0</v>
          </cell>
          <cell r="N533">
            <v>0</v>
          </cell>
        </row>
        <row r="534">
          <cell r="M534">
            <v>0</v>
          </cell>
          <cell r="N534">
            <v>0</v>
          </cell>
        </row>
        <row r="535">
          <cell r="M535">
            <v>0</v>
          </cell>
          <cell r="N535">
            <v>0</v>
          </cell>
        </row>
        <row r="536">
          <cell r="M536">
            <v>0</v>
          </cell>
          <cell r="N536">
            <v>0</v>
          </cell>
        </row>
        <row r="537">
          <cell r="M537">
            <v>0</v>
          </cell>
          <cell r="N537">
            <v>0</v>
          </cell>
        </row>
        <row r="538">
          <cell r="M538">
            <v>0</v>
          </cell>
          <cell r="N538">
            <v>0</v>
          </cell>
        </row>
        <row r="539">
          <cell r="M539">
            <v>0</v>
          </cell>
          <cell r="N539">
            <v>0</v>
          </cell>
        </row>
        <row r="540">
          <cell r="M540">
            <v>0</v>
          </cell>
          <cell r="N540">
            <v>0</v>
          </cell>
        </row>
        <row r="541">
          <cell r="M541">
            <v>0</v>
          </cell>
          <cell r="N541">
            <v>0</v>
          </cell>
        </row>
        <row r="542">
          <cell r="M542">
            <v>0</v>
          </cell>
          <cell r="N542">
            <v>0</v>
          </cell>
        </row>
        <row r="543">
          <cell r="M543">
            <v>0</v>
          </cell>
          <cell r="N543">
            <v>0</v>
          </cell>
        </row>
        <row r="544">
          <cell r="M544">
            <v>0</v>
          </cell>
          <cell r="N544">
            <v>0</v>
          </cell>
        </row>
        <row r="545">
          <cell r="M545">
            <v>0</v>
          </cell>
          <cell r="N545">
            <v>0</v>
          </cell>
        </row>
        <row r="546">
          <cell r="M546">
            <v>0</v>
          </cell>
          <cell r="N546">
            <v>0</v>
          </cell>
        </row>
        <row r="547">
          <cell r="M547">
            <v>0</v>
          </cell>
          <cell r="N547">
            <v>0</v>
          </cell>
        </row>
        <row r="548">
          <cell r="M548">
            <v>0</v>
          </cell>
          <cell r="N548">
            <v>0</v>
          </cell>
        </row>
        <row r="549">
          <cell r="M549">
            <v>0</v>
          </cell>
          <cell r="N549">
            <v>0</v>
          </cell>
        </row>
        <row r="550">
          <cell r="M550">
            <v>0</v>
          </cell>
          <cell r="N550">
            <v>0</v>
          </cell>
        </row>
        <row r="551">
          <cell r="M551">
            <v>0</v>
          </cell>
          <cell r="N551">
            <v>0</v>
          </cell>
        </row>
        <row r="552">
          <cell r="M552">
            <v>0</v>
          </cell>
          <cell r="N552">
            <v>0</v>
          </cell>
        </row>
        <row r="553">
          <cell r="M553">
            <v>0</v>
          </cell>
          <cell r="N553">
            <v>0</v>
          </cell>
        </row>
        <row r="554">
          <cell r="M554">
            <v>0</v>
          </cell>
          <cell r="N554">
            <v>0</v>
          </cell>
        </row>
        <row r="555">
          <cell r="M555">
            <v>0</v>
          </cell>
          <cell r="N555">
            <v>0</v>
          </cell>
        </row>
        <row r="556">
          <cell r="M556">
            <v>0</v>
          </cell>
          <cell r="N556">
            <v>0</v>
          </cell>
        </row>
        <row r="557">
          <cell r="M557">
            <v>0</v>
          </cell>
          <cell r="N557">
            <v>0</v>
          </cell>
        </row>
        <row r="558">
          <cell r="M558">
            <v>0</v>
          </cell>
          <cell r="N558">
            <v>0</v>
          </cell>
        </row>
        <row r="559">
          <cell r="M559">
            <v>0</v>
          </cell>
          <cell r="N559">
            <v>0</v>
          </cell>
        </row>
        <row r="560">
          <cell r="M560">
            <v>0</v>
          </cell>
          <cell r="N560">
            <v>0</v>
          </cell>
        </row>
        <row r="561">
          <cell r="M561">
            <v>0</v>
          </cell>
          <cell r="N561">
            <v>0</v>
          </cell>
        </row>
        <row r="562">
          <cell r="M562">
            <v>0</v>
          </cell>
          <cell r="N562">
            <v>0</v>
          </cell>
        </row>
        <row r="563">
          <cell r="M563">
            <v>0</v>
          </cell>
          <cell r="N563">
            <v>0</v>
          </cell>
        </row>
        <row r="564">
          <cell r="M564">
            <v>0</v>
          </cell>
          <cell r="N564">
            <v>0</v>
          </cell>
        </row>
        <row r="565">
          <cell r="M565">
            <v>0</v>
          </cell>
          <cell r="N565">
            <v>0</v>
          </cell>
        </row>
        <row r="566">
          <cell r="M566">
            <v>0</v>
          </cell>
          <cell r="N566">
            <v>0</v>
          </cell>
        </row>
        <row r="567">
          <cell r="M567">
            <v>0</v>
          </cell>
          <cell r="N567">
            <v>0</v>
          </cell>
        </row>
        <row r="568">
          <cell r="M568">
            <v>0</v>
          </cell>
          <cell r="N568">
            <v>0</v>
          </cell>
        </row>
        <row r="569">
          <cell r="M569">
            <v>0</v>
          </cell>
          <cell r="N569">
            <v>0</v>
          </cell>
        </row>
        <row r="570">
          <cell r="M570">
            <v>0</v>
          </cell>
          <cell r="N570">
            <v>0</v>
          </cell>
        </row>
        <row r="571">
          <cell r="M571">
            <v>0</v>
          </cell>
          <cell r="N571">
            <v>0</v>
          </cell>
        </row>
        <row r="572">
          <cell r="M572">
            <v>0</v>
          </cell>
          <cell r="N572">
            <v>0</v>
          </cell>
        </row>
        <row r="573">
          <cell r="M573">
            <v>0</v>
          </cell>
          <cell r="N573">
            <v>0</v>
          </cell>
        </row>
        <row r="574">
          <cell r="M574">
            <v>0</v>
          </cell>
          <cell r="N574">
            <v>0</v>
          </cell>
        </row>
        <row r="575">
          <cell r="M575">
            <v>0</v>
          </cell>
          <cell r="N575">
            <v>0</v>
          </cell>
        </row>
        <row r="576">
          <cell r="M576">
            <v>0</v>
          </cell>
          <cell r="N576">
            <v>0</v>
          </cell>
        </row>
        <row r="577">
          <cell r="M577">
            <v>0</v>
          </cell>
          <cell r="N577">
            <v>0</v>
          </cell>
        </row>
        <row r="578">
          <cell r="M578">
            <v>0</v>
          </cell>
          <cell r="N578">
            <v>0</v>
          </cell>
        </row>
        <row r="579">
          <cell r="M579">
            <v>0</v>
          </cell>
          <cell r="N579">
            <v>0</v>
          </cell>
        </row>
        <row r="580">
          <cell r="M580">
            <v>0</v>
          </cell>
          <cell r="N580">
            <v>0</v>
          </cell>
        </row>
        <row r="581">
          <cell r="M581">
            <v>0</v>
          </cell>
          <cell r="N581">
            <v>0</v>
          </cell>
        </row>
        <row r="582">
          <cell r="M582">
            <v>0</v>
          </cell>
          <cell r="N582">
            <v>0</v>
          </cell>
        </row>
        <row r="583">
          <cell r="M583">
            <v>0</v>
          </cell>
          <cell r="N583">
            <v>0</v>
          </cell>
        </row>
        <row r="584">
          <cell r="M584">
            <v>0</v>
          </cell>
          <cell r="N584">
            <v>0</v>
          </cell>
        </row>
        <row r="585">
          <cell r="M585">
            <v>0</v>
          </cell>
          <cell r="N585">
            <v>0</v>
          </cell>
        </row>
        <row r="586">
          <cell r="M586">
            <v>0</v>
          </cell>
          <cell r="N586">
            <v>0</v>
          </cell>
        </row>
        <row r="587">
          <cell r="M587">
            <v>0</v>
          </cell>
          <cell r="N587">
            <v>0</v>
          </cell>
        </row>
        <row r="588">
          <cell r="M588">
            <v>0</v>
          </cell>
          <cell r="N588">
            <v>0</v>
          </cell>
        </row>
        <row r="589">
          <cell r="M589">
            <v>0</v>
          </cell>
          <cell r="N589">
            <v>0</v>
          </cell>
        </row>
        <row r="590">
          <cell r="M590">
            <v>0</v>
          </cell>
          <cell r="N590">
            <v>0</v>
          </cell>
        </row>
        <row r="591">
          <cell r="M591">
            <v>0</v>
          </cell>
          <cell r="N591">
            <v>0</v>
          </cell>
        </row>
        <row r="592">
          <cell r="M592">
            <v>0</v>
          </cell>
          <cell r="N592">
            <v>0</v>
          </cell>
        </row>
        <row r="593">
          <cell r="M593">
            <v>0</v>
          </cell>
          <cell r="N593">
            <v>0</v>
          </cell>
        </row>
        <row r="594">
          <cell r="M594">
            <v>0</v>
          </cell>
          <cell r="N594">
            <v>0</v>
          </cell>
        </row>
        <row r="595">
          <cell r="M595">
            <v>0</v>
          </cell>
          <cell r="N595">
            <v>0</v>
          </cell>
        </row>
        <row r="596">
          <cell r="M596">
            <v>0</v>
          </cell>
          <cell r="N596">
            <v>0</v>
          </cell>
        </row>
        <row r="597">
          <cell r="M597">
            <v>0</v>
          </cell>
          <cell r="N597">
            <v>0</v>
          </cell>
        </row>
        <row r="598">
          <cell r="M598">
            <v>0</v>
          </cell>
          <cell r="N598">
            <v>0</v>
          </cell>
        </row>
        <row r="599">
          <cell r="M599">
            <v>0</v>
          </cell>
          <cell r="N599">
            <v>0</v>
          </cell>
        </row>
        <row r="600">
          <cell r="M600">
            <v>0</v>
          </cell>
          <cell r="N600">
            <v>0</v>
          </cell>
        </row>
        <row r="601">
          <cell r="M601">
            <v>0</v>
          </cell>
          <cell r="N601">
            <v>0</v>
          </cell>
        </row>
        <row r="602">
          <cell r="M602">
            <v>0</v>
          </cell>
          <cell r="N602">
            <v>0</v>
          </cell>
        </row>
        <row r="603">
          <cell r="M603">
            <v>0</v>
          </cell>
          <cell r="N603">
            <v>0</v>
          </cell>
        </row>
        <row r="604">
          <cell r="M604">
            <v>0</v>
          </cell>
          <cell r="N604">
            <v>0</v>
          </cell>
        </row>
        <row r="605">
          <cell r="M605">
            <v>0</v>
          </cell>
          <cell r="N605">
            <v>0</v>
          </cell>
        </row>
        <row r="606">
          <cell r="M606">
            <v>0</v>
          </cell>
          <cell r="N606">
            <v>0</v>
          </cell>
        </row>
        <row r="607">
          <cell r="M607">
            <v>0</v>
          </cell>
          <cell r="N607">
            <v>0</v>
          </cell>
        </row>
        <row r="608">
          <cell r="M608">
            <v>0</v>
          </cell>
          <cell r="N608">
            <v>0</v>
          </cell>
        </row>
        <row r="609">
          <cell r="M609">
            <v>0</v>
          </cell>
          <cell r="N609">
            <v>0</v>
          </cell>
        </row>
        <row r="610">
          <cell r="M610">
            <v>0</v>
          </cell>
          <cell r="N610">
            <v>0</v>
          </cell>
        </row>
        <row r="611">
          <cell r="M611">
            <v>0</v>
          </cell>
          <cell r="N611">
            <v>0</v>
          </cell>
        </row>
        <row r="612">
          <cell r="M612">
            <v>0</v>
          </cell>
          <cell r="N612">
            <v>0</v>
          </cell>
        </row>
        <row r="613">
          <cell r="M613">
            <v>0</v>
          </cell>
          <cell r="N613">
            <v>0</v>
          </cell>
        </row>
        <row r="614">
          <cell r="M614">
            <v>0</v>
          </cell>
          <cell r="N614">
            <v>0</v>
          </cell>
        </row>
        <row r="615">
          <cell r="M615">
            <v>0</v>
          </cell>
          <cell r="N615">
            <v>0</v>
          </cell>
        </row>
        <row r="616">
          <cell r="M616">
            <v>0</v>
          </cell>
          <cell r="N616">
            <v>0</v>
          </cell>
        </row>
        <row r="617">
          <cell r="M617">
            <v>0</v>
          </cell>
          <cell r="N617">
            <v>0</v>
          </cell>
        </row>
        <row r="618">
          <cell r="M618">
            <v>0</v>
          </cell>
          <cell r="N618">
            <v>0</v>
          </cell>
        </row>
        <row r="619">
          <cell r="M619">
            <v>0</v>
          </cell>
          <cell r="N619">
            <v>0</v>
          </cell>
        </row>
        <row r="620">
          <cell r="M620">
            <v>0</v>
          </cell>
          <cell r="N620">
            <v>0</v>
          </cell>
        </row>
        <row r="621">
          <cell r="M621">
            <v>0</v>
          </cell>
          <cell r="N621">
            <v>0</v>
          </cell>
        </row>
        <row r="622">
          <cell r="M622">
            <v>0</v>
          </cell>
          <cell r="N622">
            <v>0</v>
          </cell>
        </row>
        <row r="623">
          <cell r="M623">
            <v>0</v>
          </cell>
          <cell r="N623">
            <v>0</v>
          </cell>
        </row>
        <row r="624">
          <cell r="M624">
            <v>0</v>
          </cell>
          <cell r="N624">
            <v>0</v>
          </cell>
        </row>
        <row r="625">
          <cell r="M625">
            <v>0</v>
          </cell>
          <cell r="N625">
            <v>0</v>
          </cell>
        </row>
        <row r="626">
          <cell r="M626">
            <v>0</v>
          </cell>
          <cell r="N626">
            <v>0</v>
          </cell>
        </row>
        <row r="627">
          <cell r="M627">
            <v>0</v>
          </cell>
          <cell r="N627">
            <v>0</v>
          </cell>
        </row>
        <row r="628">
          <cell r="M628">
            <v>0</v>
          </cell>
          <cell r="N628">
            <v>0</v>
          </cell>
        </row>
        <row r="629">
          <cell r="M629">
            <v>0</v>
          </cell>
          <cell r="N629">
            <v>0</v>
          </cell>
        </row>
        <row r="630">
          <cell r="M630">
            <v>0</v>
          </cell>
          <cell r="N630">
            <v>0</v>
          </cell>
        </row>
        <row r="631">
          <cell r="M631">
            <v>0</v>
          </cell>
          <cell r="N631">
            <v>0</v>
          </cell>
        </row>
        <row r="632">
          <cell r="M632">
            <v>0</v>
          </cell>
          <cell r="N632">
            <v>0</v>
          </cell>
        </row>
        <row r="633">
          <cell r="M633">
            <v>0</v>
          </cell>
          <cell r="N633">
            <v>0</v>
          </cell>
        </row>
        <row r="634">
          <cell r="M634">
            <v>0</v>
          </cell>
          <cell r="N634">
            <v>0</v>
          </cell>
        </row>
        <row r="635">
          <cell r="M635">
            <v>0</v>
          </cell>
          <cell r="N635">
            <v>0</v>
          </cell>
        </row>
        <row r="636">
          <cell r="M636">
            <v>0</v>
          </cell>
          <cell r="N636">
            <v>0</v>
          </cell>
        </row>
        <row r="637">
          <cell r="M637">
            <v>0</v>
          </cell>
          <cell r="N637">
            <v>0</v>
          </cell>
        </row>
        <row r="638">
          <cell r="M638">
            <v>0</v>
          </cell>
          <cell r="N638">
            <v>0</v>
          </cell>
        </row>
        <row r="639">
          <cell r="M639">
            <v>0</v>
          </cell>
          <cell r="N639">
            <v>0</v>
          </cell>
        </row>
        <row r="640">
          <cell r="M640">
            <v>0</v>
          </cell>
          <cell r="N640">
            <v>0</v>
          </cell>
        </row>
        <row r="641">
          <cell r="M641">
            <v>0</v>
          </cell>
          <cell r="N641">
            <v>0</v>
          </cell>
        </row>
        <row r="642">
          <cell r="M642">
            <v>0</v>
          </cell>
          <cell r="N642">
            <v>0</v>
          </cell>
        </row>
        <row r="643">
          <cell r="M643">
            <v>0</v>
          </cell>
          <cell r="N643">
            <v>0</v>
          </cell>
        </row>
        <row r="644">
          <cell r="M644">
            <v>0</v>
          </cell>
          <cell r="N644">
            <v>0</v>
          </cell>
        </row>
        <row r="645">
          <cell r="M645">
            <v>0</v>
          </cell>
          <cell r="N645">
            <v>0</v>
          </cell>
        </row>
        <row r="646">
          <cell r="M646">
            <v>0</v>
          </cell>
          <cell r="N646">
            <v>0</v>
          </cell>
        </row>
        <row r="647">
          <cell r="M647">
            <v>0</v>
          </cell>
          <cell r="N647">
            <v>0</v>
          </cell>
        </row>
        <row r="648">
          <cell r="M648">
            <v>0</v>
          </cell>
          <cell r="N648">
            <v>0</v>
          </cell>
        </row>
        <row r="649">
          <cell r="M649">
            <v>0</v>
          </cell>
          <cell r="N649">
            <v>0</v>
          </cell>
        </row>
        <row r="650">
          <cell r="M650">
            <v>0</v>
          </cell>
          <cell r="N650">
            <v>0</v>
          </cell>
        </row>
        <row r="651">
          <cell r="M651">
            <v>0</v>
          </cell>
          <cell r="N651">
            <v>0</v>
          </cell>
        </row>
        <row r="652">
          <cell r="M652">
            <v>0</v>
          </cell>
          <cell r="N652">
            <v>0</v>
          </cell>
        </row>
        <row r="653">
          <cell r="M653">
            <v>0</v>
          </cell>
          <cell r="N653">
            <v>0</v>
          </cell>
        </row>
        <row r="654">
          <cell r="M654">
            <v>0</v>
          </cell>
          <cell r="N654">
            <v>0</v>
          </cell>
        </row>
        <row r="655">
          <cell r="M655">
            <v>0</v>
          </cell>
          <cell r="N655">
            <v>0</v>
          </cell>
        </row>
        <row r="656">
          <cell r="M656">
            <v>0</v>
          </cell>
          <cell r="N656">
            <v>0</v>
          </cell>
        </row>
        <row r="657">
          <cell r="M657">
            <v>0</v>
          </cell>
          <cell r="N657">
            <v>0</v>
          </cell>
        </row>
        <row r="658">
          <cell r="M658">
            <v>0</v>
          </cell>
          <cell r="N658">
            <v>0</v>
          </cell>
        </row>
        <row r="659">
          <cell r="M659">
            <v>0</v>
          </cell>
          <cell r="N659">
            <v>0</v>
          </cell>
        </row>
        <row r="660">
          <cell r="M660">
            <v>0</v>
          </cell>
          <cell r="N660">
            <v>0</v>
          </cell>
        </row>
        <row r="661">
          <cell r="M661">
            <v>0</v>
          </cell>
          <cell r="N661">
            <v>0</v>
          </cell>
        </row>
        <row r="662">
          <cell r="M662">
            <v>0</v>
          </cell>
          <cell r="N662">
            <v>0</v>
          </cell>
        </row>
        <row r="663">
          <cell r="M663">
            <v>0</v>
          </cell>
          <cell r="N663">
            <v>0</v>
          </cell>
        </row>
        <row r="664">
          <cell r="M664">
            <v>0</v>
          </cell>
          <cell r="N664">
            <v>0</v>
          </cell>
        </row>
        <row r="665">
          <cell r="M665">
            <v>0</v>
          </cell>
          <cell r="N665">
            <v>0</v>
          </cell>
        </row>
        <row r="666">
          <cell r="M666">
            <v>0</v>
          </cell>
          <cell r="N666">
            <v>0</v>
          </cell>
        </row>
        <row r="667">
          <cell r="M667">
            <v>0</v>
          </cell>
          <cell r="N667">
            <v>0</v>
          </cell>
        </row>
        <row r="668">
          <cell r="M668">
            <v>0</v>
          </cell>
          <cell r="N668">
            <v>0</v>
          </cell>
        </row>
        <row r="669">
          <cell r="M669">
            <v>0</v>
          </cell>
          <cell r="N669">
            <v>0</v>
          </cell>
        </row>
        <row r="670">
          <cell r="M670">
            <v>0</v>
          </cell>
          <cell r="N670">
            <v>0</v>
          </cell>
        </row>
        <row r="671">
          <cell r="M671">
            <v>0</v>
          </cell>
          <cell r="N671">
            <v>0</v>
          </cell>
        </row>
        <row r="672">
          <cell r="M672">
            <v>0</v>
          </cell>
          <cell r="N672">
            <v>0</v>
          </cell>
        </row>
        <row r="673">
          <cell r="M673">
            <v>0</v>
          </cell>
          <cell r="N673">
            <v>0</v>
          </cell>
        </row>
        <row r="674">
          <cell r="M674">
            <v>0</v>
          </cell>
          <cell r="N674">
            <v>0</v>
          </cell>
        </row>
        <row r="675">
          <cell r="M675">
            <v>0</v>
          </cell>
          <cell r="N675">
            <v>0</v>
          </cell>
        </row>
        <row r="676">
          <cell r="M676">
            <v>0</v>
          </cell>
          <cell r="N676">
            <v>0</v>
          </cell>
        </row>
        <row r="677">
          <cell r="M677">
            <v>0</v>
          </cell>
          <cell r="N677">
            <v>0</v>
          </cell>
        </row>
        <row r="678">
          <cell r="M678">
            <v>0</v>
          </cell>
          <cell r="N678">
            <v>0</v>
          </cell>
        </row>
        <row r="679">
          <cell r="M679">
            <v>0</v>
          </cell>
          <cell r="N679">
            <v>0</v>
          </cell>
        </row>
        <row r="680">
          <cell r="M680">
            <v>0</v>
          </cell>
          <cell r="N680">
            <v>0</v>
          </cell>
        </row>
        <row r="681">
          <cell r="M681">
            <v>0</v>
          </cell>
          <cell r="N681">
            <v>0</v>
          </cell>
        </row>
        <row r="682">
          <cell r="M682">
            <v>0</v>
          </cell>
          <cell r="N682">
            <v>0</v>
          </cell>
        </row>
        <row r="683">
          <cell r="M683">
            <v>0</v>
          </cell>
          <cell r="N683">
            <v>0</v>
          </cell>
        </row>
        <row r="684">
          <cell r="M684">
            <v>0</v>
          </cell>
          <cell r="N684">
            <v>0</v>
          </cell>
        </row>
        <row r="685">
          <cell r="M685">
            <v>0</v>
          </cell>
          <cell r="N685">
            <v>0</v>
          </cell>
        </row>
        <row r="686">
          <cell r="M686">
            <v>0</v>
          </cell>
          <cell r="N686">
            <v>0</v>
          </cell>
        </row>
        <row r="687">
          <cell r="M687">
            <v>0</v>
          </cell>
          <cell r="N687">
            <v>0</v>
          </cell>
        </row>
        <row r="688">
          <cell r="M688">
            <v>0</v>
          </cell>
          <cell r="N688">
            <v>0</v>
          </cell>
        </row>
        <row r="689">
          <cell r="M689">
            <v>0</v>
          </cell>
          <cell r="N689">
            <v>0</v>
          </cell>
        </row>
        <row r="690">
          <cell r="M690">
            <v>0</v>
          </cell>
          <cell r="N690">
            <v>0</v>
          </cell>
        </row>
        <row r="691">
          <cell r="M691">
            <v>0</v>
          </cell>
          <cell r="N691">
            <v>0</v>
          </cell>
        </row>
        <row r="692">
          <cell r="M692">
            <v>0</v>
          </cell>
          <cell r="N692">
            <v>0</v>
          </cell>
        </row>
        <row r="693">
          <cell r="M693">
            <v>0</v>
          </cell>
          <cell r="N693">
            <v>0</v>
          </cell>
        </row>
        <row r="694">
          <cell r="M694">
            <v>0</v>
          </cell>
          <cell r="N694">
            <v>0</v>
          </cell>
        </row>
        <row r="695">
          <cell r="M695">
            <v>0</v>
          </cell>
          <cell r="N695">
            <v>0</v>
          </cell>
        </row>
        <row r="696">
          <cell r="M696">
            <v>0</v>
          </cell>
          <cell r="N696">
            <v>0</v>
          </cell>
        </row>
        <row r="697">
          <cell r="M697">
            <v>0</v>
          </cell>
          <cell r="N697">
            <v>0</v>
          </cell>
        </row>
        <row r="698">
          <cell r="M698">
            <v>0</v>
          </cell>
          <cell r="N698">
            <v>0</v>
          </cell>
        </row>
        <row r="699">
          <cell r="M699">
            <v>0</v>
          </cell>
          <cell r="N699">
            <v>0</v>
          </cell>
        </row>
        <row r="700">
          <cell r="M700">
            <v>0</v>
          </cell>
          <cell r="N700">
            <v>0</v>
          </cell>
        </row>
        <row r="701">
          <cell r="M701">
            <v>0</v>
          </cell>
          <cell r="N701">
            <v>0</v>
          </cell>
        </row>
        <row r="702">
          <cell r="M702">
            <v>0</v>
          </cell>
          <cell r="N702">
            <v>0</v>
          </cell>
        </row>
        <row r="703">
          <cell r="M703">
            <v>0</v>
          </cell>
          <cell r="N703">
            <v>0</v>
          </cell>
        </row>
        <row r="704">
          <cell r="M704">
            <v>0</v>
          </cell>
          <cell r="N704">
            <v>0</v>
          </cell>
        </row>
        <row r="705">
          <cell r="M705">
            <v>0</v>
          </cell>
          <cell r="N705">
            <v>0</v>
          </cell>
        </row>
        <row r="706">
          <cell r="M706">
            <v>0</v>
          </cell>
          <cell r="N706">
            <v>0</v>
          </cell>
        </row>
        <row r="707">
          <cell r="M707">
            <v>0</v>
          </cell>
          <cell r="N707">
            <v>0</v>
          </cell>
        </row>
        <row r="708">
          <cell r="M708">
            <v>0</v>
          </cell>
          <cell r="N708">
            <v>0</v>
          </cell>
        </row>
        <row r="709">
          <cell r="M709">
            <v>0</v>
          </cell>
          <cell r="N709">
            <v>0</v>
          </cell>
        </row>
        <row r="710">
          <cell r="M710">
            <v>0</v>
          </cell>
          <cell r="N710">
            <v>0</v>
          </cell>
        </row>
        <row r="711">
          <cell r="M711">
            <v>0</v>
          </cell>
          <cell r="N711">
            <v>0</v>
          </cell>
        </row>
        <row r="712">
          <cell r="M712">
            <v>0</v>
          </cell>
          <cell r="N712">
            <v>0</v>
          </cell>
        </row>
        <row r="713">
          <cell r="M713">
            <v>0</v>
          </cell>
          <cell r="N713">
            <v>0</v>
          </cell>
        </row>
        <row r="714">
          <cell r="M714">
            <v>0</v>
          </cell>
          <cell r="N714">
            <v>0</v>
          </cell>
        </row>
        <row r="715">
          <cell r="M715">
            <v>0</v>
          </cell>
          <cell r="N715">
            <v>0</v>
          </cell>
        </row>
        <row r="716">
          <cell r="M716">
            <v>0</v>
          </cell>
          <cell r="N716">
            <v>0</v>
          </cell>
        </row>
        <row r="717">
          <cell r="M717">
            <v>0</v>
          </cell>
          <cell r="N717">
            <v>0</v>
          </cell>
        </row>
        <row r="718">
          <cell r="M718">
            <v>0</v>
          </cell>
          <cell r="N718">
            <v>0</v>
          </cell>
        </row>
        <row r="719">
          <cell r="M719">
            <v>0</v>
          </cell>
          <cell r="N719">
            <v>0</v>
          </cell>
        </row>
        <row r="720">
          <cell r="M720">
            <v>0</v>
          </cell>
          <cell r="N720">
            <v>0</v>
          </cell>
        </row>
        <row r="721">
          <cell r="M721">
            <v>0</v>
          </cell>
          <cell r="N721">
            <v>0</v>
          </cell>
        </row>
        <row r="722">
          <cell r="M722">
            <v>0</v>
          </cell>
          <cell r="N722">
            <v>0</v>
          </cell>
        </row>
        <row r="723">
          <cell r="M723">
            <v>0</v>
          </cell>
          <cell r="N723">
            <v>0</v>
          </cell>
        </row>
        <row r="724">
          <cell r="M724">
            <v>0</v>
          </cell>
          <cell r="N724">
            <v>0</v>
          </cell>
        </row>
        <row r="725">
          <cell r="M725">
            <v>0</v>
          </cell>
          <cell r="N725">
            <v>0</v>
          </cell>
        </row>
        <row r="726">
          <cell r="M726">
            <v>0</v>
          </cell>
          <cell r="N726">
            <v>0</v>
          </cell>
        </row>
        <row r="727">
          <cell r="M727">
            <v>0</v>
          </cell>
          <cell r="N727">
            <v>0</v>
          </cell>
        </row>
        <row r="728">
          <cell r="M728">
            <v>0</v>
          </cell>
          <cell r="N728">
            <v>0</v>
          </cell>
        </row>
        <row r="729">
          <cell r="M729">
            <v>0</v>
          </cell>
          <cell r="N729">
            <v>0</v>
          </cell>
        </row>
        <row r="730">
          <cell r="M730">
            <v>0</v>
          </cell>
          <cell r="N730">
            <v>0</v>
          </cell>
        </row>
        <row r="731">
          <cell r="M731">
            <v>0</v>
          </cell>
          <cell r="N731">
            <v>0</v>
          </cell>
        </row>
        <row r="732">
          <cell r="M732">
            <v>0</v>
          </cell>
          <cell r="N732">
            <v>0</v>
          </cell>
        </row>
        <row r="733">
          <cell r="M733">
            <v>0</v>
          </cell>
          <cell r="N733">
            <v>0</v>
          </cell>
        </row>
        <row r="734">
          <cell r="M734">
            <v>0</v>
          </cell>
          <cell r="N734">
            <v>0</v>
          </cell>
        </row>
        <row r="735">
          <cell r="M735">
            <v>0</v>
          </cell>
          <cell r="N735">
            <v>0</v>
          </cell>
        </row>
        <row r="736">
          <cell r="M736">
            <v>0</v>
          </cell>
          <cell r="N736">
            <v>0</v>
          </cell>
        </row>
        <row r="737">
          <cell r="M737">
            <v>0</v>
          </cell>
          <cell r="N737">
            <v>0</v>
          </cell>
        </row>
        <row r="738">
          <cell r="M738">
            <v>0</v>
          </cell>
          <cell r="N738">
            <v>0</v>
          </cell>
        </row>
        <row r="739">
          <cell r="M739">
            <v>0</v>
          </cell>
          <cell r="N739">
            <v>0</v>
          </cell>
        </row>
        <row r="740">
          <cell r="M740">
            <v>0</v>
          </cell>
          <cell r="N740">
            <v>0</v>
          </cell>
        </row>
        <row r="741">
          <cell r="M741">
            <v>0</v>
          </cell>
          <cell r="N741">
            <v>0</v>
          </cell>
        </row>
        <row r="742">
          <cell r="M742">
            <v>0</v>
          </cell>
          <cell r="N742">
            <v>0</v>
          </cell>
        </row>
        <row r="743">
          <cell r="M743">
            <v>0</v>
          </cell>
          <cell r="N743">
            <v>0</v>
          </cell>
        </row>
        <row r="744">
          <cell r="M744">
            <v>0</v>
          </cell>
          <cell r="N744">
            <v>0</v>
          </cell>
        </row>
        <row r="745">
          <cell r="M745">
            <v>0</v>
          </cell>
          <cell r="N745">
            <v>0</v>
          </cell>
        </row>
        <row r="746">
          <cell r="M746">
            <v>0</v>
          </cell>
          <cell r="N746">
            <v>0</v>
          </cell>
        </row>
        <row r="747">
          <cell r="M747">
            <v>0</v>
          </cell>
          <cell r="N747">
            <v>0</v>
          </cell>
        </row>
        <row r="748">
          <cell r="M748">
            <v>0</v>
          </cell>
          <cell r="N748">
            <v>0</v>
          </cell>
        </row>
        <row r="749">
          <cell r="M749">
            <v>0</v>
          </cell>
          <cell r="N749">
            <v>0</v>
          </cell>
        </row>
        <row r="750">
          <cell r="M750">
            <v>0</v>
          </cell>
          <cell r="N750">
            <v>0</v>
          </cell>
        </row>
        <row r="751">
          <cell r="M751">
            <v>0</v>
          </cell>
          <cell r="N751">
            <v>0</v>
          </cell>
        </row>
        <row r="752">
          <cell r="M752">
            <v>0</v>
          </cell>
          <cell r="N752">
            <v>0</v>
          </cell>
        </row>
        <row r="753">
          <cell r="M753">
            <v>0</v>
          </cell>
          <cell r="N753">
            <v>0</v>
          </cell>
        </row>
        <row r="754">
          <cell r="M754">
            <v>0</v>
          </cell>
          <cell r="N754">
            <v>0</v>
          </cell>
        </row>
        <row r="755">
          <cell r="M755">
            <v>0</v>
          </cell>
          <cell r="N755">
            <v>0</v>
          </cell>
        </row>
        <row r="756">
          <cell r="M756">
            <v>0</v>
          </cell>
          <cell r="N756">
            <v>0</v>
          </cell>
        </row>
        <row r="757">
          <cell r="M757">
            <v>0</v>
          </cell>
          <cell r="N757">
            <v>0</v>
          </cell>
        </row>
        <row r="758">
          <cell r="M758">
            <v>0</v>
          </cell>
          <cell r="N758">
            <v>0</v>
          </cell>
        </row>
        <row r="759">
          <cell r="M759">
            <v>0</v>
          </cell>
          <cell r="N759">
            <v>0</v>
          </cell>
        </row>
        <row r="760">
          <cell r="M760">
            <v>0</v>
          </cell>
          <cell r="N760">
            <v>0</v>
          </cell>
        </row>
        <row r="761">
          <cell r="M761">
            <v>0</v>
          </cell>
          <cell r="N761">
            <v>0</v>
          </cell>
        </row>
        <row r="762">
          <cell r="M762">
            <v>0</v>
          </cell>
          <cell r="N762">
            <v>0</v>
          </cell>
        </row>
        <row r="763">
          <cell r="M763">
            <v>0</v>
          </cell>
          <cell r="N763">
            <v>0</v>
          </cell>
        </row>
        <row r="764">
          <cell r="M764">
            <v>0</v>
          </cell>
          <cell r="N764">
            <v>0</v>
          </cell>
        </row>
        <row r="765">
          <cell r="M765">
            <v>0</v>
          </cell>
          <cell r="N765">
            <v>0</v>
          </cell>
        </row>
        <row r="766">
          <cell r="M766">
            <v>0</v>
          </cell>
          <cell r="N766">
            <v>0</v>
          </cell>
        </row>
        <row r="767">
          <cell r="M767">
            <v>0</v>
          </cell>
          <cell r="N767">
            <v>0</v>
          </cell>
        </row>
        <row r="768">
          <cell r="M768">
            <v>0</v>
          </cell>
          <cell r="N768">
            <v>0</v>
          </cell>
        </row>
        <row r="769">
          <cell r="M769">
            <v>0</v>
          </cell>
          <cell r="N769">
            <v>0</v>
          </cell>
        </row>
        <row r="770">
          <cell r="M770">
            <v>0</v>
          </cell>
          <cell r="N770">
            <v>0</v>
          </cell>
        </row>
        <row r="771">
          <cell r="M771">
            <v>0</v>
          </cell>
          <cell r="N771">
            <v>0</v>
          </cell>
        </row>
        <row r="772">
          <cell r="M772">
            <v>0</v>
          </cell>
          <cell r="N772">
            <v>0</v>
          </cell>
        </row>
        <row r="773">
          <cell r="M773">
            <v>0</v>
          </cell>
          <cell r="N773">
            <v>0</v>
          </cell>
        </row>
        <row r="774">
          <cell r="M774">
            <v>0</v>
          </cell>
          <cell r="N774">
            <v>0</v>
          </cell>
        </row>
        <row r="775">
          <cell r="M775">
            <v>0</v>
          </cell>
          <cell r="N775">
            <v>0</v>
          </cell>
        </row>
        <row r="776">
          <cell r="M776">
            <v>0</v>
          </cell>
          <cell r="N776">
            <v>0</v>
          </cell>
        </row>
        <row r="777">
          <cell r="M777">
            <v>0</v>
          </cell>
          <cell r="N777">
            <v>0</v>
          </cell>
        </row>
        <row r="778">
          <cell r="M778">
            <v>0</v>
          </cell>
          <cell r="N778">
            <v>0</v>
          </cell>
        </row>
        <row r="779">
          <cell r="M779">
            <v>0</v>
          </cell>
          <cell r="N779">
            <v>0</v>
          </cell>
        </row>
        <row r="780">
          <cell r="M780">
            <v>0</v>
          </cell>
          <cell r="N780">
            <v>0</v>
          </cell>
        </row>
        <row r="781">
          <cell r="M781">
            <v>0</v>
          </cell>
          <cell r="N781">
            <v>0</v>
          </cell>
        </row>
        <row r="782">
          <cell r="M782">
            <v>0</v>
          </cell>
          <cell r="N782">
            <v>0</v>
          </cell>
        </row>
        <row r="783">
          <cell r="M783">
            <v>0</v>
          </cell>
          <cell r="N783">
            <v>0</v>
          </cell>
        </row>
        <row r="784">
          <cell r="M784">
            <v>0</v>
          </cell>
          <cell r="N784">
            <v>0</v>
          </cell>
        </row>
        <row r="785">
          <cell r="M785">
            <v>0</v>
          </cell>
          <cell r="N785">
            <v>0</v>
          </cell>
        </row>
        <row r="786">
          <cell r="M786">
            <v>0</v>
          </cell>
          <cell r="N786">
            <v>0</v>
          </cell>
        </row>
        <row r="787">
          <cell r="M787">
            <v>0</v>
          </cell>
          <cell r="N787">
            <v>0</v>
          </cell>
        </row>
        <row r="788">
          <cell r="M788">
            <v>0</v>
          </cell>
          <cell r="N788">
            <v>0</v>
          </cell>
        </row>
        <row r="789">
          <cell r="M789">
            <v>0</v>
          </cell>
          <cell r="N789">
            <v>0</v>
          </cell>
        </row>
        <row r="790">
          <cell r="M790">
            <v>0</v>
          </cell>
          <cell r="N790">
            <v>0</v>
          </cell>
        </row>
        <row r="791">
          <cell r="M791">
            <v>0</v>
          </cell>
          <cell r="N791">
            <v>0</v>
          </cell>
        </row>
        <row r="792">
          <cell r="M792">
            <v>0</v>
          </cell>
          <cell r="N792">
            <v>0</v>
          </cell>
        </row>
        <row r="793">
          <cell r="M793">
            <v>0</v>
          </cell>
          <cell r="N793">
            <v>0</v>
          </cell>
        </row>
        <row r="794">
          <cell r="M794">
            <v>0</v>
          </cell>
          <cell r="N794">
            <v>0</v>
          </cell>
        </row>
        <row r="795">
          <cell r="M795">
            <v>0</v>
          </cell>
          <cell r="N795">
            <v>0</v>
          </cell>
        </row>
        <row r="796">
          <cell r="M796">
            <v>0</v>
          </cell>
          <cell r="N796">
            <v>0</v>
          </cell>
        </row>
        <row r="797">
          <cell r="M797">
            <v>0</v>
          </cell>
          <cell r="N797">
            <v>0</v>
          </cell>
        </row>
        <row r="798">
          <cell r="M798">
            <v>0</v>
          </cell>
          <cell r="N798">
            <v>0</v>
          </cell>
        </row>
        <row r="799">
          <cell r="M799">
            <v>0</v>
          </cell>
          <cell r="N799">
            <v>0</v>
          </cell>
        </row>
        <row r="800">
          <cell r="M800">
            <v>0</v>
          </cell>
          <cell r="N800">
            <v>0</v>
          </cell>
        </row>
        <row r="801">
          <cell r="M801">
            <v>0</v>
          </cell>
          <cell r="N801">
            <v>0</v>
          </cell>
        </row>
        <row r="802">
          <cell r="M802">
            <v>0</v>
          </cell>
          <cell r="N802">
            <v>0</v>
          </cell>
        </row>
        <row r="803">
          <cell r="M803">
            <v>0</v>
          </cell>
          <cell r="N803">
            <v>0</v>
          </cell>
        </row>
        <row r="804">
          <cell r="M804">
            <v>0</v>
          </cell>
          <cell r="N804">
            <v>0</v>
          </cell>
        </row>
        <row r="805">
          <cell r="M805">
            <v>0</v>
          </cell>
          <cell r="N805">
            <v>0</v>
          </cell>
        </row>
        <row r="806">
          <cell r="M806">
            <v>0</v>
          </cell>
          <cell r="N806">
            <v>0</v>
          </cell>
        </row>
        <row r="807">
          <cell r="M807">
            <v>0</v>
          </cell>
          <cell r="N807">
            <v>0</v>
          </cell>
        </row>
        <row r="808">
          <cell r="M808">
            <v>0</v>
          </cell>
          <cell r="N808">
            <v>0</v>
          </cell>
        </row>
        <row r="809">
          <cell r="M809">
            <v>0</v>
          </cell>
          <cell r="N809">
            <v>0</v>
          </cell>
        </row>
        <row r="810">
          <cell r="M810">
            <v>0</v>
          </cell>
          <cell r="N810">
            <v>0</v>
          </cell>
        </row>
        <row r="811">
          <cell r="M811">
            <v>0</v>
          </cell>
          <cell r="N811">
            <v>0</v>
          </cell>
        </row>
        <row r="812">
          <cell r="M812">
            <v>0</v>
          </cell>
          <cell r="N812">
            <v>0</v>
          </cell>
        </row>
        <row r="813">
          <cell r="M813">
            <v>0</v>
          </cell>
          <cell r="N813">
            <v>0</v>
          </cell>
        </row>
        <row r="814">
          <cell r="M814">
            <v>0</v>
          </cell>
          <cell r="N814">
            <v>0</v>
          </cell>
        </row>
        <row r="815">
          <cell r="M815">
            <v>0</v>
          </cell>
          <cell r="N815">
            <v>0</v>
          </cell>
        </row>
        <row r="816">
          <cell r="M816">
            <v>0</v>
          </cell>
          <cell r="N816">
            <v>0</v>
          </cell>
        </row>
        <row r="817">
          <cell r="M817">
            <v>0</v>
          </cell>
          <cell r="N817">
            <v>0</v>
          </cell>
        </row>
        <row r="818">
          <cell r="M818">
            <v>0</v>
          </cell>
          <cell r="N818">
            <v>0</v>
          </cell>
        </row>
        <row r="819">
          <cell r="M819">
            <v>0</v>
          </cell>
          <cell r="N819">
            <v>0</v>
          </cell>
        </row>
        <row r="820">
          <cell r="M820">
            <v>0</v>
          </cell>
          <cell r="N820">
            <v>0</v>
          </cell>
        </row>
        <row r="821">
          <cell r="M821">
            <v>0</v>
          </cell>
          <cell r="N821">
            <v>0</v>
          </cell>
        </row>
        <row r="822">
          <cell r="M822">
            <v>0</v>
          </cell>
          <cell r="N822">
            <v>0</v>
          </cell>
        </row>
        <row r="823">
          <cell r="M823">
            <v>0</v>
          </cell>
          <cell r="N823">
            <v>0</v>
          </cell>
        </row>
        <row r="824">
          <cell r="M824">
            <v>0</v>
          </cell>
          <cell r="N824">
            <v>0</v>
          </cell>
        </row>
        <row r="825">
          <cell r="M825">
            <v>0</v>
          </cell>
          <cell r="N825">
            <v>0</v>
          </cell>
        </row>
        <row r="826">
          <cell r="M826">
            <v>0</v>
          </cell>
          <cell r="N826">
            <v>0</v>
          </cell>
        </row>
        <row r="827">
          <cell r="M827">
            <v>0</v>
          </cell>
          <cell r="N827">
            <v>0</v>
          </cell>
        </row>
        <row r="828">
          <cell r="M828">
            <v>0</v>
          </cell>
          <cell r="N828">
            <v>0</v>
          </cell>
        </row>
        <row r="829">
          <cell r="M829">
            <v>0</v>
          </cell>
          <cell r="N829">
            <v>0</v>
          </cell>
        </row>
        <row r="830">
          <cell r="M830">
            <v>0</v>
          </cell>
          <cell r="N830">
            <v>0</v>
          </cell>
        </row>
        <row r="831">
          <cell r="M831">
            <v>0</v>
          </cell>
          <cell r="N831">
            <v>0</v>
          </cell>
        </row>
        <row r="832">
          <cell r="M832">
            <v>0</v>
          </cell>
          <cell r="N832">
            <v>0</v>
          </cell>
        </row>
        <row r="833">
          <cell r="M833">
            <v>0</v>
          </cell>
          <cell r="N833">
            <v>0</v>
          </cell>
        </row>
        <row r="834">
          <cell r="M834">
            <v>0</v>
          </cell>
          <cell r="N834">
            <v>0</v>
          </cell>
        </row>
        <row r="835">
          <cell r="M835">
            <v>0</v>
          </cell>
          <cell r="N835">
            <v>0</v>
          </cell>
        </row>
        <row r="836">
          <cell r="M836">
            <v>0</v>
          </cell>
          <cell r="N836">
            <v>0</v>
          </cell>
        </row>
        <row r="837">
          <cell r="M837">
            <v>0</v>
          </cell>
          <cell r="N837">
            <v>0</v>
          </cell>
        </row>
        <row r="838">
          <cell r="M838">
            <v>0</v>
          </cell>
          <cell r="N838">
            <v>0</v>
          </cell>
        </row>
        <row r="839">
          <cell r="M839">
            <v>0</v>
          </cell>
          <cell r="N839">
            <v>0</v>
          </cell>
        </row>
        <row r="840">
          <cell r="M840">
            <v>0</v>
          </cell>
          <cell r="N840">
            <v>0</v>
          </cell>
        </row>
        <row r="841">
          <cell r="M841">
            <v>0</v>
          </cell>
          <cell r="N841">
            <v>0</v>
          </cell>
        </row>
        <row r="842">
          <cell r="M842">
            <v>0</v>
          </cell>
          <cell r="N842">
            <v>0</v>
          </cell>
        </row>
        <row r="843">
          <cell r="M843">
            <v>0</v>
          </cell>
          <cell r="N843">
            <v>0</v>
          </cell>
        </row>
        <row r="844">
          <cell r="M844">
            <v>0</v>
          </cell>
          <cell r="N844">
            <v>0</v>
          </cell>
        </row>
        <row r="845">
          <cell r="M845">
            <v>0</v>
          </cell>
          <cell r="N845">
            <v>0</v>
          </cell>
        </row>
        <row r="846">
          <cell r="M846">
            <v>0</v>
          </cell>
          <cell r="N846">
            <v>0</v>
          </cell>
        </row>
        <row r="847">
          <cell r="M847">
            <v>0</v>
          </cell>
          <cell r="N847">
            <v>0</v>
          </cell>
        </row>
        <row r="848">
          <cell r="M848">
            <v>0</v>
          </cell>
          <cell r="N848">
            <v>0</v>
          </cell>
        </row>
        <row r="849">
          <cell r="M849">
            <v>0</v>
          </cell>
          <cell r="N849">
            <v>0</v>
          </cell>
        </row>
        <row r="850">
          <cell r="M850">
            <v>0</v>
          </cell>
          <cell r="N850">
            <v>0</v>
          </cell>
        </row>
        <row r="851">
          <cell r="M851">
            <v>0</v>
          </cell>
          <cell r="N851">
            <v>0</v>
          </cell>
        </row>
        <row r="852">
          <cell r="M852">
            <v>0</v>
          </cell>
          <cell r="N852">
            <v>0</v>
          </cell>
        </row>
        <row r="853">
          <cell r="M853">
            <v>0</v>
          </cell>
          <cell r="N853">
            <v>0</v>
          </cell>
        </row>
        <row r="854">
          <cell r="M854">
            <v>0</v>
          </cell>
          <cell r="N854">
            <v>0</v>
          </cell>
        </row>
        <row r="855">
          <cell r="M855">
            <v>0</v>
          </cell>
          <cell r="N855">
            <v>0</v>
          </cell>
        </row>
        <row r="856">
          <cell r="M856">
            <v>0</v>
          </cell>
          <cell r="N856">
            <v>0</v>
          </cell>
        </row>
        <row r="857">
          <cell r="M857">
            <v>0</v>
          </cell>
          <cell r="N857">
            <v>0</v>
          </cell>
        </row>
        <row r="858">
          <cell r="M858">
            <v>0</v>
          </cell>
          <cell r="N858">
            <v>0</v>
          </cell>
        </row>
        <row r="859">
          <cell r="M859">
            <v>0</v>
          </cell>
          <cell r="N859">
            <v>0</v>
          </cell>
        </row>
        <row r="860">
          <cell r="M860">
            <v>0</v>
          </cell>
          <cell r="N860">
            <v>0</v>
          </cell>
        </row>
        <row r="861">
          <cell r="M861">
            <v>0</v>
          </cell>
          <cell r="N861">
            <v>0</v>
          </cell>
        </row>
        <row r="862">
          <cell r="M862">
            <v>0</v>
          </cell>
          <cell r="N862">
            <v>0</v>
          </cell>
        </row>
        <row r="863">
          <cell r="M863">
            <v>0</v>
          </cell>
          <cell r="N863">
            <v>0</v>
          </cell>
        </row>
        <row r="864">
          <cell r="M864">
            <v>0</v>
          </cell>
          <cell r="N864">
            <v>0</v>
          </cell>
        </row>
        <row r="865">
          <cell r="M865">
            <v>0</v>
          </cell>
          <cell r="N865">
            <v>0</v>
          </cell>
        </row>
        <row r="866">
          <cell r="M866">
            <v>0</v>
          </cell>
          <cell r="N866">
            <v>0</v>
          </cell>
        </row>
        <row r="867">
          <cell r="M867">
            <v>0</v>
          </cell>
          <cell r="N867">
            <v>0</v>
          </cell>
        </row>
        <row r="868">
          <cell r="M868">
            <v>0</v>
          </cell>
          <cell r="N868">
            <v>0</v>
          </cell>
        </row>
        <row r="869">
          <cell r="M869">
            <v>0</v>
          </cell>
          <cell r="N869">
            <v>0</v>
          </cell>
        </row>
        <row r="870">
          <cell r="M870">
            <v>0</v>
          </cell>
          <cell r="N870">
            <v>0</v>
          </cell>
        </row>
        <row r="871">
          <cell r="M871">
            <v>0</v>
          </cell>
          <cell r="N871">
            <v>0</v>
          </cell>
        </row>
        <row r="872">
          <cell r="M872">
            <v>0</v>
          </cell>
          <cell r="N872">
            <v>0</v>
          </cell>
        </row>
        <row r="873">
          <cell r="M873">
            <v>0</v>
          </cell>
          <cell r="N873">
            <v>0</v>
          </cell>
        </row>
        <row r="874">
          <cell r="M874">
            <v>0</v>
          </cell>
          <cell r="N874">
            <v>0</v>
          </cell>
        </row>
        <row r="875">
          <cell r="M875">
            <v>0</v>
          </cell>
          <cell r="N875">
            <v>0</v>
          </cell>
        </row>
        <row r="876">
          <cell r="M876">
            <v>0</v>
          </cell>
          <cell r="N876">
            <v>0</v>
          </cell>
        </row>
        <row r="877">
          <cell r="M877">
            <v>0</v>
          </cell>
          <cell r="N877">
            <v>0</v>
          </cell>
        </row>
        <row r="878">
          <cell r="M878">
            <v>0</v>
          </cell>
          <cell r="N878">
            <v>0</v>
          </cell>
        </row>
        <row r="879">
          <cell r="M879">
            <v>0</v>
          </cell>
          <cell r="N879">
            <v>0</v>
          </cell>
        </row>
        <row r="880">
          <cell r="M880">
            <v>0</v>
          </cell>
          <cell r="N880">
            <v>0</v>
          </cell>
        </row>
        <row r="881">
          <cell r="M881">
            <v>0</v>
          </cell>
          <cell r="N881">
            <v>0</v>
          </cell>
        </row>
        <row r="882">
          <cell r="M882">
            <v>0</v>
          </cell>
          <cell r="N882">
            <v>0</v>
          </cell>
        </row>
        <row r="883">
          <cell r="M883">
            <v>0</v>
          </cell>
          <cell r="N883">
            <v>0</v>
          </cell>
        </row>
        <row r="884">
          <cell r="M884">
            <v>0</v>
          </cell>
          <cell r="N884">
            <v>0</v>
          </cell>
        </row>
        <row r="885">
          <cell r="M885">
            <v>0</v>
          </cell>
          <cell r="N885">
            <v>0</v>
          </cell>
        </row>
        <row r="886">
          <cell r="M886">
            <v>0</v>
          </cell>
          <cell r="N886">
            <v>0</v>
          </cell>
        </row>
        <row r="887">
          <cell r="M887">
            <v>0</v>
          </cell>
          <cell r="N887">
            <v>0</v>
          </cell>
        </row>
        <row r="888">
          <cell r="M888">
            <v>0</v>
          </cell>
          <cell r="N888">
            <v>0</v>
          </cell>
        </row>
        <row r="889">
          <cell r="M889">
            <v>0</v>
          </cell>
          <cell r="N889">
            <v>0</v>
          </cell>
        </row>
        <row r="890">
          <cell r="M890">
            <v>0</v>
          </cell>
          <cell r="N890">
            <v>0</v>
          </cell>
        </row>
        <row r="891">
          <cell r="M891">
            <v>0</v>
          </cell>
          <cell r="N891">
            <v>0</v>
          </cell>
        </row>
        <row r="892">
          <cell r="M892">
            <v>0</v>
          </cell>
          <cell r="N892">
            <v>0</v>
          </cell>
        </row>
        <row r="893">
          <cell r="M893">
            <v>0</v>
          </cell>
          <cell r="N893">
            <v>0</v>
          </cell>
        </row>
        <row r="894">
          <cell r="M894">
            <v>0</v>
          </cell>
          <cell r="N894">
            <v>0</v>
          </cell>
        </row>
        <row r="895">
          <cell r="M895">
            <v>0</v>
          </cell>
          <cell r="N895">
            <v>0</v>
          </cell>
        </row>
        <row r="896">
          <cell r="M896">
            <v>0</v>
          </cell>
          <cell r="N896">
            <v>0</v>
          </cell>
        </row>
        <row r="897">
          <cell r="M897">
            <v>0</v>
          </cell>
          <cell r="N897">
            <v>0</v>
          </cell>
        </row>
        <row r="898">
          <cell r="M898">
            <v>0</v>
          </cell>
          <cell r="N898">
            <v>0</v>
          </cell>
        </row>
        <row r="899">
          <cell r="M899">
            <v>0</v>
          </cell>
          <cell r="N899">
            <v>0</v>
          </cell>
        </row>
        <row r="900">
          <cell r="M900">
            <v>0</v>
          </cell>
          <cell r="N900">
            <v>0</v>
          </cell>
        </row>
        <row r="901">
          <cell r="M901">
            <v>0</v>
          </cell>
          <cell r="N901">
            <v>0</v>
          </cell>
        </row>
        <row r="902">
          <cell r="M902">
            <v>0</v>
          </cell>
          <cell r="N902">
            <v>0</v>
          </cell>
        </row>
        <row r="903">
          <cell r="M903">
            <v>0</v>
          </cell>
          <cell r="N903">
            <v>0</v>
          </cell>
        </row>
        <row r="904">
          <cell r="M904">
            <v>0</v>
          </cell>
          <cell r="N904">
            <v>0</v>
          </cell>
        </row>
        <row r="905">
          <cell r="M905">
            <v>0</v>
          </cell>
          <cell r="N905">
            <v>0</v>
          </cell>
        </row>
        <row r="906">
          <cell r="M906">
            <v>0</v>
          </cell>
          <cell r="N906">
            <v>0</v>
          </cell>
        </row>
        <row r="907">
          <cell r="M907">
            <v>0</v>
          </cell>
          <cell r="N907">
            <v>0</v>
          </cell>
        </row>
        <row r="908">
          <cell r="M908">
            <v>0</v>
          </cell>
          <cell r="N908">
            <v>0</v>
          </cell>
        </row>
        <row r="909">
          <cell r="M909">
            <v>0</v>
          </cell>
          <cell r="N909">
            <v>0</v>
          </cell>
        </row>
        <row r="910">
          <cell r="M910">
            <v>0</v>
          </cell>
          <cell r="N910">
            <v>0</v>
          </cell>
        </row>
        <row r="911">
          <cell r="M911">
            <v>0</v>
          </cell>
          <cell r="N911">
            <v>0</v>
          </cell>
        </row>
        <row r="912">
          <cell r="M912">
            <v>0</v>
          </cell>
          <cell r="N912">
            <v>0</v>
          </cell>
        </row>
        <row r="913">
          <cell r="M913">
            <v>0</v>
          </cell>
          <cell r="N913">
            <v>0</v>
          </cell>
        </row>
        <row r="914">
          <cell r="M914">
            <v>0</v>
          </cell>
          <cell r="N914">
            <v>0</v>
          </cell>
        </row>
        <row r="915">
          <cell r="M915">
            <v>0</v>
          </cell>
          <cell r="N915">
            <v>0</v>
          </cell>
        </row>
        <row r="916">
          <cell r="M916">
            <v>0</v>
          </cell>
          <cell r="N916">
            <v>0</v>
          </cell>
        </row>
        <row r="917">
          <cell r="M917">
            <v>0</v>
          </cell>
          <cell r="N917">
            <v>0</v>
          </cell>
        </row>
        <row r="918">
          <cell r="M918">
            <v>0</v>
          </cell>
          <cell r="N918">
            <v>0</v>
          </cell>
        </row>
        <row r="919">
          <cell r="M919">
            <v>0</v>
          </cell>
          <cell r="N919">
            <v>0</v>
          </cell>
        </row>
        <row r="920">
          <cell r="M920">
            <v>0</v>
          </cell>
          <cell r="N920">
            <v>0</v>
          </cell>
        </row>
        <row r="921">
          <cell r="M921">
            <v>0</v>
          </cell>
          <cell r="N921">
            <v>0</v>
          </cell>
        </row>
        <row r="922">
          <cell r="M922">
            <v>0</v>
          </cell>
          <cell r="N922">
            <v>0</v>
          </cell>
        </row>
        <row r="923">
          <cell r="M923">
            <v>0</v>
          </cell>
          <cell r="N923">
            <v>0</v>
          </cell>
        </row>
        <row r="924">
          <cell r="M924">
            <v>0</v>
          </cell>
          <cell r="N924">
            <v>0</v>
          </cell>
        </row>
        <row r="925">
          <cell r="M925">
            <v>0</v>
          </cell>
          <cell r="N925">
            <v>0</v>
          </cell>
        </row>
        <row r="926">
          <cell r="M926">
            <v>0</v>
          </cell>
          <cell r="N926">
            <v>0</v>
          </cell>
        </row>
        <row r="927">
          <cell r="M927">
            <v>0</v>
          </cell>
          <cell r="N927">
            <v>0</v>
          </cell>
        </row>
        <row r="928">
          <cell r="M928">
            <v>0</v>
          </cell>
          <cell r="N928">
            <v>0</v>
          </cell>
        </row>
        <row r="929">
          <cell r="M929">
            <v>0</v>
          </cell>
          <cell r="N929">
            <v>0</v>
          </cell>
        </row>
        <row r="930">
          <cell r="M930">
            <v>0</v>
          </cell>
          <cell r="N930">
            <v>0</v>
          </cell>
        </row>
        <row r="931">
          <cell r="M931">
            <v>0</v>
          </cell>
          <cell r="N931">
            <v>0</v>
          </cell>
        </row>
        <row r="932">
          <cell r="M932">
            <v>0</v>
          </cell>
          <cell r="N932">
            <v>0</v>
          </cell>
        </row>
        <row r="933">
          <cell r="M933">
            <v>0</v>
          </cell>
          <cell r="N933">
            <v>0</v>
          </cell>
        </row>
        <row r="934">
          <cell r="M934">
            <v>0</v>
          </cell>
          <cell r="N934">
            <v>0</v>
          </cell>
        </row>
        <row r="935">
          <cell r="M935">
            <v>0</v>
          </cell>
          <cell r="N935">
            <v>0</v>
          </cell>
        </row>
        <row r="936">
          <cell r="M936">
            <v>0</v>
          </cell>
          <cell r="N936">
            <v>0</v>
          </cell>
        </row>
        <row r="937">
          <cell r="M937">
            <v>0</v>
          </cell>
          <cell r="N937">
            <v>0</v>
          </cell>
        </row>
        <row r="938">
          <cell r="M938">
            <v>0</v>
          </cell>
          <cell r="N938">
            <v>0</v>
          </cell>
        </row>
        <row r="939">
          <cell r="M939">
            <v>0</v>
          </cell>
          <cell r="N939">
            <v>0</v>
          </cell>
        </row>
        <row r="940">
          <cell r="M940">
            <v>0</v>
          </cell>
          <cell r="N940">
            <v>0</v>
          </cell>
        </row>
        <row r="941">
          <cell r="M941">
            <v>0</v>
          </cell>
          <cell r="N941">
            <v>0</v>
          </cell>
        </row>
        <row r="942">
          <cell r="M942">
            <v>0</v>
          </cell>
          <cell r="N942">
            <v>0</v>
          </cell>
        </row>
        <row r="943">
          <cell r="M943">
            <v>0</v>
          </cell>
          <cell r="N943">
            <v>0</v>
          </cell>
        </row>
        <row r="944">
          <cell r="M944">
            <v>0</v>
          </cell>
          <cell r="N944">
            <v>0</v>
          </cell>
        </row>
        <row r="945">
          <cell r="M945">
            <v>0</v>
          </cell>
          <cell r="N945">
            <v>0</v>
          </cell>
        </row>
        <row r="946">
          <cell r="M946">
            <v>0</v>
          </cell>
          <cell r="N946">
            <v>0</v>
          </cell>
        </row>
        <row r="947">
          <cell r="M947">
            <v>0</v>
          </cell>
          <cell r="N947">
            <v>0</v>
          </cell>
        </row>
        <row r="948">
          <cell r="M948">
            <v>0</v>
          </cell>
          <cell r="N948">
            <v>0</v>
          </cell>
        </row>
        <row r="949">
          <cell r="M949">
            <v>0</v>
          </cell>
          <cell r="N949">
            <v>0</v>
          </cell>
        </row>
        <row r="950">
          <cell r="M950">
            <v>0</v>
          </cell>
          <cell r="N950">
            <v>0</v>
          </cell>
        </row>
        <row r="951">
          <cell r="M951">
            <v>0</v>
          </cell>
          <cell r="N951">
            <v>0</v>
          </cell>
        </row>
        <row r="952">
          <cell r="M952">
            <v>0</v>
          </cell>
          <cell r="N952">
            <v>0</v>
          </cell>
        </row>
        <row r="953">
          <cell r="M953">
            <v>0</v>
          </cell>
          <cell r="N953">
            <v>0</v>
          </cell>
        </row>
        <row r="954">
          <cell r="M954">
            <v>0</v>
          </cell>
          <cell r="N954">
            <v>0</v>
          </cell>
        </row>
        <row r="955">
          <cell r="M955">
            <v>0</v>
          </cell>
          <cell r="N955">
            <v>0</v>
          </cell>
        </row>
        <row r="956">
          <cell r="M956">
            <v>0</v>
          </cell>
          <cell r="N956">
            <v>0</v>
          </cell>
        </row>
        <row r="957">
          <cell r="M957">
            <v>0</v>
          </cell>
          <cell r="N957">
            <v>0</v>
          </cell>
        </row>
        <row r="958">
          <cell r="M958">
            <v>0</v>
          </cell>
          <cell r="N958">
            <v>0</v>
          </cell>
        </row>
        <row r="959">
          <cell r="M959">
            <v>0</v>
          </cell>
          <cell r="N959">
            <v>0</v>
          </cell>
        </row>
        <row r="960">
          <cell r="M960">
            <v>0</v>
          </cell>
          <cell r="N960">
            <v>0</v>
          </cell>
        </row>
        <row r="961">
          <cell r="M961">
            <v>0</v>
          </cell>
          <cell r="N961">
            <v>0</v>
          </cell>
        </row>
        <row r="962">
          <cell r="M962">
            <v>0</v>
          </cell>
          <cell r="N962">
            <v>0</v>
          </cell>
        </row>
        <row r="963">
          <cell r="M963">
            <v>0</v>
          </cell>
          <cell r="N963">
            <v>0</v>
          </cell>
        </row>
        <row r="964">
          <cell r="M964">
            <v>0</v>
          </cell>
          <cell r="N964">
            <v>0</v>
          </cell>
        </row>
        <row r="965">
          <cell r="M965">
            <v>0</v>
          </cell>
          <cell r="N965">
            <v>0</v>
          </cell>
        </row>
        <row r="966">
          <cell r="M966">
            <v>0</v>
          </cell>
          <cell r="N966">
            <v>0</v>
          </cell>
        </row>
        <row r="967">
          <cell r="M967">
            <v>0</v>
          </cell>
          <cell r="N967">
            <v>0</v>
          </cell>
        </row>
        <row r="968">
          <cell r="M968">
            <v>0</v>
          </cell>
          <cell r="N968">
            <v>0</v>
          </cell>
        </row>
        <row r="969">
          <cell r="M969">
            <v>0</v>
          </cell>
          <cell r="N969">
            <v>0</v>
          </cell>
        </row>
        <row r="970">
          <cell r="M970">
            <v>0</v>
          </cell>
          <cell r="N970">
            <v>0</v>
          </cell>
        </row>
        <row r="971">
          <cell r="M971">
            <v>0</v>
          </cell>
          <cell r="N971">
            <v>0</v>
          </cell>
        </row>
        <row r="972">
          <cell r="M972">
            <v>0</v>
          </cell>
          <cell r="N972">
            <v>0</v>
          </cell>
        </row>
        <row r="973">
          <cell r="M973">
            <v>0</v>
          </cell>
          <cell r="N973">
            <v>0</v>
          </cell>
        </row>
        <row r="974">
          <cell r="M974">
            <v>0</v>
          </cell>
          <cell r="N974">
            <v>0</v>
          </cell>
        </row>
        <row r="975">
          <cell r="M975">
            <v>0</v>
          </cell>
          <cell r="N975">
            <v>0</v>
          </cell>
        </row>
        <row r="976">
          <cell r="M976">
            <v>0</v>
          </cell>
          <cell r="N976">
            <v>0</v>
          </cell>
        </row>
        <row r="977">
          <cell r="M977">
            <v>0</v>
          </cell>
          <cell r="N977">
            <v>0</v>
          </cell>
        </row>
        <row r="978">
          <cell r="M978">
            <v>0</v>
          </cell>
          <cell r="N978">
            <v>0</v>
          </cell>
        </row>
        <row r="979">
          <cell r="M979">
            <v>0</v>
          </cell>
          <cell r="N979">
            <v>0</v>
          </cell>
        </row>
        <row r="980">
          <cell r="M980">
            <v>0</v>
          </cell>
          <cell r="N980">
            <v>0</v>
          </cell>
        </row>
        <row r="981">
          <cell r="M981">
            <v>0</v>
          </cell>
          <cell r="N981">
            <v>0</v>
          </cell>
        </row>
        <row r="982">
          <cell r="M982">
            <v>0</v>
          </cell>
          <cell r="N982">
            <v>0</v>
          </cell>
        </row>
        <row r="983">
          <cell r="M983">
            <v>0</v>
          </cell>
          <cell r="N983">
            <v>0</v>
          </cell>
        </row>
        <row r="984">
          <cell r="M984">
            <v>0</v>
          </cell>
          <cell r="N984">
            <v>0</v>
          </cell>
        </row>
        <row r="985">
          <cell r="M985">
            <v>0</v>
          </cell>
          <cell r="N985">
            <v>0</v>
          </cell>
        </row>
        <row r="986">
          <cell r="M986">
            <v>0</v>
          </cell>
          <cell r="N986">
            <v>0</v>
          </cell>
        </row>
        <row r="987">
          <cell r="M987">
            <v>0</v>
          </cell>
          <cell r="N987">
            <v>0</v>
          </cell>
        </row>
        <row r="988">
          <cell r="M988">
            <v>0</v>
          </cell>
          <cell r="N988">
            <v>0</v>
          </cell>
        </row>
        <row r="989">
          <cell r="M989">
            <v>0</v>
          </cell>
          <cell r="N989">
            <v>0</v>
          </cell>
        </row>
        <row r="990">
          <cell r="M990">
            <v>0</v>
          </cell>
          <cell r="N990">
            <v>0</v>
          </cell>
        </row>
        <row r="991">
          <cell r="M991">
            <v>0</v>
          </cell>
          <cell r="N991">
            <v>0</v>
          </cell>
        </row>
        <row r="992">
          <cell r="M992">
            <v>0</v>
          </cell>
          <cell r="N992">
            <v>0</v>
          </cell>
        </row>
        <row r="993">
          <cell r="M993">
            <v>0</v>
          </cell>
          <cell r="N993">
            <v>0</v>
          </cell>
        </row>
        <row r="994">
          <cell r="M994">
            <v>0</v>
          </cell>
          <cell r="N994">
            <v>0</v>
          </cell>
        </row>
        <row r="995">
          <cell r="M995">
            <v>0</v>
          </cell>
          <cell r="N995">
            <v>0</v>
          </cell>
        </row>
        <row r="996">
          <cell r="M996">
            <v>0</v>
          </cell>
          <cell r="N996">
            <v>0</v>
          </cell>
        </row>
        <row r="997">
          <cell r="M997">
            <v>0</v>
          </cell>
          <cell r="N997">
            <v>0</v>
          </cell>
        </row>
        <row r="998">
          <cell r="M998">
            <v>0</v>
          </cell>
          <cell r="N998">
            <v>0</v>
          </cell>
        </row>
        <row r="999">
          <cell r="M999">
            <v>0</v>
          </cell>
          <cell r="N999">
            <v>0</v>
          </cell>
        </row>
        <row r="1000">
          <cell r="M1000">
            <v>0</v>
          </cell>
          <cell r="N1000">
            <v>0</v>
          </cell>
        </row>
        <row r="1001">
          <cell r="M1001">
            <v>0</v>
          </cell>
          <cell r="N1001">
            <v>0</v>
          </cell>
        </row>
        <row r="1002">
          <cell r="M1002">
            <v>0</v>
          </cell>
          <cell r="N1002">
            <v>0</v>
          </cell>
        </row>
        <row r="1003">
          <cell r="M1003">
            <v>0</v>
          </cell>
          <cell r="N1003">
            <v>0</v>
          </cell>
        </row>
        <row r="1004">
          <cell r="M1004">
            <v>0</v>
          </cell>
          <cell r="N1004">
            <v>0</v>
          </cell>
        </row>
        <row r="1005">
          <cell r="M1005">
            <v>0</v>
          </cell>
          <cell r="N1005">
            <v>0</v>
          </cell>
        </row>
        <row r="1006">
          <cell r="M1006">
            <v>0</v>
          </cell>
          <cell r="N1006">
            <v>0</v>
          </cell>
        </row>
        <row r="1007">
          <cell r="M1007">
            <v>0</v>
          </cell>
          <cell r="N1007">
            <v>0</v>
          </cell>
        </row>
        <row r="1008">
          <cell r="M1008">
            <v>0</v>
          </cell>
          <cell r="N1008">
            <v>0</v>
          </cell>
        </row>
        <row r="1009">
          <cell r="M1009">
            <v>0</v>
          </cell>
          <cell r="N1009">
            <v>0</v>
          </cell>
        </row>
        <row r="1010">
          <cell r="M1010">
            <v>0</v>
          </cell>
          <cell r="N1010">
            <v>0</v>
          </cell>
        </row>
        <row r="1011">
          <cell r="M1011">
            <v>0</v>
          </cell>
          <cell r="N1011">
            <v>0</v>
          </cell>
        </row>
        <row r="1012">
          <cell r="M1012">
            <v>0</v>
          </cell>
          <cell r="N1012">
            <v>0</v>
          </cell>
        </row>
        <row r="1013">
          <cell r="M1013">
            <v>0</v>
          </cell>
          <cell r="N1013">
            <v>0</v>
          </cell>
        </row>
        <row r="1014">
          <cell r="M1014">
            <v>0</v>
          </cell>
          <cell r="N1014">
            <v>0</v>
          </cell>
        </row>
        <row r="1015">
          <cell r="M1015">
            <v>0</v>
          </cell>
          <cell r="N1015">
            <v>0</v>
          </cell>
        </row>
        <row r="1016">
          <cell r="M1016">
            <v>0</v>
          </cell>
          <cell r="N1016">
            <v>0</v>
          </cell>
        </row>
        <row r="1017">
          <cell r="M1017">
            <v>0</v>
          </cell>
          <cell r="N1017">
            <v>0</v>
          </cell>
        </row>
        <row r="1018">
          <cell r="M1018">
            <v>0</v>
          </cell>
          <cell r="N1018">
            <v>0</v>
          </cell>
        </row>
        <row r="1019">
          <cell r="M1019">
            <v>0</v>
          </cell>
          <cell r="N1019">
            <v>0</v>
          </cell>
        </row>
        <row r="1020">
          <cell r="M1020">
            <v>0</v>
          </cell>
          <cell r="N1020">
            <v>0</v>
          </cell>
        </row>
        <row r="1021">
          <cell r="M1021">
            <v>0</v>
          </cell>
          <cell r="N1021">
            <v>0</v>
          </cell>
        </row>
        <row r="1022">
          <cell r="M1022">
            <v>0</v>
          </cell>
          <cell r="N1022">
            <v>0</v>
          </cell>
        </row>
        <row r="1023">
          <cell r="M1023">
            <v>0</v>
          </cell>
          <cell r="N1023">
            <v>0</v>
          </cell>
        </row>
        <row r="1024">
          <cell r="M1024">
            <v>0</v>
          </cell>
          <cell r="N1024">
            <v>0</v>
          </cell>
        </row>
        <row r="1025">
          <cell r="M1025">
            <v>0</v>
          </cell>
          <cell r="N1025">
            <v>0</v>
          </cell>
        </row>
        <row r="1026">
          <cell r="M1026">
            <v>0</v>
          </cell>
          <cell r="N1026">
            <v>0</v>
          </cell>
        </row>
        <row r="1027">
          <cell r="M1027">
            <v>0</v>
          </cell>
          <cell r="N1027">
            <v>0</v>
          </cell>
        </row>
        <row r="1028">
          <cell r="M1028">
            <v>0</v>
          </cell>
          <cell r="N1028">
            <v>0</v>
          </cell>
        </row>
        <row r="1029">
          <cell r="M1029">
            <v>0</v>
          </cell>
          <cell r="N1029">
            <v>0</v>
          </cell>
        </row>
        <row r="1030">
          <cell r="M1030">
            <v>0</v>
          </cell>
          <cell r="N1030">
            <v>0</v>
          </cell>
        </row>
        <row r="1031">
          <cell r="M1031">
            <v>0</v>
          </cell>
          <cell r="N1031">
            <v>0</v>
          </cell>
        </row>
        <row r="1032">
          <cell r="M1032">
            <v>0</v>
          </cell>
          <cell r="N1032">
            <v>0</v>
          </cell>
        </row>
        <row r="1033">
          <cell r="M1033">
            <v>0</v>
          </cell>
          <cell r="N1033">
            <v>0</v>
          </cell>
        </row>
        <row r="1034">
          <cell r="M1034">
            <v>0</v>
          </cell>
          <cell r="N1034">
            <v>0</v>
          </cell>
        </row>
        <row r="1035">
          <cell r="M1035">
            <v>0</v>
          </cell>
          <cell r="N1035">
            <v>0</v>
          </cell>
        </row>
        <row r="1036">
          <cell r="M1036">
            <v>0</v>
          </cell>
          <cell r="N1036">
            <v>0</v>
          </cell>
        </row>
        <row r="1037">
          <cell r="M1037">
            <v>0</v>
          </cell>
          <cell r="N1037">
            <v>0</v>
          </cell>
        </row>
        <row r="1038">
          <cell r="M1038">
            <v>0</v>
          </cell>
          <cell r="N1038">
            <v>0</v>
          </cell>
        </row>
        <row r="1039">
          <cell r="M1039">
            <v>0</v>
          </cell>
          <cell r="N1039">
            <v>0</v>
          </cell>
        </row>
        <row r="1040">
          <cell r="M1040">
            <v>0</v>
          </cell>
          <cell r="N1040">
            <v>0</v>
          </cell>
        </row>
        <row r="1041">
          <cell r="M1041">
            <v>0</v>
          </cell>
          <cell r="N1041">
            <v>0</v>
          </cell>
        </row>
        <row r="1042">
          <cell r="M1042">
            <v>0</v>
          </cell>
          <cell r="N1042">
            <v>0</v>
          </cell>
        </row>
        <row r="1043">
          <cell r="M1043">
            <v>0</v>
          </cell>
          <cell r="N1043">
            <v>0</v>
          </cell>
        </row>
        <row r="1044">
          <cell r="M1044">
            <v>0</v>
          </cell>
          <cell r="N1044">
            <v>0</v>
          </cell>
        </row>
        <row r="1045">
          <cell r="M1045">
            <v>0</v>
          </cell>
          <cell r="N1045">
            <v>0</v>
          </cell>
        </row>
        <row r="1046">
          <cell r="M1046">
            <v>0</v>
          </cell>
          <cell r="N1046">
            <v>0</v>
          </cell>
        </row>
        <row r="1047">
          <cell r="M1047">
            <v>0</v>
          </cell>
          <cell r="N1047">
            <v>0</v>
          </cell>
        </row>
        <row r="1048">
          <cell r="M1048">
            <v>0</v>
          </cell>
          <cell r="N1048">
            <v>0</v>
          </cell>
        </row>
        <row r="1049">
          <cell r="M1049">
            <v>0</v>
          </cell>
          <cell r="N1049">
            <v>0</v>
          </cell>
        </row>
        <row r="1050">
          <cell r="M1050">
            <v>0</v>
          </cell>
          <cell r="N1050">
            <v>0</v>
          </cell>
        </row>
        <row r="1051">
          <cell r="M1051">
            <v>0</v>
          </cell>
          <cell r="N1051">
            <v>0</v>
          </cell>
        </row>
        <row r="1052">
          <cell r="M1052">
            <v>0</v>
          </cell>
          <cell r="N1052">
            <v>0</v>
          </cell>
        </row>
        <row r="1053">
          <cell r="M1053">
            <v>0</v>
          </cell>
          <cell r="N1053">
            <v>0</v>
          </cell>
        </row>
        <row r="1054">
          <cell r="M1054">
            <v>0</v>
          </cell>
          <cell r="N1054">
            <v>0</v>
          </cell>
        </row>
        <row r="1055">
          <cell r="M1055">
            <v>0</v>
          </cell>
          <cell r="N1055">
            <v>0</v>
          </cell>
        </row>
        <row r="1056">
          <cell r="M1056">
            <v>0</v>
          </cell>
          <cell r="N1056">
            <v>0</v>
          </cell>
        </row>
        <row r="1057">
          <cell r="M1057">
            <v>0</v>
          </cell>
          <cell r="N1057">
            <v>0</v>
          </cell>
        </row>
        <row r="1058">
          <cell r="M1058">
            <v>0</v>
          </cell>
          <cell r="N1058">
            <v>0</v>
          </cell>
        </row>
        <row r="1059">
          <cell r="M1059">
            <v>0</v>
          </cell>
          <cell r="N1059">
            <v>0</v>
          </cell>
        </row>
        <row r="1060">
          <cell r="M1060">
            <v>0</v>
          </cell>
          <cell r="N1060">
            <v>0</v>
          </cell>
        </row>
        <row r="1061">
          <cell r="M1061">
            <v>0</v>
          </cell>
          <cell r="N1061">
            <v>0</v>
          </cell>
        </row>
        <row r="1062">
          <cell r="M1062">
            <v>0</v>
          </cell>
          <cell r="N1062">
            <v>0</v>
          </cell>
        </row>
        <row r="1063">
          <cell r="M1063">
            <v>0</v>
          </cell>
          <cell r="N1063">
            <v>0</v>
          </cell>
        </row>
        <row r="1064">
          <cell r="M1064">
            <v>0</v>
          </cell>
          <cell r="N1064">
            <v>0</v>
          </cell>
        </row>
        <row r="1065">
          <cell r="M1065">
            <v>0</v>
          </cell>
          <cell r="N1065">
            <v>0</v>
          </cell>
        </row>
        <row r="1066">
          <cell r="M1066">
            <v>0</v>
          </cell>
          <cell r="N1066">
            <v>0</v>
          </cell>
        </row>
        <row r="1067">
          <cell r="M1067">
            <v>0</v>
          </cell>
          <cell r="N1067">
            <v>0</v>
          </cell>
        </row>
        <row r="1068">
          <cell r="M1068">
            <v>0</v>
          </cell>
          <cell r="N1068">
            <v>0</v>
          </cell>
        </row>
        <row r="1069">
          <cell r="M1069">
            <v>0</v>
          </cell>
          <cell r="N1069">
            <v>0</v>
          </cell>
        </row>
        <row r="1070">
          <cell r="M1070">
            <v>0</v>
          </cell>
          <cell r="N1070">
            <v>0</v>
          </cell>
        </row>
        <row r="1071">
          <cell r="M1071">
            <v>0</v>
          </cell>
          <cell r="N1071">
            <v>0</v>
          </cell>
        </row>
        <row r="1072">
          <cell r="M1072">
            <v>0</v>
          </cell>
          <cell r="N1072">
            <v>0</v>
          </cell>
        </row>
        <row r="1073">
          <cell r="M1073">
            <v>0</v>
          </cell>
          <cell r="N1073">
            <v>0</v>
          </cell>
        </row>
        <row r="1074">
          <cell r="M1074">
            <v>0</v>
          </cell>
          <cell r="N1074">
            <v>0</v>
          </cell>
        </row>
        <row r="1075">
          <cell r="M1075">
            <v>0</v>
          </cell>
          <cell r="N1075">
            <v>0</v>
          </cell>
        </row>
        <row r="1076">
          <cell r="M1076">
            <v>0</v>
          </cell>
          <cell r="N1076">
            <v>0</v>
          </cell>
        </row>
        <row r="1077">
          <cell r="M1077">
            <v>0</v>
          </cell>
        </row>
        <row r="1078">
          <cell r="N1078">
            <v>0</v>
          </cell>
        </row>
        <row r="1079">
          <cell r="N1079">
            <v>0</v>
          </cell>
        </row>
        <row r="1080">
          <cell r="N1080">
            <v>0</v>
          </cell>
        </row>
        <row r="1081">
          <cell r="N1081">
            <v>0</v>
          </cell>
        </row>
        <row r="1082">
          <cell r="N1082">
            <v>0</v>
          </cell>
        </row>
        <row r="1083">
          <cell r="N1083">
            <v>0</v>
          </cell>
        </row>
        <row r="1084">
          <cell r="N1084">
            <v>0</v>
          </cell>
        </row>
        <row r="1085">
          <cell r="N1085">
            <v>0</v>
          </cell>
        </row>
        <row r="1086">
          <cell r="N1086">
            <v>0</v>
          </cell>
        </row>
        <row r="1087">
          <cell r="N1087">
            <v>0</v>
          </cell>
        </row>
        <row r="1088">
          <cell r="N1088">
            <v>0</v>
          </cell>
        </row>
        <row r="1089">
          <cell r="N1089">
            <v>0</v>
          </cell>
        </row>
        <row r="1090">
          <cell r="N1090">
            <v>0</v>
          </cell>
        </row>
        <row r="1091">
          <cell r="N1091">
            <v>0</v>
          </cell>
        </row>
        <row r="1092">
          <cell r="N1092">
            <v>0</v>
          </cell>
        </row>
        <row r="1093">
          <cell r="N1093">
            <v>0</v>
          </cell>
        </row>
        <row r="1094">
          <cell r="N1094">
            <v>0</v>
          </cell>
        </row>
        <row r="1095">
          <cell r="N1095">
            <v>0</v>
          </cell>
        </row>
        <row r="1096">
          <cell r="N1096">
            <v>0</v>
          </cell>
        </row>
        <row r="1097">
          <cell r="N1097">
            <v>0</v>
          </cell>
        </row>
        <row r="1098">
          <cell r="N1098">
            <v>0</v>
          </cell>
        </row>
        <row r="1099">
          <cell r="N1099">
            <v>0</v>
          </cell>
        </row>
        <row r="1100">
          <cell r="N1100">
            <v>0</v>
          </cell>
        </row>
        <row r="1101">
          <cell r="N1101">
            <v>0</v>
          </cell>
        </row>
        <row r="1102">
          <cell r="N1102">
            <v>0</v>
          </cell>
        </row>
        <row r="1103">
          <cell r="N1103">
            <v>0</v>
          </cell>
        </row>
        <row r="1104">
          <cell r="N1104">
            <v>0</v>
          </cell>
        </row>
        <row r="1105">
          <cell r="N1105">
            <v>0</v>
          </cell>
        </row>
        <row r="1106">
          <cell r="N1106">
            <v>0</v>
          </cell>
        </row>
        <row r="1107">
          <cell r="N1107">
            <v>0</v>
          </cell>
        </row>
        <row r="1108">
          <cell r="N1108">
            <v>0</v>
          </cell>
        </row>
        <row r="1109">
          <cell r="N1109">
            <v>0</v>
          </cell>
        </row>
        <row r="1110">
          <cell r="M1110">
            <v>0</v>
          </cell>
          <cell r="N1110">
            <v>0</v>
          </cell>
        </row>
        <row r="1111">
          <cell r="M1111">
            <v>0</v>
          </cell>
          <cell r="N1111">
            <v>0</v>
          </cell>
        </row>
        <row r="1112">
          <cell r="M1112">
            <v>0</v>
          </cell>
          <cell r="N1112">
            <v>0</v>
          </cell>
        </row>
        <row r="1113">
          <cell r="M1113">
            <v>0</v>
          </cell>
          <cell r="N1113">
            <v>0</v>
          </cell>
        </row>
        <row r="1114">
          <cell r="M1114">
            <v>0</v>
          </cell>
          <cell r="N1114">
            <v>0</v>
          </cell>
        </row>
        <row r="1115">
          <cell r="M1115">
            <v>0</v>
          </cell>
          <cell r="N1115">
            <v>0</v>
          </cell>
        </row>
        <row r="1116">
          <cell r="M1116">
            <v>0</v>
          </cell>
          <cell r="N1116">
            <v>0</v>
          </cell>
        </row>
        <row r="1117">
          <cell r="M1117">
            <v>0</v>
          </cell>
          <cell r="N1117">
            <v>0</v>
          </cell>
        </row>
        <row r="1118">
          <cell r="M1118">
            <v>0</v>
          </cell>
          <cell r="N1118">
            <v>0</v>
          </cell>
        </row>
        <row r="1119">
          <cell r="M1119">
            <v>0</v>
          </cell>
          <cell r="N1119">
            <v>0</v>
          </cell>
        </row>
        <row r="1120">
          <cell r="M1120">
            <v>0</v>
          </cell>
          <cell r="N1120">
            <v>0</v>
          </cell>
        </row>
        <row r="1121">
          <cell r="M1121">
            <v>0</v>
          </cell>
          <cell r="N1121">
            <v>0</v>
          </cell>
        </row>
        <row r="1122">
          <cell r="M1122">
            <v>0</v>
          </cell>
          <cell r="N1122">
            <v>0</v>
          </cell>
        </row>
        <row r="1123">
          <cell r="M1123">
            <v>0</v>
          </cell>
          <cell r="N1123">
            <v>0</v>
          </cell>
        </row>
        <row r="1124">
          <cell r="M1124">
            <v>0</v>
          </cell>
          <cell r="N1124">
            <v>0</v>
          </cell>
        </row>
        <row r="1125">
          <cell r="M1125">
            <v>0</v>
          </cell>
          <cell r="N1125">
            <v>0</v>
          </cell>
        </row>
        <row r="1126">
          <cell r="M1126">
            <v>0</v>
          </cell>
          <cell r="N1126">
            <v>0</v>
          </cell>
        </row>
        <row r="1127">
          <cell r="M1127">
            <v>0</v>
          </cell>
          <cell r="N1127">
            <v>0</v>
          </cell>
        </row>
        <row r="1128">
          <cell r="M1128">
            <v>0</v>
          </cell>
          <cell r="N1128">
            <v>0</v>
          </cell>
        </row>
        <row r="1129">
          <cell r="M1129">
            <v>0</v>
          </cell>
          <cell r="N1129">
            <v>0</v>
          </cell>
        </row>
        <row r="1130">
          <cell r="M1130">
            <v>0</v>
          </cell>
          <cell r="N1130">
            <v>0</v>
          </cell>
        </row>
        <row r="1131">
          <cell r="M1131">
            <v>0</v>
          </cell>
          <cell r="N1131">
            <v>0</v>
          </cell>
        </row>
        <row r="1132">
          <cell r="M1132">
            <v>0</v>
          </cell>
          <cell r="N1132">
            <v>0</v>
          </cell>
        </row>
        <row r="1133">
          <cell r="M1133">
            <v>0</v>
          </cell>
          <cell r="N1133">
            <v>0</v>
          </cell>
        </row>
        <row r="1134">
          <cell r="M1134">
            <v>0</v>
          </cell>
          <cell r="N1134">
            <v>0</v>
          </cell>
        </row>
        <row r="1135">
          <cell r="M1135">
            <v>0</v>
          </cell>
          <cell r="N1135">
            <v>0</v>
          </cell>
        </row>
        <row r="1136">
          <cell r="M1136">
            <v>0</v>
          </cell>
          <cell r="N1136">
            <v>0</v>
          </cell>
        </row>
        <row r="1137">
          <cell r="M1137">
            <v>0</v>
          </cell>
          <cell r="N1137">
            <v>0</v>
          </cell>
        </row>
        <row r="1138">
          <cell r="M1138">
            <v>0</v>
          </cell>
          <cell r="N1138">
            <v>0</v>
          </cell>
        </row>
        <row r="1139">
          <cell r="M1139">
            <v>0</v>
          </cell>
          <cell r="N1139">
            <v>0</v>
          </cell>
        </row>
        <row r="1140">
          <cell r="M1140">
            <v>0</v>
          </cell>
          <cell r="N1140">
            <v>0</v>
          </cell>
        </row>
        <row r="1141">
          <cell r="M1141">
            <v>0</v>
          </cell>
          <cell r="N1141">
            <v>0</v>
          </cell>
        </row>
        <row r="1142">
          <cell r="M1142">
            <v>0</v>
          </cell>
          <cell r="N1142">
            <v>0</v>
          </cell>
        </row>
        <row r="1143">
          <cell r="M1143">
            <v>0</v>
          </cell>
          <cell r="N1143">
            <v>0</v>
          </cell>
        </row>
        <row r="1144">
          <cell r="M1144">
            <v>0</v>
          </cell>
          <cell r="N1144">
            <v>0</v>
          </cell>
        </row>
        <row r="1145">
          <cell r="M1145">
            <v>0</v>
          </cell>
          <cell r="N1145">
            <v>0</v>
          </cell>
        </row>
        <row r="1146">
          <cell r="M1146">
            <v>0</v>
          </cell>
          <cell r="N1146">
            <v>0</v>
          </cell>
        </row>
        <row r="1147">
          <cell r="M1147">
            <v>0</v>
          </cell>
          <cell r="N1147">
            <v>0</v>
          </cell>
        </row>
        <row r="1148">
          <cell r="M1148">
            <v>0</v>
          </cell>
          <cell r="N1148">
            <v>0</v>
          </cell>
        </row>
        <row r="1149">
          <cell r="M1149">
            <v>0</v>
          </cell>
          <cell r="N1149">
            <v>0</v>
          </cell>
        </row>
        <row r="1150">
          <cell r="M1150">
            <v>0</v>
          </cell>
          <cell r="N1150">
            <v>0</v>
          </cell>
        </row>
        <row r="1151">
          <cell r="M1151">
            <v>0</v>
          </cell>
          <cell r="N1151">
            <v>0</v>
          </cell>
        </row>
        <row r="1152">
          <cell r="M1152">
            <v>0</v>
          </cell>
          <cell r="N1152">
            <v>0</v>
          </cell>
        </row>
        <row r="1153">
          <cell r="M1153">
            <v>0</v>
          </cell>
          <cell r="N1153">
            <v>0</v>
          </cell>
        </row>
        <row r="1154">
          <cell r="M1154">
            <v>0</v>
          </cell>
          <cell r="N1154">
            <v>0</v>
          </cell>
        </row>
        <row r="1155">
          <cell r="M1155">
            <v>0</v>
          </cell>
          <cell r="N1155">
            <v>0</v>
          </cell>
        </row>
        <row r="1156">
          <cell r="M1156">
            <v>0</v>
          </cell>
          <cell r="N1156">
            <v>0</v>
          </cell>
        </row>
        <row r="1157">
          <cell r="M1157">
            <v>0</v>
          </cell>
          <cell r="N1157">
            <v>0</v>
          </cell>
        </row>
        <row r="1158">
          <cell r="M1158">
            <v>0</v>
          </cell>
          <cell r="N1158">
            <v>0</v>
          </cell>
        </row>
        <row r="1159">
          <cell r="M1159">
            <v>0</v>
          </cell>
          <cell r="N1159">
            <v>0</v>
          </cell>
        </row>
        <row r="1160">
          <cell r="M1160">
            <v>0</v>
          </cell>
          <cell r="N1160">
            <v>0</v>
          </cell>
        </row>
        <row r="1161">
          <cell r="M1161">
            <v>0</v>
          </cell>
          <cell r="N1161">
            <v>0</v>
          </cell>
        </row>
        <row r="1162">
          <cell r="M1162">
            <v>0</v>
          </cell>
          <cell r="N1162">
            <v>0</v>
          </cell>
        </row>
        <row r="1163">
          <cell r="M1163">
            <v>0</v>
          </cell>
          <cell r="N1163">
            <v>0</v>
          </cell>
        </row>
        <row r="1164">
          <cell r="M1164">
            <v>0</v>
          </cell>
          <cell r="N1164">
            <v>0</v>
          </cell>
        </row>
        <row r="1165">
          <cell r="M1165">
            <v>0</v>
          </cell>
          <cell r="N1165">
            <v>0</v>
          </cell>
        </row>
        <row r="1166">
          <cell r="M1166">
            <v>0</v>
          </cell>
          <cell r="N1166">
            <v>0</v>
          </cell>
        </row>
        <row r="1167">
          <cell r="M1167">
            <v>0</v>
          </cell>
          <cell r="N1167">
            <v>0</v>
          </cell>
        </row>
        <row r="1168">
          <cell r="M1168">
            <v>0</v>
          </cell>
          <cell r="N1168">
            <v>0</v>
          </cell>
        </row>
        <row r="1169">
          <cell r="M1169">
            <v>0</v>
          </cell>
          <cell r="N1169">
            <v>0</v>
          </cell>
        </row>
        <row r="1170">
          <cell r="M1170">
            <v>0</v>
          </cell>
          <cell r="N1170">
            <v>0</v>
          </cell>
        </row>
        <row r="1171">
          <cell r="M1171">
            <v>0</v>
          </cell>
          <cell r="N1171">
            <v>0</v>
          </cell>
        </row>
        <row r="1172">
          <cell r="M1172">
            <v>0</v>
          </cell>
          <cell r="N1172">
            <v>0</v>
          </cell>
        </row>
        <row r="1173">
          <cell r="M1173">
            <v>0</v>
          </cell>
          <cell r="N1173">
            <v>0</v>
          </cell>
        </row>
        <row r="1174">
          <cell r="M1174">
            <v>0</v>
          </cell>
          <cell r="N1174">
            <v>0</v>
          </cell>
        </row>
        <row r="1175">
          <cell r="M1175">
            <v>0</v>
          </cell>
          <cell r="N1175">
            <v>0</v>
          </cell>
        </row>
        <row r="1176">
          <cell r="M1176">
            <v>0</v>
          </cell>
          <cell r="N1176">
            <v>0</v>
          </cell>
        </row>
        <row r="1177">
          <cell r="M1177">
            <v>0</v>
          </cell>
          <cell r="N1177">
            <v>0</v>
          </cell>
        </row>
        <row r="1178">
          <cell r="M1178">
            <v>0</v>
          </cell>
          <cell r="N1178">
            <v>0</v>
          </cell>
        </row>
        <row r="1179">
          <cell r="M1179">
            <v>0</v>
          </cell>
          <cell r="N1179">
            <v>0</v>
          </cell>
        </row>
        <row r="1180">
          <cell r="M1180">
            <v>0</v>
          </cell>
          <cell r="N1180">
            <v>0</v>
          </cell>
        </row>
        <row r="1181">
          <cell r="M1181">
            <v>0</v>
          </cell>
          <cell r="N1181">
            <v>0</v>
          </cell>
        </row>
        <row r="1182">
          <cell r="M1182">
            <v>0</v>
          </cell>
          <cell r="N1182">
            <v>0</v>
          </cell>
        </row>
        <row r="1183">
          <cell r="M1183">
            <v>0</v>
          </cell>
          <cell r="N1183">
            <v>0</v>
          </cell>
        </row>
        <row r="1184">
          <cell r="M1184">
            <v>0</v>
          </cell>
          <cell r="N1184">
            <v>0</v>
          </cell>
        </row>
        <row r="1185">
          <cell r="M1185">
            <v>0</v>
          </cell>
          <cell r="N1185">
            <v>0</v>
          </cell>
        </row>
        <row r="1186">
          <cell r="M1186">
            <v>0</v>
          </cell>
          <cell r="N1186">
            <v>0</v>
          </cell>
        </row>
        <row r="1187">
          <cell r="M1187">
            <v>0</v>
          </cell>
          <cell r="N1187">
            <v>0</v>
          </cell>
        </row>
        <row r="1188">
          <cell r="M1188">
            <v>0</v>
          </cell>
          <cell r="N1188">
            <v>0</v>
          </cell>
        </row>
        <row r="1189">
          <cell r="M1189">
            <v>0</v>
          </cell>
          <cell r="N1189">
            <v>0</v>
          </cell>
        </row>
        <row r="1190">
          <cell r="M1190">
            <v>0</v>
          </cell>
          <cell r="N1190">
            <v>0</v>
          </cell>
        </row>
        <row r="1191">
          <cell r="M1191">
            <v>0</v>
          </cell>
          <cell r="N1191">
            <v>0</v>
          </cell>
        </row>
        <row r="1192">
          <cell r="M1192">
            <v>0</v>
          </cell>
          <cell r="N1192">
            <v>0</v>
          </cell>
        </row>
        <row r="1193">
          <cell r="M1193">
            <v>0</v>
          </cell>
          <cell r="N1193">
            <v>0</v>
          </cell>
        </row>
        <row r="1194">
          <cell r="M1194">
            <v>0</v>
          </cell>
          <cell r="N1194">
            <v>0</v>
          </cell>
        </row>
        <row r="1195">
          <cell r="M1195">
            <v>0</v>
          </cell>
          <cell r="N1195">
            <v>0</v>
          </cell>
        </row>
        <row r="1196">
          <cell r="M1196">
            <v>0</v>
          </cell>
          <cell r="N1196">
            <v>0</v>
          </cell>
        </row>
        <row r="1197">
          <cell r="M1197">
            <v>0</v>
          </cell>
          <cell r="N1197">
            <v>0</v>
          </cell>
        </row>
        <row r="1198">
          <cell r="M1198">
            <v>0</v>
          </cell>
          <cell r="N1198">
            <v>0</v>
          </cell>
        </row>
        <row r="1199">
          <cell r="M1199">
            <v>0</v>
          </cell>
          <cell r="N1199">
            <v>0</v>
          </cell>
        </row>
        <row r="1200">
          <cell r="M1200">
            <v>0</v>
          </cell>
          <cell r="N1200">
            <v>0</v>
          </cell>
        </row>
        <row r="1201">
          <cell r="M1201">
            <v>0</v>
          </cell>
          <cell r="N1201">
            <v>0</v>
          </cell>
        </row>
        <row r="1202">
          <cell r="M1202">
            <v>0</v>
          </cell>
          <cell r="N1202">
            <v>0</v>
          </cell>
        </row>
        <row r="1203">
          <cell r="M1203">
            <v>0</v>
          </cell>
          <cell r="N1203">
            <v>0</v>
          </cell>
        </row>
        <row r="1204">
          <cell r="M1204">
            <v>0</v>
          </cell>
          <cell r="N1204">
            <v>0</v>
          </cell>
        </row>
        <row r="1205">
          <cell r="M1205">
            <v>0</v>
          </cell>
          <cell r="N1205">
            <v>0</v>
          </cell>
        </row>
        <row r="1206">
          <cell r="M1206">
            <v>0</v>
          </cell>
          <cell r="N1206">
            <v>0</v>
          </cell>
        </row>
        <row r="1207">
          <cell r="M1207">
            <v>0</v>
          </cell>
          <cell r="N1207">
            <v>0</v>
          </cell>
        </row>
        <row r="1208">
          <cell r="M1208">
            <v>0</v>
          </cell>
          <cell r="N1208">
            <v>0</v>
          </cell>
        </row>
        <row r="1209">
          <cell r="M1209">
            <v>0</v>
          </cell>
          <cell r="N1209">
            <v>0</v>
          </cell>
        </row>
        <row r="1210">
          <cell r="M1210">
            <v>0</v>
          </cell>
          <cell r="N1210">
            <v>0</v>
          </cell>
        </row>
        <row r="1211">
          <cell r="M1211">
            <v>0</v>
          </cell>
          <cell r="N1211">
            <v>0</v>
          </cell>
        </row>
        <row r="1212">
          <cell r="M1212">
            <v>0</v>
          </cell>
          <cell r="N1212">
            <v>0</v>
          </cell>
        </row>
        <row r="1213">
          <cell r="M1213">
            <v>0</v>
          </cell>
          <cell r="N1213">
            <v>0</v>
          </cell>
        </row>
        <row r="1214">
          <cell r="M1214">
            <v>0</v>
          </cell>
          <cell r="N1214">
            <v>0</v>
          </cell>
        </row>
        <row r="1215">
          <cell r="M1215">
            <v>0</v>
          </cell>
          <cell r="N1215">
            <v>0</v>
          </cell>
        </row>
        <row r="1216">
          <cell r="M1216">
            <v>0</v>
          </cell>
          <cell r="N1216">
            <v>0</v>
          </cell>
        </row>
        <row r="1217">
          <cell r="M1217">
            <v>0</v>
          </cell>
          <cell r="N1217">
            <v>0</v>
          </cell>
        </row>
        <row r="1218">
          <cell r="M1218">
            <v>0</v>
          </cell>
          <cell r="N1218">
            <v>0</v>
          </cell>
        </row>
        <row r="1219">
          <cell r="M1219">
            <v>0</v>
          </cell>
          <cell r="N1219">
            <v>0</v>
          </cell>
        </row>
        <row r="1220">
          <cell r="M1220">
            <v>0</v>
          </cell>
          <cell r="N1220">
            <v>0</v>
          </cell>
        </row>
        <row r="1221">
          <cell r="M1221">
            <v>0</v>
          </cell>
          <cell r="N1221">
            <v>0</v>
          </cell>
        </row>
        <row r="1222">
          <cell r="M1222">
            <v>0</v>
          </cell>
          <cell r="N1222">
            <v>0</v>
          </cell>
        </row>
        <row r="1223">
          <cell r="M1223">
            <v>0</v>
          </cell>
          <cell r="N1223">
            <v>0</v>
          </cell>
        </row>
        <row r="1224">
          <cell r="M1224">
            <v>0</v>
          </cell>
          <cell r="N1224">
            <v>0</v>
          </cell>
        </row>
        <row r="1225">
          <cell r="M1225">
            <v>0</v>
          </cell>
          <cell r="N1225">
            <v>0</v>
          </cell>
        </row>
        <row r="1226">
          <cell r="M1226">
            <v>0</v>
          </cell>
          <cell r="N1226">
            <v>0</v>
          </cell>
        </row>
        <row r="1227">
          <cell r="M1227">
            <v>0</v>
          </cell>
          <cell r="N1227">
            <v>0</v>
          </cell>
        </row>
        <row r="1228">
          <cell r="M1228">
            <v>0</v>
          </cell>
          <cell r="N1228">
            <v>0</v>
          </cell>
        </row>
        <row r="1229">
          <cell r="M1229">
            <v>0</v>
          </cell>
          <cell r="N1229">
            <v>0</v>
          </cell>
        </row>
        <row r="1230">
          <cell r="M1230">
            <v>0</v>
          </cell>
          <cell r="N1230">
            <v>0</v>
          </cell>
        </row>
        <row r="1231">
          <cell r="M1231">
            <v>0</v>
          </cell>
          <cell r="N1231">
            <v>0</v>
          </cell>
        </row>
        <row r="1232">
          <cell r="M1232">
            <v>0</v>
          </cell>
          <cell r="N1232">
            <v>0</v>
          </cell>
        </row>
        <row r="1233">
          <cell r="M1233">
            <v>0</v>
          </cell>
          <cell r="N1233">
            <v>0</v>
          </cell>
        </row>
        <row r="1234">
          <cell r="M1234">
            <v>0</v>
          </cell>
          <cell r="N1234">
            <v>0</v>
          </cell>
        </row>
        <row r="1235">
          <cell r="M1235">
            <v>0</v>
          </cell>
          <cell r="N1235">
            <v>0</v>
          </cell>
        </row>
        <row r="1236">
          <cell r="M1236">
            <v>0</v>
          </cell>
          <cell r="N1236">
            <v>0</v>
          </cell>
        </row>
        <row r="1237">
          <cell r="M1237">
            <v>0</v>
          </cell>
          <cell r="N1237">
            <v>0</v>
          </cell>
        </row>
        <row r="1238">
          <cell r="M1238">
            <v>0</v>
          </cell>
          <cell r="N1238">
            <v>0</v>
          </cell>
        </row>
        <row r="1239">
          <cell r="M1239">
            <v>0</v>
          </cell>
          <cell r="N1239">
            <v>0</v>
          </cell>
        </row>
        <row r="1240">
          <cell r="M1240">
            <v>0</v>
          </cell>
          <cell r="N1240">
            <v>0</v>
          </cell>
        </row>
        <row r="1241">
          <cell r="M1241">
            <v>0</v>
          </cell>
          <cell r="N1241">
            <v>0</v>
          </cell>
        </row>
        <row r="1242">
          <cell r="M1242">
            <v>0</v>
          </cell>
          <cell r="N1242">
            <v>0</v>
          </cell>
        </row>
        <row r="1243">
          <cell r="M1243">
            <v>0</v>
          </cell>
          <cell r="N1243">
            <v>0</v>
          </cell>
        </row>
        <row r="1244">
          <cell r="M1244">
            <v>0</v>
          </cell>
          <cell r="N1244">
            <v>0</v>
          </cell>
        </row>
        <row r="1245">
          <cell r="M1245">
            <v>0</v>
          </cell>
          <cell r="N1245">
            <v>0</v>
          </cell>
        </row>
        <row r="1246">
          <cell r="M1246">
            <v>0</v>
          </cell>
          <cell r="N1246">
            <v>0</v>
          </cell>
        </row>
        <row r="1247">
          <cell r="M1247">
            <v>0</v>
          </cell>
          <cell r="N1247">
            <v>0</v>
          </cell>
        </row>
        <row r="1248">
          <cell r="M1248">
            <v>0</v>
          </cell>
          <cell r="N1248">
            <v>0</v>
          </cell>
        </row>
        <row r="1249">
          <cell r="M1249">
            <v>0</v>
          </cell>
          <cell r="N1249">
            <v>0</v>
          </cell>
        </row>
        <row r="1250">
          <cell r="M1250">
            <v>0</v>
          </cell>
          <cell r="N1250">
            <v>0</v>
          </cell>
        </row>
        <row r="1251">
          <cell r="M1251">
            <v>0</v>
          </cell>
          <cell r="N1251">
            <v>0</v>
          </cell>
        </row>
        <row r="1252">
          <cell r="M1252">
            <v>0</v>
          </cell>
          <cell r="N1252">
            <v>0</v>
          </cell>
        </row>
        <row r="1253">
          <cell r="M1253">
            <v>0</v>
          </cell>
          <cell r="N1253">
            <v>0</v>
          </cell>
        </row>
        <row r="1254">
          <cell r="M1254">
            <v>0</v>
          </cell>
          <cell r="N1254">
            <v>0</v>
          </cell>
        </row>
        <row r="1255">
          <cell r="M1255">
            <v>0</v>
          </cell>
          <cell r="N1255">
            <v>0</v>
          </cell>
        </row>
        <row r="1256">
          <cell r="M1256">
            <v>0</v>
          </cell>
          <cell r="N1256">
            <v>0</v>
          </cell>
        </row>
        <row r="1257">
          <cell r="M1257">
            <v>0</v>
          </cell>
          <cell r="N1257">
            <v>0</v>
          </cell>
        </row>
        <row r="1258">
          <cell r="M1258">
            <v>0</v>
          </cell>
          <cell r="N1258">
            <v>0</v>
          </cell>
        </row>
        <row r="1259">
          <cell r="M1259">
            <v>0</v>
          </cell>
          <cell r="N1259">
            <v>0</v>
          </cell>
        </row>
        <row r="1260">
          <cell r="M1260">
            <v>0</v>
          </cell>
          <cell r="N1260">
            <v>0</v>
          </cell>
        </row>
        <row r="1261">
          <cell r="M1261">
            <v>0</v>
          </cell>
          <cell r="N1261">
            <v>0</v>
          </cell>
        </row>
        <row r="1262">
          <cell r="M1262">
            <v>0</v>
          </cell>
          <cell r="N1262">
            <v>0</v>
          </cell>
        </row>
        <row r="1263">
          <cell r="M1263">
            <v>0</v>
          </cell>
          <cell r="N1263">
            <v>0</v>
          </cell>
        </row>
        <row r="1264">
          <cell r="M1264">
            <v>0</v>
          </cell>
          <cell r="N1264">
            <v>0</v>
          </cell>
        </row>
        <row r="1265">
          <cell r="M1265">
            <v>0</v>
          </cell>
          <cell r="N1265">
            <v>0</v>
          </cell>
        </row>
        <row r="1266">
          <cell r="M1266">
            <v>0</v>
          </cell>
          <cell r="N1266">
            <v>0</v>
          </cell>
        </row>
        <row r="1267">
          <cell r="M1267">
            <v>0</v>
          </cell>
          <cell r="N1267">
            <v>0</v>
          </cell>
        </row>
        <row r="1268">
          <cell r="M1268">
            <v>0</v>
          </cell>
          <cell r="N1268">
            <v>0</v>
          </cell>
        </row>
        <row r="1269">
          <cell r="M1269">
            <v>0</v>
          </cell>
          <cell r="N1269">
            <v>0</v>
          </cell>
        </row>
        <row r="1270">
          <cell r="M1270">
            <v>0</v>
          </cell>
          <cell r="N1270">
            <v>0</v>
          </cell>
        </row>
        <row r="1271">
          <cell r="M1271">
            <v>0</v>
          </cell>
          <cell r="N1271">
            <v>0</v>
          </cell>
        </row>
        <row r="1272">
          <cell r="M1272">
            <v>0</v>
          </cell>
          <cell r="N1272">
            <v>0</v>
          </cell>
        </row>
        <row r="1273">
          <cell r="M1273">
            <v>0</v>
          </cell>
          <cell r="N1273">
            <v>0</v>
          </cell>
        </row>
        <row r="1274">
          <cell r="M1274">
            <v>0</v>
          </cell>
          <cell r="N1274">
            <v>0</v>
          </cell>
        </row>
        <row r="1275">
          <cell r="M1275">
            <v>0</v>
          </cell>
          <cell r="N1275">
            <v>0</v>
          </cell>
        </row>
        <row r="1276">
          <cell r="M1276">
            <v>0</v>
          </cell>
          <cell r="N1276">
            <v>0</v>
          </cell>
        </row>
        <row r="1277">
          <cell r="M1277">
            <v>0</v>
          </cell>
          <cell r="N1277">
            <v>0</v>
          </cell>
        </row>
        <row r="1278">
          <cell r="M1278">
            <v>0</v>
          </cell>
          <cell r="N1278">
            <v>0</v>
          </cell>
        </row>
        <row r="1279">
          <cell r="M1279">
            <v>0</v>
          </cell>
          <cell r="N1279">
            <v>0</v>
          </cell>
        </row>
        <row r="1280">
          <cell r="M1280">
            <v>0</v>
          </cell>
          <cell r="N1280">
            <v>0</v>
          </cell>
        </row>
        <row r="1281">
          <cell r="M1281">
            <v>0</v>
          </cell>
          <cell r="N1281">
            <v>0</v>
          </cell>
        </row>
        <row r="1282">
          <cell r="M1282">
            <v>0</v>
          </cell>
          <cell r="N1282">
            <v>0</v>
          </cell>
        </row>
        <row r="1283">
          <cell r="M1283">
            <v>0</v>
          </cell>
          <cell r="N1283">
            <v>0</v>
          </cell>
        </row>
        <row r="1284">
          <cell r="M1284">
            <v>0</v>
          </cell>
          <cell r="N1284">
            <v>0</v>
          </cell>
        </row>
        <row r="1285">
          <cell r="M1285">
            <v>0</v>
          </cell>
          <cell r="N1285">
            <v>0</v>
          </cell>
        </row>
        <row r="1286">
          <cell r="M1286">
            <v>0</v>
          </cell>
          <cell r="N1286">
            <v>0</v>
          </cell>
        </row>
        <row r="1287">
          <cell r="M1287">
            <v>0</v>
          </cell>
          <cell r="N1287">
            <v>0</v>
          </cell>
        </row>
        <row r="1288">
          <cell r="M1288">
            <v>0</v>
          </cell>
          <cell r="N1288">
            <v>0</v>
          </cell>
        </row>
        <row r="1289">
          <cell r="M1289">
            <v>0</v>
          </cell>
          <cell r="N1289">
            <v>0</v>
          </cell>
        </row>
        <row r="1290">
          <cell r="M1290">
            <v>0</v>
          </cell>
          <cell r="N1290">
            <v>0</v>
          </cell>
        </row>
        <row r="1291">
          <cell r="M1291">
            <v>0</v>
          </cell>
          <cell r="N1291">
            <v>0</v>
          </cell>
        </row>
        <row r="1292">
          <cell r="M1292">
            <v>0</v>
          </cell>
          <cell r="N1292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  <sheetName val="Normen 2003"/>
      <sheetName val="Calculatienormen"/>
      <sheetName val="Glas 3_3"/>
      <sheetName val="Smrsrt_3_1_1"/>
      <sheetName val="KBF_aangepast_3_2"/>
      <sheetName val="Basis_12-2000_excl__KBF"/>
      <sheetName val="Norm_3_1_2"/>
      <sheetName val="Glas_3_3"/>
      <sheetName val="Uurt_3_4_1"/>
      <sheetName val="Uurt2_3_4_2"/>
      <sheetName val="Staffel_3_5"/>
      <sheetName val="Normen_2003"/>
      <sheetName val="Glas_3_31"/>
      <sheetName val="Basis ruimtesta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overzicht"/>
      <sheetName val="Invulblad P1"/>
      <sheetName val="Ma - Vrij P1"/>
      <sheetName val="Zaterdag P1"/>
      <sheetName val="Kostenmatrix P1"/>
      <sheetName val="Specificatie 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ek"/>
      <sheetName val="Uitleg"/>
      <sheetName val="BeginMeting"/>
      <sheetName val="Overig"/>
      <sheetName val="B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 op de calculatie"/>
      <sheetName val="Recap"/>
      <sheetName val="Cijfers_SMC"/>
      <sheetName val="Cijfers_SMC input"/>
      <sheetName val="Calc"/>
      <sheetName val="normblad"/>
      <sheetName val="Uurtarieven"/>
      <sheetName val="Percentages"/>
      <sheetName val="Toeslagen"/>
      <sheetName val="Inventarisatiestaat"/>
      <sheetName val="Controlegegevens SMC"/>
      <sheetName val="Parameters"/>
      <sheetName val="Ruimtestaat"/>
      <sheetName val="Frequentie kwaliteitsmeting"/>
      <sheetName val="Normenblad"/>
      <sheetName val="Offerte uurtarief"/>
      <sheetName val="Offerte uurtarief OLGA"/>
      <sheetName val="Kostenblad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K2">
            <v>2790.9</v>
          </cell>
        </row>
      </sheetData>
      <sheetData sheetId="5" refreshError="1"/>
      <sheetData sheetId="6">
        <row r="56">
          <cell r="F56">
            <v>26.987199999999998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18">
          <cell r="C18">
            <v>9</v>
          </cell>
        </row>
      </sheetData>
      <sheetData sheetId="12" refreshError="1"/>
      <sheetData sheetId="13">
        <row r="7">
          <cell r="H7">
            <v>2787.6</v>
          </cell>
        </row>
      </sheetData>
      <sheetData sheetId="14">
        <row r="8">
          <cell r="BW8">
            <v>0</v>
          </cell>
        </row>
      </sheetData>
      <sheetData sheetId="15">
        <row r="41">
          <cell r="E41">
            <v>0</v>
          </cell>
        </row>
      </sheetData>
      <sheetData sheetId="16">
        <row r="42">
          <cell r="E42">
            <v>0</v>
          </cell>
        </row>
      </sheetData>
      <sheetData sheetId="1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>
        <row r="1">
          <cell r="A1" t="str">
            <v>Personeelsnummer</v>
          </cell>
          <cell r="B1" t="str">
            <v>NaamGebruiker</v>
          </cell>
        </row>
        <row r="2">
          <cell r="A2">
            <v>24035</v>
          </cell>
          <cell r="B2" t="str">
            <v>Oguzey, Emine</v>
          </cell>
        </row>
        <row r="3">
          <cell r="A3">
            <v>26345</v>
          </cell>
          <cell r="B3" t="str">
            <v>Duijnhoven van, Cor</v>
          </cell>
        </row>
        <row r="4">
          <cell r="A4">
            <v>25155</v>
          </cell>
          <cell r="B4" t="str">
            <v>Bargeman, Hendri</v>
          </cell>
        </row>
        <row r="5">
          <cell r="A5">
            <v>35235</v>
          </cell>
          <cell r="B5" t="str">
            <v>Zaagman, Kathy</v>
          </cell>
        </row>
        <row r="6">
          <cell r="A6">
            <v>32932</v>
          </cell>
          <cell r="B6" t="str">
            <v>Hogen Esch, Marike</v>
          </cell>
        </row>
        <row r="7">
          <cell r="A7" t="str">
            <v/>
          </cell>
          <cell r="B7" t="str">
            <v>Skolnik, Terri</v>
          </cell>
        </row>
        <row r="8">
          <cell r="A8">
            <v>19786</v>
          </cell>
          <cell r="B8" t="str">
            <v>Breugem, Wim</v>
          </cell>
        </row>
        <row r="9">
          <cell r="A9">
            <v>31616</v>
          </cell>
          <cell r="B9" t="str">
            <v>Moser, Meeke</v>
          </cell>
        </row>
        <row r="10">
          <cell r="A10">
            <v>31322</v>
          </cell>
          <cell r="B10" t="str">
            <v>Berge ten, Christian</v>
          </cell>
        </row>
        <row r="11">
          <cell r="A11">
            <v>24126</v>
          </cell>
          <cell r="B11" t="str">
            <v>Vermeulen,Yvonne</v>
          </cell>
        </row>
        <row r="12">
          <cell r="A12">
            <v>2640</v>
          </cell>
          <cell r="B12" t="str">
            <v>Geuns, Gregor</v>
          </cell>
        </row>
        <row r="13">
          <cell r="A13">
            <v>8989</v>
          </cell>
          <cell r="B13" t="str">
            <v>Volkers, Eric</v>
          </cell>
        </row>
        <row r="14">
          <cell r="A14">
            <v>31399</v>
          </cell>
          <cell r="B14" t="str">
            <v>Hove ten, Angélique</v>
          </cell>
        </row>
        <row r="15">
          <cell r="A15">
            <v>9553</v>
          </cell>
          <cell r="B15" t="str">
            <v>Wilt de, Linda</v>
          </cell>
        </row>
        <row r="16">
          <cell r="A16">
            <v>3575</v>
          </cell>
          <cell r="B16" t="str">
            <v>Baalman, Fennie</v>
          </cell>
        </row>
        <row r="17">
          <cell r="A17">
            <v>23209</v>
          </cell>
          <cell r="B17" t="str">
            <v>Bosch van den, Willemien</v>
          </cell>
        </row>
        <row r="18">
          <cell r="A18">
            <v>10210</v>
          </cell>
          <cell r="B18" t="str">
            <v>Horstink, Lotte</v>
          </cell>
        </row>
        <row r="19">
          <cell r="A19" t="str">
            <v/>
          </cell>
          <cell r="B19" t="str">
            <v>Muller, Ilse</v>
          </cell>
        </row>
        <row r="20">
          <cell r="A20">
            <v>949</v>
          </cell>
          <cell r="B20" t="str">
            <v>Bolderdijk, Nanda</v>
          </cell>
        </row>
        <row r="21">
          <cell r="A21">
            <v>20220</v>
          </cell>
          <cell r="B21" t="str">
            <v>Visser, Saskia</v>
          </cell>
        </row>
        <row r="22">
          <cell r="A22" t="str">
            <v/>
          </cell>
          <cell r="B22" t="str">
            <v>Accountgroup Intern Inhouse TNT (Lohuis, Ingrid)</v>
          </cell>
        </row>
        <row r="23">
          <cell r="A23">
            <v>43460</v>
          </cell>
          <cell r="B23" t="str">
            <v>Kiwitz, Cathelijne</v>
          </cell>
        </row>
        <row r="24">
          <cell r="A24">
            <v>24679</v>
          </cell>
          <cell r="B24" t="str">
            <v>Nijboer, Henk Jan</v>
          </cell>
        </row>
        <row r="25">
          <cell r="A25">
            <v>730</v>
          </cell>
          <cell r="B25" t="str">
            <v>Bieringa, Syteke</v>
          </cell>
        </row>
        <row r="26">
          <cell r="A26">
            <v>40765</v>
          </cell>
          <cell r="B26" t="str">
            <v>Smulders, Suzanne</v>
          </cell>
        </row>
        <row r="27">
          <cell r="A27">
            <v>33492</v>
          </cell>
          <cell r="B27" t="str">
            <v>Basch, Nicolette</v>
          </cell>
        </row>
        <row r="28">
          <cell r="A28">
            <v>38217</v>
          </cell>
          <cell r="B28" t="str">
            <v>Falize, Jessica</v>
          </cell>
        </row>
        <row r="29">
          <cell r="A29">
            <v>32512</v>
          </cell>
          <cell r="B29" t="str">
            <v>Meijerink, Lotte</v>
          </cell>
        </row>
        <row r="30">
          <cell r="A30">
            <v>44727</v>
          </cell>
          <cell r="B30" t="str">
            <v>Wolters, Marieke</v>
          </cell>
        </row>
        <row r="31">
          <cell r="A31">
            <v>16650</v>
          </cell>
          <cell r="B31" t="str">
            <v>Vliegenberg, Fraukje</v>
          </cell>
        </row>
        <row r="32">
          <cell r="A32" t="str">
            <v/>
          </cell>
          <cell r="B32" t="str">
            <v>Bereikbaarheidsdienst Kamps</v>
          </cell>
        </row>
        <row r="33">
          <cell r="A33">
            <v>33996</v>
          </cell>
          <cell r="B33" t="str">
            <v>Vioen-Kolsterren, Michella</v>
          </cell>
        </row>
        <row r="34">
          <cell r="A34">
            <v>40681</v>
          </cell>
          <cell r="B34" t="str">
            <v>Weeren, Rebecca</v>
          </cell>
        </row>
        <row r="35">
          <cell r="A35">
            <v>15418</v>
          </cell>
          <cell r="B35" t="str">
            <v>Wesseling, Monique</v>
          </cell>
        </row>
        <row r="36">
          <cell r="A36" t="str">
            <v/>
          </cell>
          <cell r="B36" t="str">
            <v>Accountgroep Bakkersland</v>
          </cell>
        </row>
        <row r="37">
          <cell r="A37">
            <v>41857</v>
          </cell>
          <cell r="B37" t="str">
            <v>Mangroelal, Vinood</v>
          </cell>
        </row>
        <row r="38">
          <cell r="A38" t="str">
            <v/>
          </cell>
          <cell r="B38" t="str">
            <v>Acc.groep Sorbo</v>
          </cell>
        </row>
        <row r="39">
          <cell r="A39">
            <v>44713</v>
          </cell>
          <cell r="B39" t="str">
            <v>Houts van, Femke</v>
          </cell>
        </row>
        <row r="40">
          <cell r="A40">
            <v>17042</v>
          </cell>
          <cell r="B40" t="str">
            <v>Visser, Gerja</v>
          </cell>
        </row>
        <row r="41">
          <cell r="A41">
            <v>21907</v>
          </cell>
          <cell r="B41" t="str">
            <v>Roos de-Kruysse, Nicoline</v>
          </cell>
        </row>
        <row r="42">
          <cell r="A42">
            <v>6778</v>
          </cell>
          <cell r="B42" t="str">
            <v>Biemans, Nathalie</v>
          </cell>
        </row>
        <row r="43">
          <cell r="A43">
            <v>25827</v>
          </cell>
          <cell r="B43" t="str">
            <v>Siegers, Jenny</v>
          </cell>
        </row>
        <row r="44">
          <cell r="A44">
            <v>33940</v>
          </cell>
          <cell r="B44" t="str">
            <v>Rijke van de, Marlene</v>
          </cell>
        </row>
        <row r="45">
          <cell r="A45">
            <v>35613</v>
          </cell>
          <cell r="B45" t="str">
            <v>Boer de, Gerrit</v>
          </cell>
        </row>
        <row r="46">
          <cell r="A46">
            <v>41626</v>
          </cell>
          <cell r="B46" t="str">
            <v>Bijsterveld, Rob</v>
          </cell>
        </row>
        <row r="47">
          <cell r="A47">
            <v>23678</v>
          </cell>
          <cell r="B47" t="str">
            <v>Gillisse, Nathalie</v>
          </cell>
        </row>
        <row r="48">
          <cell r="A48">
            <v>20948</v>
          </cell>
          <cell r="B48" t="str">
            <v>Tongeren van, Annelies</v>
          </cell>
        </row>
        <row r="49">
          <cell r="A49" t="str">
            <v/>
          </cell>
          <cell r="B49" t="str">
            <v>Liepke</v>
          </cell>
        </row>
        <row r="50">
          <cell r="A50" t="str">
            <v/>
          </cell>
          <cell r="B50" t="str">
            <v>Klippelaag</v>
          </cell>
        </row>
        <row r="51">
          <cell r="A51">
            <v>40611</v>
          </cell>
          <cell r="B51" t="str">
            <v>Goor van de, Inge</v>
          </cell>
        </row>
        <row r="52">
          <cell r="A52">
            <v>24595</v>
          </cell>
          <cell r="B52" t="str">
            <v>Hage, Jan</v>
          </cell>
        </row>
        <row r="53">
          <cell r="A53">
            <v>41423</v>
          </cell>
          <cell r="B53" t="str">
            <v>Krieken van, Walter</v>
          </cell>
        </row>
        <row r="54">
          <cell r="A54">
            <v>42053</v>
          </cell>
          <cell r="B54" t="str">
            <v>Flinsenberg, Anita</v>
          </cell>
        </row>
        <row r="55">
          <cell r="A55">
            <v>39589</v>
          </cell>
          <cell r="B55" t="str">
            <v>Broek van den, Frank</v>
          </cell>
        </row>
        <row r="56">
          <cell r="A56">
            <v>26639</v>
          </cell>
          <cell r="B56" t="str">
            <v>Broek van den, Anouk</v>
          </cell>
        </row>
        <row r="57">
          <cell r="A57">
            <v>40968</v>
          </cell>
          <cell r="B57" t="str">
            <v>Marcus, Sandra</v>
          </cell>
        </row>
        <row r="58">
          <cell r="A58">
            <v>11218</v>
          </cell>
          <cell r="B58" t="str">
            <v>Jongerius, Klaas</v>
          </cell>
        </row>
        <row r="59">
          <cell r="A59">
            <v>10644</v>
          </cell>
          <cell r="B59" t="str">
            <v>Prudon, jeanine</v>
          </cell>
        </row>
        <row r="60">
          <cell r="A60">
            <v>13675</v>
          </cell>
          <cell r="B60" t="str">
            <v>Fijn van Draat, Peter</v>
          </cell>
        </row>
        <row r="61">
          <cell r="A61" t="str">
            <v/>
          </cell>
          <cell r="B61" t="str">
            <v>Vestiging Zwolle/Acc.groep Koopman</v>
          </cell>
        </row>
        <row r="62">
          <cell r="A62" t="str">
            <v/>
          </cell>
          <cell r="B62" t="str">
            <v>Boer de, Gerrit</v>
          </cell>
        </row>
        <row r="63">
          <cell r="A63">
            <v>16657</v>
          </cell>
          <cell r="B63" t="str">
            <v>Kemenade van, Tessa</v>
          </cell>
        </row>
        <row r="64">
          <cell r="A64">
            <v>10651</v>
          </cell>
          <cell r="B64" t="str">
            <v>Deursen van, Michel</v>
          </cell>
        </row>
        <row r="65">
          <cell r="A65">
            <v>26541</v>
          </cell>
          <cell r="B65" t="str">
            <v>Swart de, Simone</v>
          </cell>
        </row>
        <row r="66">
          <cell r="A66">
            <v>14977</v>
          </cell>
          <cell r="B66" t="str">
            <v>Klein Wentink, Joop</v>
          </cell>
        </row>
        <row r="67">
          <cell r="A67" t="str">
            <v/>
          </cell>
          <cell r="B67" t="str">
            <v>WN i/house TPG Amsterdam</v>
          </cell>
        </row>
        <row r="68">
          <cell r="A68" t="str">
            <v/>
          </cell>
          <cell r="B68" t="str">
            <v>Acc.groep TPG Pakket bezorgdienst</v>
          </cell>
        </row>
        <row r="69">
          <cell r="A69">
            <v>26870</v>
          </cell>
          <cell r="B69" t="str">
            <v>Keizer, Wendy</v>
          </cell>
        </row>
        <row r="70">
          <cell r="A70">
            <v>26926</v>
          </cell>
          <cell r="B70" t="str">
            <v>Vaarhorst, Paul</v>
          </cell>
        </row>
        <row r="71">
          <cell r="A71" t="str">
            <v/>
          </cell>
          <cell r="B71" t="str">
            <v>Sturkenboom, Marjorie/ In house AH</v>
          </cell>
        </row>
        <row r="72">
          <cell r="A72">
            <v>26016</v>
          </cell>
          <cell r="B72" t="str">
            <v>Lumens, Martine</v>
          </cell>
        </row>
        <row r="73">
          <cell r="A73">
            <v>5050</v>
          </cell>
          <cell r="B73" t="str">
            <v>Vugts,Mia</v>
          </cell>
        </row>
        <row r="74">
          <cell r="A74">
            <v>16097</v>
          </cell>
          <cell r="B74" t="str">
            <v>Themmen, Agnes</v>
          </cell>
        </row>
        <row r="75">
          <cell r="A75" t="str">
            <v/>
          </cell>
          <cell r="B75" t="str">
            <v>Acc.groep Hema/Pexel</v>
          </cell>
        </row>
        <row r="76">
          <cell r="A76">
            <v>40310</v>
          </cell>
          <cell r="B76" t="str">
            <v>Wiel van der, Hans</v>
          </cell>
        </row>
        <row r="77">
          <cell r="A77">
            <v>13157</v>
          </cell>
          <cell r="B77" t="str">
            <v>Gerris, Ronald</v>
          </cell>
        </row>
        <row r="78">
          <cell r="A78">
            <v>29320</v>
          </cell>
          <cell r="B78" t="str">
            <v>Ruiters, Max</v>
          </cell>
        </row>
        <row r="79">
          <cell r="A79">
            <v>20122</v>
          </cell>
          <cell r="B79" t="str">
            <v>Jansen, Mariska</v>
          </cell>
        </row>
        <row r="80">
          <cell r="A80">
            <v>1485</v>
          </cell>
          <cell r="B80" t="str">
            <v>Breuer, Marianne</v>
          </cell>
        </row>
        <row r="81">
          <cell r="A81">
            <v>24028</v>
          </cell>
          <cell r="B81" t="str">
            <v>Nuijs,Yvonne</v>
          </cell>
        </row>
        <row r="82">
          <cell r="A82">
            <v>13815</v>
          </cell>
          <cell r="B82" t="str">
            <v>Stoeten- Riet te, Leonie</v>
          </cell>
        </row>
        <row r="83">
          <cell r="A83" t="str">
            <v/>
          </cell>
          <cell r="B83" t="str">
            <v>Berg van den, Eddy (detach)</v>
          </cell>
        </row>
        <row r="84">
          <cell r="A84">
            <v>22824</v>
          </cell>
          <cell r="B84" t="str">
            <v>Stroombergen,  Susan</v>
          </cell>
        </row>
        <row r="85">
          <cell r="A85" t="str">
            <v/>
          </cell>
          <cell r="B85" t="str">
            <v>Hulsbos, Peter</v>
          </cell>
        </row>
        <row r="86">
          <cell r="A86">
            <v>11435</v>
          </cell>
          <cell r="B86" t="str">
            <v>Berendse, Sylvia</v>
          </cell>
        </row>
        <row r="87">
          <cell r="A87">
            <v>35662</v>
          </cell>
          <cell r="B87" t="str">
            <v>Zijdel, Esther</v>
          </cell>
        </row>
        <row r="88">
          <cell r="A88">
            <v>38763</v>
          </cell>
          <cell r="B88" t="str">
            <v>Derksen, Wijnand</v>
          </cell>
        </row>
        <row r="89">
          <cell r="A89">
            <v>32799</v>
          </cell>
          <cell r="B89" t="str">
            <v>Kramers, Marijke</v>
          </cell>
        </row>
        <row r="90">
          <cell r="A90">
            <v>23419</v>
          </cell>
          <cell r="B90" t="str">
            <v>Achille, Mario D'</v>
          </cell>
        </row>
        <row r="91">
          <cell r="A91">
            <v>14711</v>
          </cell>
          <cell r="B91" t="str">
            <v>Pulles, Danielle</v>
          </cell>
        </row>
        <row r="92">
          <cell r="A92">
            <v>14200</v>
          </cell>
          <cell r="B92" t="str">
            <v>Hoekwater, Ellen</v>
          </cell>
        </row>
        <row r="93">
          <cell r="A93">
            <v>16720</v>
          </cell>
          <cell r="B93" t="str">
            <v>Vermeeren, Mark</v>
          </cell>
        </row>
        <row r="94">
          <cell r="A94">
            <v>11568</v>
          </cell>
          <cell r="B94" t="str">
            <v>Appel- v. Noordenberg, Angelique</v>
          </cell>
        </row>
        <row r="95">
          <cell r="A95">
            <v>17161</v>
          </cell>
          <cell r="B95" t="str">
            <v>Straatsma-Kust, Manon</v>
          </cell>
        </row>
        <row r="96">
          <cell r="A96">
            <v>25624</v>
          </cell>
          <cell r="B96" t="str">
            <v>Leeuwen van, Mirjam</v>
          </cell>
        </row>
        <row r="97">
          <cell r="A97">
            <v>22999</v>
          </cell>
          <cell r="B97" t="str">
            <v>Trommar, Annemarie</v>
          </cell>
        </row>
        <row r="98">
          <cell r="A98">
            <v>22117</v>
          </cell>
          <cell r="B98" t="str">
            <v>Wagenmakers, Christianne</v>
          </cell>
        </row>
        <row r="99">
          <cell r="A99">
            <v>11512</v>
          </cell>
          <cell r="B99" t="str">
            <v>Roy la, Carolein</v>
          </cell>
        </row>
        <row r="100">
          <cell r="A100">
            <v>19597</v>
          </cell>
          <cell r="B100" t="str">
            <v>Loo van, Arno</v>
          </cell>
        </row>
        <row r="101">
          <cell r="A101">
            <v>35326</v>
          </cell>
          <cell r="B101" t="str">
            <v>Rombouts, Michel</v>
          </cell>
        </row>
        <row r="102">
          <cell r="A102">
            <v>5063183</v>
          </cell>
          <cell r="B102" t="str">
            <v>Louwers, Peter</v>
          </cell>
        </row>
        <row r="103">
          <cell r="A103">
            <v>29502</v>
          </cell>
          <cell r="B103" t="str">
            <v>Sloot v.d. Nicole</v>
          </cell>
        </row>
        <row r="104">
          <cell r="A104" t="str">
            <v/>
          </cell>
          <cell r="B104" t="str">
            <v>Vestiging BU 06</v>
          </cell>
        </row>
        <row r="105">
          <cell r="A105">
            <v>37111</v>
          </cell>
          <cell r="B105" t="str">
            <v>Haan de, Reinou</v>
          </cell>
        </row>
        <row r="106">
          <cell r="A106">
            <v>18022</v>
          </cell>
          <cell r="B106" t="str">
            <v>Gootjes,R.</v>
          </cell>
        </row>
        <row r="107">
          <cell r="A107">
            <v>36117</v>
          </cell>
          <cell r="B107" t="str">
            <v>Osman- de Bruin, Girbien</v>
          </cell>
        </row>
        <row r="108">
          <cell r="A108">
            <v>4065</v>
          </cell>
          <cell r="B108" t="str">
            <v>Jonkergouw, Jasper</v>
          </cell>
        </row>
        <row r="109">
          <cell r="A109">
            <v>10518</v>
          </cell>
          <cell r="B109" t="str">
            <v>Hoeven-van der Linden van der, Elsbeth</v>
          </cell>
        </row>
        <row r="110">
          <cell r="A110">
            <v>28788</v>
          </cell>
          <cell r="B110" t="str">
            <v>Mulders, Michel</v>
          </cell>
        </row>
        <row r="111">
          <cell r="A111" t="str">
            <v/>
          </cell>
          <cell r="B111" t="str">
            <v>Vestiging Rokin beurs/congres (6145</v>
          </cell>
        </row>
        <row r="112">
          <cell r="A112">
            <v>41507</v>
          </cell>
          <cell r="B112" t="str">
            <v>Weide van der, Renate</v>
          </cell>
        </row>
        <row r="113">
          <cell r="A113">
            <v>2025</v>
          </cell>
          <cell r="B113" t="str">
            <v>Ficheroux-van Driel, Esmee</v>
          </cell>
        </row>
        <row r="114">
          <cell r="A114">
            <v>3395</v>
          </cell>
          <cell r="B114" t="str">
            <v>Heijde-Gradus van der, Cyrille</v>
          </cell>
        </row>
        <row r="115">
          <cell r="A115" t="str">
            <v/>
          </cell>
          <cell r="B115" t="str">
            <v>Werknet Weert</v>
          </cell>
        </row>
        <row r="116">
          <cell r="A116">
            <v>12352</v>
          </cell>
          <cell r="B116" t="str">
            <v>Croon-Kruidenier, Mariëtte</v>
          </cell>
        </row>
        <row r="117">
          <cell r="A117">
            <v>15320</v>
          </cell>
          <cell r="B117" t="str">
            <v>Ettinger van, Peter</v>
          </cell>
        </row>
        <row r="118">
          <cell r="A118">
            <v>25449</v>
          </cell>
          <cell r="B118" t="str">
            <v>Leipsig van, Marielle</v>
          </cell>
        </row>
        <row r="119">
          <cell r="A119" t="str">
            <v/>
          </cell>
          <cell r="B119" t="str">
            <v>Meingast, Alex</v>
          </cell>
        </row>
        <row r="120">
          <cell r="A120">
            <v>7752</v>
          </cell>
          <cell r="B120" t="str">
            <v>Stam-Velzeboer, Jolanda</v>
          </cell>
        </row>
        <row r="121">
          <cell r="A121">
            <v>4936</v>
          </cell>
          <cell r="B121" t="str">
            <v>Veen-Kuipers, Nathalie</v>
          </cell>
        </row>
        <row r="122">
          <cell r="A122">
            <v>22222</v>
          </cell>
          <cell r="B122" t="str">
            <v>Middelkamp, Martijn</v>
          </cell>
        </row>
        <row r="123">
          <cell r="A123">
            <v>13542</v>
          </cell>
          <cell r="B123" t="str">
            <v>Damhuis, H.</v>
          </cell>
        </row>
        <row r="124">
          <cell r="A124" t="str">
            <v/>
          </cell>
          <cell r="B124" t="str">
            <v>Zenderen van, Rudy-Jan</v>
          </cell>
        </row>
        <row r="125">
          <cell r="A125">
            <v>19177</v>
          </cell>
          <cell r="B125" t="str">
            <v>Poels, Maarten</v>
          </cell>
        </row>
        <row r="126">
          <cell r="A126" t="str">
            <v/>
          </cell>
          <cell r="B126" t="str">
            <v>Vestiging Wageningen (7062)</v>
          </cell>
        </row>
        <row r="127">
          <cell r="A127">
            <v>29649</v>
          </cell>
          <cell r="B127" t="str">
            <v>Zandvliet, Harald</v>
          </cell>
        </row>
        <row r="128">
          <cell r="A128">
            <v>34535</v>
          </cell>
          <cell r="B128" t="str">
            <v>Stoevelaar, Heleen</v>
          </cell>
        </row>
        <row r="129">
          <cell r="A129" t="str">
            <v/>
          </cell>
          <cell r="B129" t="str">
            <v>Friesche Vlag</v>
          </cell>
        </row>
        <row r="130">
          <cell r="A130">
            <v>6766</v>
          </cell>
          <cell r="B130" t="str">
            <v>Peters-Reek, Nicolien</v>
          </cell>
        </row>
        <row r="131">
          <cell r="A131">
            <v>23146</v>
          </cell>
          <cell r="B131" t="str">
            <v>Sleen van der, Sander</v>
          </cell>
        </row>
        <row r="132">
          <cell r="A132">
            <v>11106</v>
          </cell>
          <cell r="B132" t="str">
            <v>Kortenay- Reukers, Marion</v>
          </cell>
        </row>
        <row r="133">
          <cell r="A133">
            <v>11813</v>
          </cell>
          <cell r="B133" t="str">
            <v>Quaedvlieg, Brigitte</v>
          </cell>
        </row>
        <row r="134">
          <cell r="A134">
            <v>10637</v>
          </cell>
          <cell r="B134" t="str">
            <v>Someren-de Kort, Sandra</v>
          </cell>
        </row>
        <row r="135">
          <cell r="A135">
            <v>4895</v>
          </cell>
          <cell r="B135" t="str">
            <v>Kuijpers, Nelke</v>
          </cell>
        </row>
        <row r="136">
          <cell r="A136">
            <v>2198</v>
          </cell>
          <cell r="B136" t="str">
            <v>Elbertsen, Wilma</v>
          </cell>
        </row>
        <row r="137">
          <cell r="A137">
            <v>10714</v>
          </cell>
          <cell r="B137" t="str">
            <v>Sonneveld, Bert</v>
          </cell>
        </row>
        <row r="138">
          <cell r="A138">
            <v>7410</v>
          </cell>
          <cell r="B138" t="str">
            <v>Schouten, Bob</v>
          </cell>
        </row>
        <row r="139">
          <cell r="A139">
            <v>13647</v>
          </cell>
          <cell r="B139" t="str">
            <v>Tiel, Jeroen</v>
          </cell>
        </row>
        <row r="140">
          <cell r="A140">
            <v>6115</v>
          </cell>
          <cell r="B140" t="str">
            <v>Pelt-Ostendorf, Miriam</v>
          </cell>
        </row>
        <row r="141">
          <cell r="A141">
            <v>18449</v>
          </cell>
          <cell r="B141" t="str">
            <v>Salden, Stephanie</v>
          </cell>
        </row>
        <row r="142">
          <cell r="A142">
            <v>10854</v>
          </cell>
          <cell r="B142" t="str">
            <v>Wolff de, Vincent</v>
          </cell>
        </row>
        <row r="143">
          <cell r="A143">
            <v>19989</v>
          </cell>
          <cell r="B143" t="str">
            <v>Schreven, Yvonne</v>
          </cell>
        </row>
        <row r="144">
          <cell r="A144">
            <v>9850</v>
          </cell>
          <cell r="B144" t="str">
            <v>Zande-Severijns van der, Loes</v>
          </cell>
        </row>
        <row r="145">
          <cell r="A145">
            <v>31392</v>
          </cell>
          <cell r="B145" t="str">
            <v>Bisseling, Rosemarie</v>
          </cell>
        </row>
        <row r="146">
          <cell r="A146">
            <v>27668</v>
          </cell>
          <cell r="B146" t="str">
            <v>Luyn van, Onno</v>
          </cell>
        </row>
        <row r="147">
          <cell r="A147">
            <v>20290</v>
          </cell>
          <cell r="B147" t="str">
            <v>Bruijn de, Mandy</v>
          </cell>
        </row>
        <row r="148">
          <cell r="A148">
            <v>6370</v>
          </cell>
          <cell r="B148" t="str">
            <v>Peters, Ton</v>
          </cell>
        </row>
        <row r="149">
          <cell r="A149" t="str">
            <v/>
          </cell>
          <cell r="B149" t="str">
            <v>Vestiging Enkhuizen (7073)</v>
          </cell>
        </row>
        <row r="150">
          <cell r="A150">
            <v>6762</v>
          </cell>
          <cell r="B150" t="str">
            <v>Rath, Patricia</v>
          </cell>
        </row>
        <row r="151">
          <cell r="A151">
            <v>19723</v>
          </cell>
          <cell r="B151" t="str">
            <v>Breukelman, Louis</v>
          </cell>
        </row>
        <row r="152">
          <cell r="A152">
            <v>9425</v>
          </cell>
          <cell r="B152" t="str">
            <v>Welner, Jeanine</v>
          </cell>
        </row>
        <row r="153">
          <cell r="A153" t="str">
            <v/>
          </cell>
          <cell r="B153" t="str">
            <v>geblokkeerd 220202</v>
          </cell>
        </row>
        <row r="154">
          <cell r="A154">
            <v>365</v>
          </cell>
          <cell r="B154" t="str">
            <v>Behrens, Danielle</v>
          </cell>
        </row>
        <row r="155">
          <cell r="A155">
            <v>15873</v>
          </cell>
          <cell r="B155" t="str">
            <v>Blanken, Josée</v>
          </cell>
        </row>
        <row r="156">
          <cell r="A156">
            <v>730</v>
          </cell>
          <cell r="B156" t="str">
            <v>Bieringa, Syteke</v>
          </cell>
        </row>
        <row r="157">
          <cell r="A157">
            <v>22635</v>
          </cell>
          <cell r="B157" t="str">
            <v>Peters, Marianne</v>
          </cell>
        </row>
        <row r="158">
          <cell r="A158">
            <v>33023</v>
          </cell>
          <cell r="B158" t="str">
            <v>Ruske, Joska</v>
          </cell>
        </row>
        <row r="159">
          <cell r="A159">
            <v>39512</v>
          </cell>
          <cell r="B159" t="str">
            <v>Rodenburg, Ela</v>
          </cell>
        </row>
        <row r="160">
          <cell r="A160">
            <v>23825</v>
          </cell>
          <cell r="B160" t="str">
            <v>Jong de, Mariska</v>
          </cell>
        </row>
        <row r="161">
          <cell r="A161">
            <v>8240</v>
          </cell>
          <cell r="B161" t="str">
            <v>Moen, Karin</v>
          </cell>
        </row>
        <row r="162">
          <cell r="A162">
            <v>34066</v>
          </cell>
          <cell r="B162" t="str">
            <v>Wissink, Ghristijn</v>
          </cell>
        </row>
        <row r="163">
          <cell r="A163">
            <v>41850</v>
          </cell>
          <cell r="B163" t="str">
            <v>Gurp van, Claudia</v>
          </cell>
        </row>
        <row r="164">
          <cell r="A164" t="str">
            <v/>
          </cell>
          <cell r="B164" t="str">
            <v>Vestiging Schiphol (6132)</v>
          </cell>
        </row>
        <row r="165">
          <cell r="A165">
            <v>11757</v>
          </cell>
          <cell r="B165" t="str">
            <v>Boersma, Martie</v>
          </cell>
        </row>
        <row r="166">
          <cell r="A166" t="str">
            <v/>
          </cell>
          <cell r="B166" t="str">
            <v>Hapro/ TT Goes</v>
          </cell>
        </row>
        <row r="167">
          <cell r="A167" t="str">
            <v/>
          </cell>
          <cell r="B167" t="str">
            <v>Vestiging Nijmegen (7241)</v>
          </cell>
        </row>
        <row r="168">
          <cell r="A168">
            <v>39302</v>
          </cell>
          <cell r="B168" t="str">
            <v>Hoop de, Nannette</v>
          </cell>
        </row>
        <row r="169">
          <cell r="A169">
            <v>16419</v>
          </cell>
          <cell r="B169" t="str">
            <v>Brand van den, Arionne</v>
          </cell>
        </row>
        <row r="170">
          <cell r="A170">
            <v>32281</v>
          </cell>
          <cell r="B170" t="str">
            <v>Gommers-Gimbrere, Karin</v>
          </cell>
        </row>
        <row r="171">
          <cell r="A171" t="str">
            <v/>
          </cell>
          <cell r="B171" t="str">
            <v>TT RAI</v>
          </cell>
        </row>
        <row r="172">
          <cell r="A172">
            <v>11666</v>
          </cell>
          <cell r="B172" t="str">
            <v>Baekel van, Martin</v>
          </cell>
        </row>
        <row r="173">
          <cell r="A173">
            <v>30454</v>
          </cell>
          <cell r="B173" t="str">
            <v>Smit, Monique</v>
          </cell>
        </row>
        <row r="174">
          <cell r="A174">
            <v>27766</v>
          </cell>
          <cell r="B174" t="str">
            <v>Ruiten, Gea</v>
          </cell>
        </row>
        <row r="175">
          <cell r="A175">
            <v>5537</v>
          </cell>
          <cell r="B175" t="str">
            <v>Mathlener, Marianne</v>
          </cell>
        </row>
        <row r="176">
          <cell r="A176">
            <v>18351</v>
          </cell>
          <cell r="B176" t="str">
            <v>Muijnk de, Danielle</v>
          </cell>
        </row>
        <row r="177">
          <cell r="A177">
            <v>12926</v>
          </cell>
          <cell r="B177" t="str">
            <v>Nagel, Jacqueline</v>
          </cell>
        </row>
        <row r="178">
          <cell r="A178">
            <v>39442</v>
          </cell>
          <cell r="B178" t="str">
            <v>Schwertmann, Barry</v>
          </cell>
        </row>
        <row r="179">
          <cell r="A179">
            <v>2550</v>
          </cell>
          <cell r="B179" t="str">
            <v>Gelissen, Jeanette</v>
          </cell>
        </row>
        <row r="180">
          <cell r="A180">
            <v>17693</v>
          </cell>
          <cell r="B180" t="str">
            <v>Rooij van, Gerrit</v>
          </cell>
        </row>
        <row r="181">
          <cell r="A181">
            <v>36537</v>
          </cell>
          <cell r="B181" t="str">
            <v>Vrijhof, Sylvia</v>
          </cell>
        </row>
        <row r="182">
          <cell r="A182">
            <v>10805</v>
          </cell>
          <cell r="B182" t="str">
            <v>Schijndel van, Leslie</v>
          </cell>
        </row>
        <row r="183">
          <cell r="A183">
            <v>1510</v>
          </cell>
          <cell r="B183" t="str">
            <v>Canter-Visscher, Yme</v>
          </cell>
        </row>
        <row r="184">
          <cell r="A184">
            <v>15474</v>
          </cell>
          <cell r="B184" t="str">
            <v>Maarel van der , Joke</v>
          </cell>
        </row>
        <row r="185">
          <cell r="A185">
            <v>34724</v>
          </cell>
          <cell r="B185" t="str">
            <v>Zipp, Steven</v>
          </cell>
        </row>
        <row r="186">
          <cell r="A186">
            <v>25071</v>
          </cell>
          <cell r="B186" t="str">
            <v>Dijkstra, Carla</v>
          </cell>
        </row>
        <row r="187">
          <cell r="A187" t="str">
            <v/>
          </cell>
          <cell r="B187" t="str">
            <v>TT projecten Breda</v>
          </cell>
        </row>
        <row r="188">
          <cell r="A188">
            <v>4596</v>
          </cell>
          <cell r="B188" t="str">
            <v>Martens, Erna</v>
          </cell>
        </row>
        <row r="189">
          <cell r="A189">
            <v>33877</v>
          </cell>
          <cell r="B189" t="str">
            <v>Graaf- Zinken, Karin de</v>
          </cell>
        </row>
        <row r="190">
          <cell r="A190">
            <v>17728</v>
          </cell>
          <cell r="B190" t="str">
            <v>Westen, Myrthe</v>
          </cell>
        </row>
        <row r="191">
          <cell r="A191">
            <v>18260</v>
          </cell>
          <cell r="B191" t="str">
            <v>Schretlen, Emilie</v>
          </cell>
        </row>
        <row r="192">
          <cell r="A192" t="str">
            <v/>
          </cell>
          <cell r="B192" t="str">
            <v>Stroomer, Cees</v>
          </cell>
        </row>
        <row r="193">
          <cell r="A193">
            <v>5066132</v>
          </cell>
          <cell r="B193" t="str">
            <v xml:space="preserve">Driel H. van                              </v>
          </cell>
        </row>
        <row r="194">
          <cell r="A194">
            <v>9840</v>
          </cell>
          <cell r="B194" t="str">
            <v>Schuit van, Ellen</v>
          </cell>
        </row>
        <row r="195">
          <cell r="A195">
            <v>41633</v>
          </cell>
          <cell r="B195" t="str">
            <v>Heidkamp, Monique</v>
          </cell>
        </row>
        <row r="196">
          <cell r="A196">
            <v>42907</v>
          </cell>
          <cell r="B196" t="str">
            <v>Poppen, Pieter</v>
          </cell>
        </row>
        <row r="197">
          <cell r="A197">
            <v>8810</v>
          </cell>
          <cell r="B197" t="str">
            <v>Vreeswijk, Marjon</v>
          </cell>
        </row>
        <row r="198">
          <cell r="A198">
            <v>39155</v>
          </cell>
          <cell r="B198" t="str">
            <v>Grooten, Ilse</v>
          </cell>
        </row>
        <row r="199">
          <cell r="A199">
            <v>3587</v>
          </cell>
          <cell r="B199" t="str">
            <v>Hollanders, Harry</v>
          </cell>
        </row>
        <row r="200">
          <cell r="A200">
            <v>13710</v>
          </cell>
          <cell r="B200" t="str">
            <v>Schoenmaeckers,Jochem</v>
          </cell>
        </row>
        <row r="201">
          <cell r="A201" t="str">
            <v/>
          </cell>
          <cell r="B201" t="str">
            <v>Vestiging Apeldoorn (7261)</v>
          </cell>
        </row>
        <row r="202">
          <cell r="A202">
            <v>2488</v>
          </cell>
          <cell r="B202" t="str">
            <v>Hopmans,A.</v>
          </cell>
        </row>
        <row r="203">
          <cell r="A203">
            <v>21291</v>
          </cell>
          <cell r="B203" t="str">
            <v>Kerkhof van, Noortje</v>
          </cell>
        </row>
        <row r="204">
          <cell r="A204">
            <v>14487</v>
          </cell>
          <cell r="B204" t="str">
            <v>Bouaji, F.</v>
          </cell>
        </row>
        <row r="205">
          <cell r="A205">
            <v>28018</v>
          </cell>
          <cell r="B205" t="str">
            <v>Nooren, Sophia</v>
          </cell>
        </row>
        <row r="206">
          <cell r="A206">
            <v>34822</v>
          </cell>
          <cell r="B206" t="str">
            <v>Pannekoek, Harrët</v>
          </cell>
        </row>
        <row r="207">
          <cell r="A207">
            <v>18491</v>
          </cell>
          <cell r="B207" t="str">
            <v>Boschman, Gabriel</v>
          </cell>
        </row>
        <row r="208">
          <cell r="A208" t="str">
            <v/>
          </cell>
          <cell r="B208" t="str">
            <v>Vestiging Schiphol</v>
          </cell>
        </row>
        <row r="209">
          <cell r="A209">
            <v>8790</v>
          </cell>
          <cell r="B209" t="str">
            <v>Boer, Francien</v>
          </cell>
        </row>
        <row r="210">
          <cell r="A210">
            <v>1006</v>
          </cell>
          <cell r="B210" t="str">
            <v>Boshoff, Karin</v>
          </cell>
        </row>
        <row r="211">
          <cell r="A211" t="str">
            <v/>
          </cell>
          <cell r="B211" t="str">
            <v>Vestiging Rotterdam (7181)</v>
          </cell>
        </row>
        <row r="212">
          <cell r="A212">
            <v>31490</v>
          </cell>
          <cell r="B212" t="str">
            <v>Das, Wendelien</v>
          </cell>
        </row>
        <row r="213">
          <cell r="A213">
            <v>17084</v>
          </cell>
          <cell r="B213" t="str">
            <v>Mol, Wilco</v>
          </cell>
        </row>
        <row r="214">
          <cell r="A214">
            <v>21123</v>
          </cell>
          <cell r="B214" t="str">
            <v>Bolink, Magret</v>
          </cell>
        </row>
        <row r="215">
          <cell r="A215">
            <v>11015</v>
          </cell>
          <cell r="B215" t="str">
            <v>Veldhuizen, Antoinette</v>
          </cell>
        </row>
        <row r="216">
          <cell r="A216">
            <v>8699</v>
          </cell>
          <cell r="B216" t="str">
            <v>Veld van der, Ingrid</v>
          </cell>
        </row>
        <row r="217">
          <cell r="A217">
            <v>7450</v>
          </cell>
          <cell r="B217" t="str">
            <v>Leenders, Nicole</v>
          </cell>
        </row>
        <row r="218">
          <cell r="A218">
            <v>4930</v>
          </cell>
          <cell r="B218" t="str">
            <v>Kuipers, Ger</v>
          </cell>
        </row>
        <row r="219">
          <cell r="A219">
            <v>16286</v>
          </cell>
          <cell r="B219" t="str">
            <v>Lith van, Claudine</v>
          </cell>
        </row>
        <row r="220">
          <cell r="A220">
            <v>20640</v>
          </cell>
          <cell r="B220" t="str">
            <v>Veltmans, Saskia</v>
          </cell>
        </row>
        <row r="221">
          <cell r="A221">
            <v>34094</v>
          </cell>
          <cell r="B221" t="str">
            <v>Atmodimedjo, Ruben</v>
          </cell>
        </row>
        <row r="222">
          <cell r="A222">
            <v>5064536</v>
          </cell>
          <cell r="B222" t="str">
            <v>Barkhof, Henk</v>
          </cell>
        </row>
        <row r="223">
          <cell r="A223">
            <v>25323</v>
          </cell>
          <cell r="B223" t="str">
            <v>Limburg-Eikelboom, Chava</v>
          </cell>
        </row>
        <row r="224">
          <cell r="A224">
            <v>7215</v>
          </cell>
          <cell r="B224" t="str">
            <v>Scheepers, Hans</v>
          </cell>
        </row>
        <row r="225">
          <cell r="A225">
            <v>28186</v>
          </cell>
          <cell r="B225" t="str">
            <v>Zwaan, Edo</v>
          </cell>
        </row>
        <row r="226">
          <cell r="A226" t="str">
            <v/>
          </cell>
          <cell r="B226" t="str">
            <v>Vestiging Moerdijk (6236)</v>
          </cell>
        </row>
        <row r="227">
          <cell r="A227" t="str">
            <v/>
          </cell>
          <cell r="B227" t="str">
            <v>Vestiging Den Haag (6109)</v>
          </cell>
        </row>
        <row r="228">
          <cell r="A228">
            <v>42774</v>
          </cell>
          <cell r="B228" t="str">
            <v>Nijhoff, Dave</v>
          </cell>
        </row>
        <row r="229">
          <cell r="A229">
            <v>29453</v>
          </cell>
          <cell r="B229" t="str">
            <v>Schuurmans, Ronald</v>
          </cell>
        </row>
        <row r="230">
          <cell r="A230" t="str">
            <v/>
          </cell>
          <cell r="B230" t="str">
            <v>Vestiging A'dam (6145)</v>
          </cell>
        </row>
        <row r="231">
          <cell r="A231">
            <v>19723</v>
          </cell>
          <cell r="B231" t="str">
            <v>Breukelman, L.</v>
          </cell>
        </row>
        <row r="232">
          <cell r="A232">
            <v>14074</v>
          </cell>
          <cell r="B232" t="str">
            <v>Pinck, Cleo</v>
          </cell>
        </row>
        <row r="233">
          <cell r="A233">
            <v>27290</v>
          </cell>
          <cell r="B233" t="str">
            <v>meulen van der, Daizy</v>
          </cell>
        </row>
        <row r="234">
          <cell r="A234">
            <v>12135</v>
          </cell>
          <cell r="B234" t="str">
            <v>Romme, Jeannette</v>
          </cell>
        </row>
        <row r="235">
          <cell r="A235">
            <v>12485</v>
          </cell>
          <cell r="B235" t="str">
            <v>Diemen van, Nicolette</v>
          </cell>
        </row>
        <row r="236">
          <cell r="A236">
            <v>11694</v>
          </cell>
          <cell r="B236" t="str">
            <v>Mouthaan, Petra</v>
          </cell>
        </row>
        <row r="237">
          <cell r="A237">
            <v>44706</v>
          </cell>
          <cell r="B237" t="str">
            <v>Engels, Mark</v>
          </cell>
        </row>
        <row r="238">
          <cell r="A238">
            <v>1521</v>
          </cell>
          <cell r="B238" t="str">
            <v>Casters, Monique</v>
          </cell>
        </row>
        <row r="239">
          <cell r="A239">
            <v>1015</v>
          </cell>
          <cell r="B239" t="str">
            <v>Schlösser-Bosch, Monique</v>
          </cell>
        </row>
        <row r="240">
          <cell r="A240">
            <v>44804</v>
          </cell>
          <cell r="B240" t="str">
            <v>Broeders, Carmen</v>
          </cell>
        </row>
        <row r="241">
          <cell r="A241" t="str">
            <v/>
          </cell>
          <cell r="B241" t="str">
            <v>Vestiging Breda, 6113</v>
          </cell>
        </row>
        <row r="242">
          <cell r="A242" t="str">
            <v/>
          </cell>
          <cell r="B242" t="str">
            <v>Vestiging Amsterdam (6143)</v>
          </cell>
        </row>
        <row r="243">
          <cell r="A243">
            <v>5569</v>
          </cell>
          <cell r="B243" t="str">
            <v>Meertens, Marian</v>
          </cell>
        </row>
        <row r="244">
          <cell r="A244">
            <v>12184</v>
          </cell>
          <cell r="B244" t="str">
            <v>Meulen van der, Albert</v>
          </cell>
        </row>
        <row r="245">
          <cell r="A245">
            <v>2207</v>
          </cell>
          <cell r="B245" t="str">
            <v>Ernes, Paul</v>
          </cell>
        </row>
        <row r="246">
          <cell r="A246">
            <v>11288</v>
          </cell>
          <cell r="B246" t="str">
            <v>Bachrach-Schonck, Loes</v>
          </cell>
        </row>
        <row r="247">
          <cell r="A247">
            <v>16216</v>
          </cell>
          <cell r="B247" t="str">
            <v>Bos, Miranda</v>
          </cell>
        </row>
        <row r="248">
          <cell r="A248">
            <v>195</v>
          </cell>
          <cell r="B248" t="str">
            <v>Ast van, Nella</v>
          </cell>
        </row>
        <row r="249">
          <cell r="A249">
            <v>2470</v>
          </cell>
          <cell r="B249" t="str">
            <v>Fransz, Bob</v>
          </cell>
        </row>
        <row r="250">
          <cell r="A250">
            <v>5065076</v>
          </cell>
          <cell r="B250" t="str">
            <v>Jong de, Sharon</v>
          </cell>
        </row>
        <row r="251">
          <cell r="A251">
            <v>17539</v>
          </cell>
          <cell r="B251" t="str">
            <v>Verwaijen-Hurenkamp, Lian</v>
          </cell>
        </row>
        <row r="252">
          <cell r="A252">
            <v>35949</v>
          </cell>
          <cell r="B252" t="str">
            <v>Anker, Jeroen</v>
          </cell>
        </row>
        <row r="253">
          <cell r="A253">
            <v>24035</v>
          </cell>
          <cell r="B253" t="str">
            <v>Eizema, Bas</v>
          </cell>
        </row>
        <row r="254">
          <cell r="A254" t="str">
            <v/>
          </cell>
          <cell r="B254" t="str">
            <v>Werknet Roosendaal</v>
          </cell>
        </row>
        <row r="255">
          <cell r="A255">
            <v>33513</v>
          </cell>
          <cell r="B255" t="str">
            <v>Muilwijk, H.</v>
          </cell>
        </row>
        <row r="256">
          <cell r="A256">
            <v>12807</v>
          </cell>
          <cell r="B256" t="str">
            <v>Harst van der, Jeroen</v>
          </cell>
        </row>
        <row r="257">
          <cell r="A257">
            <v>9838</v>
          </cell>
          <cell r="B257" t="str">
            <v>Zutphen van, Caro</v>
          </cell>
        </row>
        <row r="258">
          <cell r="A258">
            <v>35277</v>
          </cell>
          <cell r="B258" t="str">
            <v>Kolk van den, Miana</v>
          </cell>
        </row>
        <row r="259">
          <cell r="A259" t="str">
            <v/>
          </cell>
          <cell r="B259" t="str">
            <v>Vestiging Amsterdam (7171)</v>
          </cell>
        </row>
        <row r="260">
          <cell r="A260">
            <v>20101</v>
          </cell>
          <cell r="B260" t="str">
            <v>Meijers, Alexander</v>
          </cell>
        </row>
        <row r="261">
          <cell r="A261" t="str">
            <v/>
          </cell>
          <cell r="B261" t="str">
            <v>Vestiging Nieuwegein Grote Wade (7226)</v>
          </cell>
        </row>
        <row r="262">
          <cell r="A262">
            <v>40023</v>
          </cell>
          <cell r="B262" t="str">
            <v>Wuis, Marloes</v>
          </cell>
        </row>
        <row r="263">
          <cell r="A263">
            <v>197</v>
          </cell>
          <cell r="B263" t="str">
            <v>Avenarius, Han</v>
          </cell>
        </row>
        <row r="264">
          <cell r="A264">
            <v>3145</v>
          </cell>
          <cell r="B264" t="str">
            <v>Havekes, Mariëtte</v>
          </cell>
        </row>
        <row r="265">
          <cell r="A265">
            <v>16454</v>
          </cell>
          <cell r="B265" t="str">
            <v>Gans, Rebecca</v>
          </cell>
        </row>
        <row r="266">
          <cell r="A266" t="str">
            <v/>
          </cell>
          <cell r="B266" t="str">
            <v>Hilberink, Harry</v>
          </cell>
        </row>
        <row r="267">
          <cell r="A267">
            <v>2638</v>
          </cell>
          <cell r="B267" t="str">
            <v>Geijteman, Richard</v>
          </cell>
        </row>
        <row r="268">
          <cell r="A268">
            <v>15362</v>
          </cell>
          <cell r="B268" t="str">
            <v>Mulder, Marjanne</v>
          </cell>
        </row>
        <row r="269">
          <cell r="A269">
            <v>14900</v>
          </cell>
          <cell r="B269" t="str">
            <v>Lierop van, Marlinda</v>
          </cell>
        </row>
        <row r="270">
          <cell r="A270">
            <v>4285</v>
          </cell>
          <cell r="B270" t="str">
            <v>Ketting, Paola</v>
          </cell>
        </row>
        <row r="271">
          <cell r="A271">
            <v>25484</v>
          </cell>
          <cell r="B271" t="str">
            <v>Rijk de, Iris</v>
          </cell>
        </row>
        <row r="272">
          <cell r="A272">
            <v>21270</v>
          </cell>
          <cell r="B272" t="str">
            <v>Raadt-van Zele, Anja</v>
          </cell>
        </row>
        <row r="273">
          <cell r="A273">
            <v>12212</v>
          </cell>
          <cell r="B273" t="str">
            <v>Lange de, Monica</v>
          </cell>
        </row>
        <row r="274">
          <cell r="A274">
            <v>8464</v>
          </cell>
          <cell r="B274" t="str">
            <v>Veen van der, Hylke</v>
          </cell>
        </row>
        <row r="275">
          <cell r="A275">
            <v>21578</v>
          </cell>
          <cell r="B275" t="str">
            <v>Wassenburg, Monique</v>
          </cell>
        </row>
        <row r="276">
          <cell r="A276">
            <v>26744</v>
          </cell>
          <cell r="B276" t="str">
            <v>Nieuwenhuizen, Ellen</v>
          </cell>
        </row>
        <row r="277">
          <cell r="A277" t="str">
            <v/>
          </cell>
          <cell r="B277" t="str">
            <v>Vestiging Schiphol (6132)</v>
          </cell>
        </row>
        <row r="278">
          <cell r="A278">
            <v>31497</v>
          </cell>
          <cell r="B278" t="str">
            <v>Wedema, Myriam</v>
          </cell>
        </row>
        <row r="279">
          <cell r="A279">
            <v>14823</v>
          </cell>
          <cell r="B279" t="str">
            <v>Pluijm van der- Groot de, Karin</v>
          </cell>
        </row>
        <row r="280">
          <cell r="A280" t="str">
            <v/>
          </cell>
          <cell r="B280" t="str">
            <v>Vestiging (7301)</v>
          </cell>
        </row>
        <row r="281">
          <cell r="A281">
            <v>27626</v>
          </cell>
          <cell r="B281" t="str">
            <v>Visser, Natascha</v>
          </cell>
        </row>
        <row r="282">
          <cell r="A282">
            <v>1720</v>
          </cell>
          <cell r="B282" t="str">
            <v>Dapperen van, Matthijs</v>
          </cell>
        </row>
        <row r="283">
          <cell r="A283">
            <v>24532</v>
          </cell>
          <cell r="B283" t="str">
            <v>Sterkenburg-van Buuren, Saskia</v>
          </cell>
        </row>
        <row r="284">
          <cell r="A284">
            <v>15621</v>
          </cell>
          <cell r="B284" t="str">
            <v>Wiekart, Hein</v>
          </cell>
        </row>
        <row r="285">
          <cell r="A285">
            <v>16069</v>
          </cell>
          <cell r="B285" t="str">
            <v>Scheurkogel, Bernice</v>
          </cell>
        </row>
        <row r="286">
          <cell r="A286">
            <v>21627</v>
          </cell>
          <cell r="B286" t="str">
            <v>Dohmen, Frank</v>
          </cell>
        </row>
        <row r="287">
          <cell r="A287">
            <v>20815</v>
          </cell>
          <cell r="B287" t="str">
            <v>Fugers, Olaf</v>
          </cell>
        </row>
        <row r="288">
          <cell r="A288">
            <v>19772</v>
          </cell>
          <cell r="B288" t="str">
            <v>Burgt--Botzen van der, Petra</v>
          </cell>
        </row>
        <row r="289">
          <cell r="A289" t="str">
            <v/>
          </cell>
          <cell r="B289" t="str">
            <v>Vestiging Polynorm</v>
          </cell>
        </row>
        <row r="290">
          <cell r="A290" t="str">
            <v/>
          </cell>
          <cell r="B290" t="str">
            <v>Vestiging Amsterdam (6143)</v>
          </cell>
        </row>
        <row r="291">
          <cell r="A291" t="str">
            <v/>
          </cell>
          <cell r="B291" t="str">
            <v>Vestiging Tilburg (7291)</v>
          </cell>
        </row>
        <row r="292">
          <cell r="A292">
            <v>6995</v>
          </cell>
          <cell r="B292" t="str">
            <v>Roijackers, M.A.M.</v>
          </cell>
        </row>
        <row r="293">
          <cell r="A293">
            <v>6070</v>
          </cell>
          <cell r="B293" t="str">
            <v>Ooteman, Marcel</v>
          </cell>
        </row>
        <row r="294">
          <cell r="A294">
            <v>3573</v>
          </cell>
          <cell r="B294" t="str">
            <v>Hofstee, Harry</v>
          </cell>
        </row>
        <row r="295">
          <cell r="A295">
            <v>40982</v>
          </cell>
          <cell r="B295" t="str">
            <v>Wieringa, Femke</v>
          </cell>
        </row>
        <row r="296">
          <cell r="A296" t="str">
            <v/>
          </cell>
          <cell r="B296" t="str">
            <v>Vestiging Aalsmeer Offermans (7174)</v>
          </cell>
        </row>
        <row r="297">
          <cell r="A297">
            <v>24000</v>
          </cell>
          <cell r="B297" t="str">
            <v>Paske te, Erik</v>
          </cell>
        </row>
        <row r="298">
          <cell r="A298">
            <v>18197</v>
          </cell>
          <cell r="B298" t="str">
            <v>Tjoelker, Wijtze</v>
          </cell>
        </row>
        <row r="299">
          <cell r="A299" t="str">
            <v/>
          </cell>
          <cell r="B299" t="str">
            <v>Unit 7181</v>
          </cell>
        </row>
        <row r="300">
          <cell r="A300">
            <v>27122</v>
          </cell>
          <cell r="B300" t="str">
            <v>Beijert, Laura</v>
          </cell>
        </row>
        <row r="301">
          <cell r="A301">
            <v>23237</v>
          </cell>
          <cell r="B301" t="str">
            <v>Zoetemelk-van Rijn, Nelly</v>
          </cell>
        </row>
        <row r="302">
          <cell r="A302">
            <v>35025</v>
          </cell>
          <cell r="B302" t="str">
            <v>Waxschal, Ewa</v>
          </cell>
        </row>
        <row r="303">
          <cell r="A303">
            <v>20311</v>
          </cell>
          <cell r="B303" t="str">
            <v>Bezuyen, Miriam</v>
          </cell>
        </row>
        <row r="304">
          <cell r="A304">
            <v>7012</v>
          </cell>
          <cell r="B304" t="str">
            <v>Rosheuvel, Lisette</v>
          </cell>
        </row>
        <row r="305">
          <cell r="A305">
            <v>25085</v>
          </cell>
          <cell r="B305" t="str">
            <v>Dijk van, Sonja</v>
          </cell>
        </row>
        <row r="306">
          <cell r="A306">
            <v>38882</v>
          </cell>
          <cell r="B306" t="str">
            <v>Veldman, Afke</v>
          </cell>
        </row>
        <row r="307">
          <cell r="A307">
            <v>21172</v>
          </cell>
          <cell r="B307" t="str">
            <v>Graveland, Mariëlle</v>
          </cell>
        </row>
        <row r="308">
          <cell r="A308">
            <v>30097</v>
          </cell>
          <cell r="B308" t="str">
            <v>Lieshout van, Margot</v>
          </cell>
        </row>
        <row r="309">
          <cell r="A309">
            <v>41549</v>
          </cell>
          <cell r="B309" t="str">
            <v>Tienersma, Joke</v>
          </cell>
        </row>
        <row r="310">
          <cell r="A310" t="str">
            <v/>
          </cell>
          <cell r="B310" t="str">
            <v>Jong de, Erik</v>
          </cell>
        </row>
        <row r="311">
          <cell r="A311" t="str">
            <v/>
          </cell>
          <cell r="B311" t="str">
            <v>AH Inhouse (Zaandam)</v>
          </cell>
        </row>
        <row r="312">
          <cell r="A312">
            <v>37657</v>
          </cell>
          <cell r="B312" t="str">
            <v>Westerterp, Murk</v>
          </cell>
        </row>
        <row r="313">
          <cell r="A313">
            <v>37230</v>
          </cell>
          <cell r="B313" t="str">
            <v>Overbeek-van Dijk, Léonie</v>
          </cell>
        </row>
        <row r="314">
          <cell r="A314">
            <v>27612</v>
          </cell>
          <cell r="B314" t="str">
            <v>Geers- v/d Heijden, Jolanda</v>
          </cell>
        </row>
        <row r="315">
          <cell r="A315">
            <v>33723</v>
          </cell>
          <cell r="B315" t="str">
            <v>Werf van de, Marissa</v>
          </cell>
        </row>
        <row r="316">
          <cell r="A316">
            <v>22488</v>
          </cell>
          <cell r="B316" t="str">
            <v>Bruinewoud, Anne</v>
          </cell>
        </row>
        <row r="317">
          <cell r="A317" t="str">
            <v/>
          </cell>
          <cell r="B317" t="str">
            <v>Unit 6571</v>
          </cell>
        </row>
        <row r="318">
          <cell r="A318">
            <v>25078</v>
          </cell>
          <cell r="B318" t="str">
            <v>Kooij van der, Anneke</v>
          </cell>
        </row>
        <row r="319">
          <cell r="A319" t="str">
            <v/>
          </cell>
          <cell r="B319" t="str">
            <v>Meulen van der, Jaap-Jan</v>
          </cell>
        </row>
        <row r="320">
          <cell r="A320">
            <v>23244</v>
          </cell>
          <cell r="B320" t="str">
            <v>Flapper-Gerritsen, Marja</v>
          </cell>
        </row>
        <row r="321">
          <cell r="A321">
            <v>22432</v>
          </cell>
          <cell r="B321" t="str">
            <v>Geertsema, Marieke</v>
          </cell>
        </row>
        <row r="322">
          <cell r="A322">
            <v>35487</v>
          </cell>
          <cell r="B322" t="str">
            <v>Lorna, Pauli</v>
          </cell>
        </row>
        <row r="323">
          <cell r="A323">
            <v>1935</v>
          </cell>
          <cell r="B323" t="str">
            <v>Donné-Klaassen, Ria</v>
          </cell>
        </row>
        <row r="324">
          <cell r="A324">
            <v>1940</v>
          </cell>
          <cell r="B324" t="str">
            <v>Bree-Done van, Germaine</v>
          </cell>
        </row>
        <row r="325">
          <cell r="A325">
            <v>24525</v>
          </cell>
          <cell r="B325" t="str">
            <v>Broeke v/d, Emmy</v>
          </cell>
        </row>
        <row r="326">
          <cell r="A326" t="str">
            <v/>
          </cell>
          <cell r="B326" t="str">
            <v>Berg van den, Theo</v>
          </cell>
        </row>
        <row r="327">
          <cell r="A327">
            <v>12583</v>
          </cell>
          <cell r="B327" t="str">
            <v>Kleijn, Henriette</v>
          </cell>
        </row>
        <row r="328">
          <cell r="A328">
            <v>28361</v>
          </cell>
          <cell r="B328" t="str">
            <v>Weeks, Monique</v>
          </cell>
        </row>
        <row r="329">
          <cell r="A329">
            <v>5808</v>
          </cell>
          <cell r="B329" t="str">
            <v>Mooij, Malies</v>
          </cell>
        </row>
        <row r="330">
          <cell r="A330">
            <v>4050</v>
          </cell>
          <cell r="B330" t="str">
            <v>Jong de, Ellen</v>
          </cell>
        </row>
        <row r="331">
          <cell r="A331">
            <v>27584</v>
          </cell>
          <cell r="B331" t="str">
            <v>Smits, Thea</v>
          </cell>
        </row>
        <row r="332">
          <cell r="A332">
            <v>27689</v>
          </cell>
          <cell r="B332" t="str">
            <v>Kroon, Eugenie</v>
          </cell>
        </row>
        <row r="333">
          <cell r="A333" t="str">
            <v/>
          </cell>
          <cell r="B333" t="str">
            <v>Vestiging Leerdam (7211)</v>
          </cell>
        </row>
        <row r="334">
          <cell r="A334" t="str">
            <v/>
          </cell>
          <cell r="B334" t="str">
            <v>Vestiging Arnhem (7281)</v>
          </cell>
        </row>
        <row r="335">
          <cell r="A335" t="str">
            <v/>
          </cell>
          <cell r="B335" t="str">
            <v>Vestiging Inschrijfbus (9999)</v>
          </cell>
        </row>
        <row r="336">
          <cell r="A336" t="str">
            <v/>
          </cell>
          <cell r="B336" t="str">
            <v>Vestiging Delfgauw (7392)</v>
          </cell>
        </row>
        <row r="337">
          <cell r="A337">
            <v>18617</v>
          </cell>
          <cell r="B337" t="str">
            <v>Hesen, Mariette</v>
          </cell>
        </row>
        <row r="338">
          <cell r="A338" t="str">
            <v/>
          </cell>
          <cell r="B338" t="str">
            <v>Vestiging Eindhoven (6729)</v>
          </cell>
        </row>
        <row r="339">
          <cell r="A339" t="str">
            <v/>
          </cell>
          <cell r="B339" t="str">
            <v>Vestiging Breda/DLS (7301)</v>
          </cell>
        </row>
        <row r="340">
          <cell r="A340">
            <v>27556</v>
          </cell>
          <cell r="B340" t="str">
            <v>Winkel te, Belinda</v>
          </cell>
        </row>
        <row r="341">
          <cell r="A341">
            <v>24315</v>
          </cell>
          <cell r="B341" t="str">
            <v>Cascino, Raffaella</v>
          </cell>
        </row>
        <row r="342">
          <cell r="A342">
            <v>42886</v>
          </cell>
          <cell r="B342" t="str">
            <v>Krete, Mariska</v>
          </cell>
        </row>
        <row r="343">
          <cell r="A343">
            <v>3870</v>
          </cell>
          <cell r="B343" t="str">
            <v>Jeltema, Margot</v>
          </cell>
        </row>
        <row r="344">
          <cell r="A344">
            <v>11799</v>
          </cell>
          <cell r="B344" t="str">
            <v>Konigs, Iwan</v>
          </cell>
        </row>
        <row r="345">
          <cell r="A345">
            <v>40506</v>
          </cell>
          <cell r="B345" t="str">
            <v>Heuvel v/d, Esther</v>
          </cell>
        </row>
        <row r="346">
          <cell r="A346">
            <v>3239</v>
          </cell>
          <cell r="B346" t="str">
            <v>Jacobs-Henkus, Moniek</v>
          </cell>
        </row>
        <row r="347">
          <cell r="A347">
            <v>5964</v>
          </cell>
          <cell r="B347" t="str">
            <v>Nuijten,Sonja</v>
          </cell>
        </row>
        <row r="348">
          <cell r="A348">
            <v>17007</v>
          </cell>
          <cell r="B348" t="str">
            <v>Vries de, Angela</v>
          </cell>
        </row>
        <row r="349">
          <cell r="A349">
            <v>37069</v>
          </cell>
          <cell r="B349" t="str">
            <v>Croiset, Alexander</v>
          </cell>
        </row>
        <row r="350">
          <cell r="A350">
            <v>6600</v>
          </cell>
          <cell r="B350" t="str">
            <v>Quintus, Huub</v>
          </cell>
        </row>
        <row r="351">
          <cell r="A351">
            <v>12310</v>
          </cell>
          <cell r="B351" t="str">
            <v>Kuiper-Koullen, Simone</v>
          </cell>
        </row>
        <row r="352">
          <cell r="A352">
            <v>2639</v>
          </cell>
          <cell r="B352" t="str">
            <v>Gidding, Arie</v>
          </cell>
        </row>
        <row r="353">
          <cell r="A353">
            <v>20724</v>
          </cell>
          <cell r="B353" t="str">
            <v>Visser, Karina</v>
          </cell>
        </row>
        <row r="354">
          <cell r="A354" t="str">
            <v/>
          </cell>
          <cell r="B354" t="str">
            <v>Vestiging Dordrecht (7141)</v>
          </cell>
        </row>
        <row r="355">
          <cell r="A355">
            <v>10980</v>
          </cell>
          <cell r="B355" t="str">
            <v>Tak- Leerschool van der, Monique</v>
          </cell>
        </row>
        <row r="356">
          <cell r="A356" t="str">
            <v/>
          </cell>
          <cell r="B356" t="str">
            <v>Vestiging Breda (7301)</v>
          </cell>
        </row>
        <row r="357">
          <cell r="A357">
            <v>24385</v>
          </cell>
          <cell r="B357" t="str">
            <v>Heere, Pauline</v>
          </cell>
        </row>
        <row r="358">
          <cell r="A358">
            <v>17042</v>
          </cell>
          <cell r="B358" t="str">
            <v>Visser, Gerja</v>
          </cell>
        </row>
        <row r="359">
          <cell r="A359" t="str">
            <v/>
          </cell>
          <cell r="B359" t="str">
            <v>Lea Stöver / Danzas inhouse (6547)</v>
          </cell>
        </row>
        <row r="360">
          <cell r="A360" t="str">
            <v/>
          </cell>
          <cell r="B360" t="str">
            <v>Vestiging Sittard (7128)</v>
          </cell>
        </row>
        <row r="361">
          <cell r="A361">
            <v>41241</v>
          </cell>
          <cell r="B361" t="str">
            <v>Herweijer, Saskia</v>
          </cell>
        </row>
        <row r="362">
          <cell r="A362">
            <v>37762</v>
          </cell>
          <cell r="B362" t="str">
            <v>Vlug, Petra</v>
          </cell>
        </row>
        <row r="363">
          <cell r="A363">
            <v>3080</v>
          </cell>
          <cell r="B363" t="str">
            <v>Hardonk, Jaap Jan</v>
          </cell>
        </row>
        <row r="364">
          <cell r="A364">
            <v>17259</v>
          </cell>
          <cell r="B364" t="str">
            <v>Boots-de Groot, Jeanina</v>
          </cell>
        </row>
        <row r="365">
          <cell r="A365">
            <v>34080</v>
          </cell>
          <cell r="B365" t="str">
            <v>Slijkhuis, Annette</v>
          </cell>
        </row>
        <row r="366">
          <cell r="A366">
            <v>15565</v>
          </cell>
          <cell r="B366" t="str">
            <v>Bruggemans, Sandra</v>
          </cell>
        </row>
        <row r="367">
          <cell r="A367">
            <v>1665</v>
          </cell>
          <cell r="B367" t="str">
            <v>Courbois, Jacqueline</v>
          </cell>
        </row>
        <row r="368">
          <cell r="A368">
            <v>6998</v>
          </cell>
          <cell r="B368" t="str">
            <v>Ruiter-de Wit, Ans</v>
          </cell>
        </row>
        <row r="369">
          <cell r="A369">
            <v>5065697</v>
          </cell>
          <cell r="B369" t="str">
            <v>Meer van der, Ruger</v>
          </cell>
        </row>
        <row r="370">
          <cell r="A370" t="str">
            <v/>
          </cell>
          <cell r="B370" t="str">
            <v>Vestiging Rotterdam (6285)</v>
          </cell>
        </row>
        <row r="371">
          <cell r="A371">
            <v>11414</v>
          </cell>
          <cell r="B371" t="str">
            <v>Pleijsant, Bert</v>
          </cell>
        </row>
        <row r="372">
          <cell r="A372">
            <v>26716</v>
          </cell>
          <cell r="B372" t="str">
            <v>Haitsma, Marie-Antoinette</v>
          </cell>
        </row>
        <row r="373">
          <cell r="A373">
            <v>10560</v>
          </cell>
          <cell r="B373" t="str">
            <v>Israël, Gwen</v>
          </cell>
        </row>
        <row r="374">
          <cell r="A374">
            <v>3405</v>
          </cell>
          <cell r="B374" t="str">
            <v>Heijneman, Frans</v>
          </cell>
        </row>
        <row r="375">
          <cell r="A375" t="str">
            <v/>
          </cell>
          <cell r="B375" t="str">
            <v>Hoof van, Sabrina</v>
          </cell>
        </row>
        <row r="376">
          <cell r="A376" t="str">
            <v/>
          </cell>
          <cell r="B376" t="str">
            <v>Vestiging Blijdorp (6309)</v>
          </cell>
        </row>
        <row r="377">
          <cell r="A377">
            <v>6847</v>
          </cell>
          <cell r="B377" t="str">
            <v>Dijk-Sampers van, Ellen</v>
          </cell>
        </row>
        <row r="378">
          <cell r="A378">
            <v>4590</v>
          </cell>
          <cell r="B378" t="str">
            <v>Koning-van Vliet, Anneke</v>
          </cell>
        </row>
        <row r="379">
          <cell r="A379">
            <v>29824</v>
          </cell>
          <cell r="B379" t="str">
            <v>Hoogduin, Monique</v>
          </cell>
        </row>
        <row r="380">
          <cell r="A380">
            <v>40023</v>
          </cell>
          <cell r="B380" t="str">
            <v>Wuis, Marloes</v>
          </cell>
        </row>
        <row r="381">
          <cell r="A381">
            <v>39211</v>
          </cell>
          <cell r="B381" t="str">
            <v>Molenmaker, Pim</v>
          </cell>
        </row>
        <row r="382">
          <cell r="A382">
            <v>2380</v>
          </cell>
          <cell r="B382" t="str">
            <v>Floore, Saskia</v>
          </cell>
        </row>
        <row r="383">
          <cell r="A383" t="str">
            <v/>
          </cell>
          <cell r="B383" t="str">
            <v>Vestiging van Gend&amp;Loos</v>
          </cell>
        </row>
        <row r="384">
          <cell r="A384" t="str">
            <v/>
          </cell>
          <cell r="B384" t="str">
            <v>Vestiging Enschede (7121)</v>
          </cell>
        </row>
        <row r="385">
          <cell r="A385">
            <v>2472</v>
          </cell>
          <cell r="B385" t="str">
            <v>Jonker, Lucretia</v>
          </cell>
        </row>
        <row r="386">
          <cell r="A386">
            <v>26149</v>
          </cell>
          <cell r="B386" t="str">
            <v>Schomakers, Marjolein</v>
          </cell>
        </row>
        <row r="387">
          <cell r="A387">
            <v>33576</v>
          </cell>
          <cell r="B387" t="str">
            <v>Bogaert, Chantal</v>
          </cell>
        </row>
        <row r="388">
          <cell r="A388">
            <v>24623</v>
          </cell>
          <cell r="B388" t="str">
            <v>Frenken, Rolf</v>
          </cell>
        </row>
        <row r="389">
          <cell r="A389">
            <v>35984</v>
          </cell>
          <cell r="B389" t="str">
            <v>Craats van de, Remie</v>
          </cell>
        </row>
        <row r="390">
          <cell r="A390">
            <v>21606</v>
          </cell>
          <cell r="B390" t="str">
            <v>Stegeman, Jan Willem</v>
          </cell>
        </row>
        <row r="391">
          <cell r="A391">
            <v>23461</v>
          </cell>
          <cell r="B391" t="str">
            <v>Hoogeslag, Rob</v>
          </cell>
        </row>
        <row r="392">
          <cell r="A392">
            <v>20983</v>
          </cell>
          <cell r="B392" t="str">
            <v>Mastenbroek, Sanne</v>
          </cell>
        </row>
        <row r="393">
          <cell r="A393">
            <v>10280</v>
          </cell>
          <cell r="B393" t="str">
            <v>Klaassens, Gerthé</v>
          </cell>
        </row>
        <row r="394">
          <cell r="A394">
            <v>6850</v>
          </cell>
          <cell r="B394" t="str">
            <v>Saputo, Alie</v>
          </cell>
        </row>
        <row r="395">
          <cell r="A395">
            <v>27969</v>
          </cell>
          <cell r="B395" t="str">
            <v>Dekker, Dirco</v>
          </cell>
        </row>
        <row r="396">
          <cell r="A396">
            <v>27983</v>
          </cell>
          <cell r="B396" t="str">
            <v>Weerts, Hilde</v>
          </cell>
        </row>
        <row r="397">
          <cell r="A397">
            <v>995</v>
          </cell>
          <cell r="B397" t="str">
            <v>Oe Kantoor OE 12</v>
          </cell>
        </row>
        <row r="398">
          <cell r="A398">
            <v>2601</v>
          </cell>
          <cell r="B398" t="str">
            <v>Graaf van der, Pieter</v>
          </cell>
        </row>
        <row r="399">
          <cell r="A399">
            <v>34010</v>
          </cell>
          <cell r="B399" t="str">
            <v>Holtkamp, Esther</v>
          </cell>
        </row>
        <row r="400">
          <cell r="A400">
            <v>14424</v>
          </cell>
          <cell r="B400" t="str">
            <v>Simons, Cathy</v>
          </cell>
        </row>
        <row r="401">
          <cell r="A401">
            <v>22460</v>
          </cell>
          <cell r="B401" t="str">
            <v>Groenendal, Djamilla</v>
          </cell>
        </row>
        <row r="402">
          <cell r="A402">
            <v>3565</v>
          </cell>
          <cell r="B402" t="str">
            <v>Hof, G.</v>
          </cell>
        </row>
        <row r="403">
          <cell r="A403">
            <v>39757</v>
          </cell>
          <cell r="B403" t="str">
            <v>Janzen, Jelte</v>
          </cell>
        </row>
        <row r="404">
          <cell r="A404" t="str">
            <v/>
          </cell>
          <cell r="B404" t="str">
            <v>Vestiging Beverwijk, Sodexho/Corus</v>
          </cell>
        </row>
        <row r="405">
          <cell r="A405" t="str">
            <v/>
          </cell>
          <cell r="B405" t="str">
            <v>OE Kantoor Hoorn (030)</v>
          </cell>
        </row>
        <row r="406">
          <cell r="A406">
            <v>16377</v>
          </cell>
          <cell r="B406" t="str">
            <v>Link, A.</v>
          </cell>
        </row>
        <row r="407">
          <cell r="A407">
            <v>13227</v>
          </cell>
          <cell r="B407" t="str">
            <v>Faber, Bianca</v>
          </cell>
        </row>
        <row r="408">
          <cell r="A408">
            <v>42634</v>
          </cell>
          <cell r="B408" t="str">
            <v>Kemenade van, Brigiet</v>
          </cell>
        </row>
        <row r="409">
          <cell r="A409">
            <v>33492</v>
          </cell>
          <cell r="B409" t="str">
            <v>Basch, Nicolette Vestiging 6176</v>
          </cell>
        </row>
        <row r="410">
          <cell r="A410" t="str">
            <v/>
          </cell>
          <cell r="B410" t="str">
            <v>Gateway, Enschede - Tromplaan</v>
          </cell>
        </row>
        <row r="411">
          <cell r="A411" t="str">
            <v/>
          </cell>
          <cell r="B411" t="str">
            <v>Gateway, Enschede - Tromplaan</v>
          </cell>
        </row>
        <row r="412">
          <cell r="A412" t="str">
            <v/>
          </cell>
          <cell r="B412" t="str">
            <v>Gateway, Utrecht - Domstraat</v>
          </cell>
        </row>
        <row r="413">
          <cell r="A413" t="str">
            <v/>
          </cell>
          <cell r="B413" t="str">
            <v>Gateway, Utrecht - Domstraat</v>
          </cell>
        </row>
        <row r="414">
          <cell r="A414" t="str">
            <v/>
          </cell>
          <cell r="B414" t="str">
            <v>Gateway, Roosendaal - Roselaarstraat</v>
          </cell>
        </row>
        <row r="415">
          <cell r="A415" t="str">
            <v/>
          </cell>
          <cell r="B415" t="str">
            <v>Gateway, Roosendaal - Roselaarstraat</v>
          </cell>
        </row>
        <row r="416">
          <cell r="A416" t="str">
            <v/>
          </cell>
          <cell r="B416" t="str">
            <v>Gateway, Eindhoven - Keizersgracht</v>
          </cell>
        </row>
        <row r="417">
          <cell r="A417" t="str">
            <v/>
          </cell>
          <cell r="B417" t="str">
            <v>Gateway, Eindhoven - Keizersgracht</v>
          </cell>
        </row>
        <row r="418">
          <cell r="A418" t="str">
            <v/>
          </cell>
          <cell r="B418" t="str">
            <v>Gateway, Eindhoven - Keizersgracht</v>
          </cell>
        </row>
        <row r="419">
          <cell r="A419" t="str">
            <v/>
          </cell>
          <cell r="B419" t="str">
            <v>Gateway, Leeuwarden - Schrans</v>
          </cell>
        </row>
        <row r="420">
          <cell r="A420" t="str">
            <v/>
          </cell>
          <cell r="B420" t="str">
            <v>Gateway, Eindhoven - Keizersgracht</v>
          </cell>
        </row>
        <row r="421">
          <cell r="A421" t="str">
            <v/>
          </cell>
          <cell r="B421" t="str">
            <v>Gateway, Boxtel</v>
          </cell>
        </row>
        <row r="422">
          <cell r="A422" t="str">
            <v/>
          </cell>
          <cell r="B422" t="str">
            <v>Gateway, Leeuwarden - Schrans</v>
          </cell>
        </row>
        <row r="423">
          <cell r="A423" t="str">
            <v/>
          </cell>
          <cell r="B423" t="str">
            <v>Gateway, Boxtel</v>
          </cell>
        </row>
        <row r="424">
          <cell r="A424">
            <v>5063489</v>
          </cell>
          <cell r="B424" t="str">
            <v>Aars, Irene</v>
          </cell>
        </row>
        <row r="425">
          <cell r="A425">
            <v>28102</v>
          </cell>
          <cell r="B425" t="str">
            <v>Rooij de, Daniëlle</v>
          </cell>
        </row>
        <row r="426">
          <cell r="A426">
            <v>19576</v>
          </cell>
          <cell r="B426" t="str">
            <v>Hemmingway, Paulien</v>
          </cell>
        </row>
        <row r="427">
          <cell r="A427">
            <v>43523</v>
          </cell>
          <cell r="B427" t="str">
            <v>Keddeman, Esther</v>
          </cell>
        </row>
        <row r="428">
          <cell r="A428">
            <v>41423</v>
          </cell>
          <cell r="B428" t="str">
            <v>Krieken van, Walter</v>
          </cell>
        </row>
        <row r="429">
          <cell r="A429" t="str">
            <v/>
          </cell>
          <cell r="B429" t="str">
            <v>Gateway, Rotterdam - Mijnsherenlaan</v>
          </cell>
        </row>
        <row r="430">
          <cell r="A430" t="str">
            <v/>
          </cell>
          <cell r="B430" t="str">
            <v>Gateway, Rotterdam - Mijnsherenlaan</v>
          </cell>
        </row>
        <row r="431">
          <cell r="A431">
            <v>29404</v>
          </cell>
          <cell r="B431" t="str">
            <v>Ruter Oost, Ingrid</v>
          </cell>
        </row>
        <row r="432">
          <cell r="A432">
            <v>33919</v>
          </cell>
          <cell r="B432" t="str">
            <v>Zelderen van-Aalten, Berdien</v>
          </cell>
        </row>
        <row r="433">
          <cell r="A433">
            <v>20276</v>
          </cell>
          <cell r="B433" t="str">
            <v>Kuilder</v>
          </cell>
        </row>
        <row r="434">
          <cell r="A434">
            <v>15005</v>
          </cell>
          <cell r="B434" t="str">
            <v>Schootbrugge vd, Hetty</v>
          </cell>
        </row>
        <row r="435">
          <cell r="A435">
            <v>20402</v>
          </cell>
          <cell r="B435" t="str">
            <v>Kneepkens, Hilde</v>
          </cell>
        </row>
        <row r="436">
          <cell r="A436">
            <v>34920</v>
          </cell>
          <cell r="B436" t="str">
            <v>Blonk, Vivian</v>
          </cell>
        </row>
        <row r="437">
          <cell r="A437">
            <v>36075</v>
          </cell>
          <cell r="B437" t="str">
            <v>Schipper, Ilse</v>
          </cell>
        </row>
        <row r="438">
          <cell r="A438">
            <v>0</v>
          </cell>
          <cell r="B438" t="str">
            <v>Lange de, W</v>
          </cell>
        </row>
        <row r="439">
          <cell r="A439">
            <v>14655</v>
          </cell>
          <cell r="B439" t="str">
            <v>Bruning, Lienke</v>
          </cell>
        </row>
        <row r="440">
          <cell r="A440">
            <v>24385</v>
          </cell>
          <cell r="B440" t="str">
            <v>Heeren, Pauline</v>
          </cell>
        </row>
        <row r="441">
          <cell r="A441">
            <v>5064140</v>
          </cell>
          <cell r="B441" t="str">
            <v>Vellinga, Roelof</v>
          </cell>
        </row>
        <row r="442">
          <cell r="A442">
            <v>28592</v>
          </cell>
          <cell r="B442" t="str">
            <v>Peters, Kim</v>
          </cell>
        </row>
        <row r="443">
          <cell r="A443">
            <v>29383</v>
          </cell>
          <cell r="B443" t="str">
            <v>Voorn, Esther</v>
          </cell>
        </row>
        <row r="444">
          <cell r="A444">
            <v>22180</v>
          </cell>
          <cell r="B444" t="str">
            <v>Pelzer, Marja</v>
          </cell>
        </row>
        <row r="445">
          <cell r="A445">
            <v>43138</v>
          </cell>
          <cell r="B445" t="str">
            <v>Flaman, Ineke</v>
          </cell>
        </row>
        <row r="446">
          <cell r="A446">
            <v>27479</v>
          </cell>
          <cell r="B446" t="str">
            <v>Droog, Maaike</v>
          </cell>
        </row>
        <row r="447">
          <cell r="A447">
            <v>32337</v>
          </cell>
          <cell r="B447" t="str">
            <v>Ton, Mirjam</v>
          </cell>
        </row>
        <row r="448">
          <cell r="A448">
            <v>32890</v>
          </cell>
          <cell r="B448" t="str">
            <v>Velden van, Maarten</v>
          </cell>
        </row>
        <row r="449">
          <cell r="A449">
            <v>43481</v>
          </cell>
          <cell r="B449" t="str">
            <v>Horowitz, Roosmarijn</v>
          </cell>
        </row>
        <row r="450">
          <cell r="A450">
            <v>28536</v>
          </cell>
          <cell r="B450" t="str">
            <v>Kooyman, Machtelt</v>
          </cell>
        </row>
        <row r="451">
          <cell r="A451">
            <v>24819</v>
          </cell>
          <cell r="B451" t="str">
            <v>Bongaerts, Petra</v>
          </cell>
        </row>
        <row r="452">
          <cell r="A452">
            <v>23412</v>
          </cell>
          <cell r="B452" t="str">
            <v>Broek van den, Els</v>
          </cell>
        </row>
        <row r="453">
          <cell r="A453">
            <v>27143</v>
          </cell>
          <cell r="B453" t="str">
            <v>Leurs, John</v>
          </cell>
        </row>
        <row r="454">
          <cell r="A454">
            <v>39834</v>
          </cell>
          <cell r="B454" t="str">
            <v>Weelden, van Debbie</v>
          </cell>
        </row>
        <row r="455">
          <cell r="A455">
            <v>27829</v>
          </cell>
          <cell r="B455" t="str">
            <v>Pellegrom, Mario</v>
          </cell>
        </row>
        <row r="456">
          <cell r="A456">
            <v>43439</v>
          </cell>
          <cell r="B456" t="str">
            <v>Louw de, Wilbert</v>
          </cell>
        </row>
        <row r="457">
          <cell r="A457">
            <v>5066033</v>
          </cell>
          <cell r="B457" t="str">
            <v>Oostendorp, Anneke</v>
          </cell>
        </row>
        <row r="458">
          <cell r="A458">
            <v>0</v>
          </cell>
          <cell r="B458" t="str">
            <v>Centrale Planning</v>
          </cell>
        </row>
        <row r="459">
          <cell r="A459">
            <v>0</v>
          </cell>
          <cell r="B459" t="str">
            <v>Vestigingsmobiel VL</v>
          </cell>
        </row>
        <row r="460">
          <cell r="A460">
            <v>44594</v>
          </cell>
          <cell r="B460" t="str">
            <v>Keverkamp, Peter</v>
          </cell>
        </row>
        <row r="461">
          <cell r="A461">
            <v>44699</v>
          </cell>
          <cell r="B461" t="str">
            <v>Otten, Raimondo</v>
          </cell>
        </row>
        <row r="462">
          <cell r="A462">
            <v>44636</v>
          </cell>
          <cell r="B462" t="str">
            <v>Bergmans, Nicole</v>
          </cell>
        </row>
        <row r="463">
          <cell r="A463">
            <v>44706</v>
          </cell>
          <cell r="B463" t="str">
            <v>Engels, Mark</v>
          </cell>
        </row>
        <row r="464">
          <cell r="A464">
            <v>44608</v>
          </cell>
          <cell r="B464" t="str">
            <v>Knegtel, Susan</v>
          </cell>
        </row>
        <row r="465">
          <cell r="A465">
            <v>44601</v>
          </cell>
          <cell r="B465" t="str">
            <v>Boxelaar, Patricia</v>
          </cell>
        </row>
        <row r="466">
          <cell r="A466">
            <v>0</v>
          </cell>
          <cell r="B466" t="str">
            <v>Vestigingsmobiel VT</v>
          </cell>
        </row>
        <row r="467">
          <cell r="A467">
            <v>0</v>
          </cell>
          <cell r="B467" t="str">
            <v>Vestigingsmobiel VL</v>
          </cell>
        </row>
        <row r="468">
          <cell r="A468">
            <v>0</v>
          </cell>
          <cell r="B468" t="str">
            <v>Vestigingsmobiel VW</v>
          </cell>
        </row>
        <row r="469">
          <cell r="A469">
            <v>44692</v>
          </cell>
          <cell r="B469" t="str">
            <v>Zuydendorp, Ronald</v>
          </cell>
        </row>
        <row r="470">
          <cell r="A470">
            <v>32666</v>
          </cell>
          <cell r="B470" t="str">
            <v>Vergouw, Kim</v>
          </cell>
        </row>
        <row r="471">
          <cell r="A471">
            <v>25120</v>
          </cell>
          <cell r="B471" t="str">
            <v>Muusers, Danielle</v>
          </cell>
        </row>
        <row r="472">
          <cell r="A472">
            <v>6377</v>
          </cell>
          <cell r="B472" t="str">
            <v>Peters, Heidi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G_macros"/>
      <sheetName val="Programma_check"/>
      <sheetName val="Tussenblad"/>
      <sheetName val="Hoofdmenu"/>
      <sheetName val="scrprogramma"/>
      <sheetName val="scrvloersoort"/>
      <sheetName val="scrruimtestaten"/>
      <sheetName val="Vloeren"/>
      <sheetName val="Tarief"/>
      <sheetName val="Uitgangspunten"/>
      <sheetName val="Dagen open"/>
      <sheetName val="Begroting totaal"/>
      <sheetName val="Begroting landrijt"/>
      <sheetName val="Begroting gagelbosch"/>
      <sheetName val="Begroting orangerie"/>
      <sheetName val="Totalen"/>
      <sheetName val="Tarief ma-vr"/>
      <sheetName val="Tarief za-zo"/>
      <sheetName val="Tarief fe"/>
      <sheetName val="Afroepprijzen"/>
      <sheetName val="Glasprijzen"/>
      <sheetName val="ma_vr"/>
      <sheetName val="za"/>
      <sheetName val="Normblad"/>
      <sheetName val="Start_programma's"/>
      <sheetName val="Apo_L"/>
      <sheetName val="Aul_L"/>
      <sheetName val="Aul_S"/>
      <sheetName val="Bad_L"/>
      <sheetName val="Bad_S"/>
      <sheetName val="Bal_S"/>
      <sheetName val="Beh_L"/>
      <sheetName val="Beh_T"/>
      <sheetName val="Csa_L"/>
      <sheetName val="Dag_L"/>
      <sheetName val="Dag_H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T"/>
      <sheetName val="Gan_S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Kan_L"/>
      <sheetName val="Kan_S"/>
      <sheetName val="parklaan 54"/>
      <sheetName val="Kan_T"/>
      <sheetName val="Keu_T"/>
      <sheetName val="einde"/>
      <sheetName val="Keu_L"/>
      <sheetName val="Keu_S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Oef_L"/>
      <sheetName val="Ope_L"/>
      <sheetName val="Ope_S"/>
      <sheetName val="Par_L"/>
      <sheetName val="Par_S"/>
      <sheetName val="Pat_L"/>
      <sheetName val="Pat_S"/>
      <sheetName val="Pat_T"/>
      <sheetName val="Rec_L"/>
      <sheetName val="Rec_T"/>
      <sheetName val="Res_L"/>
      <sheetName val="Res_S"/>
      <sheetName val="Res_T"/>
      <sheetName val="Rol_L"/>
      <sheetName val="Rol_S"/>
      <sheetName val="Ron_L"/>
      <sheetName val="Ron_S"/>
      <sheetName val="San_L"/>
      <sheetName val="San_S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H"/>
      <sheetName val="The_T"/>
      <sheetName val="Toi_L"/>
      <sheetName val="Tra_L"/>
      <sheetName val="Tra_H"/>
      <sheetName val="Tra_M"/>
      <sheetName val="Toi_S"/>
      <sheetName val="Tra_S"/>
      <sheetName val="Tra_T"/>
      <sheetName val="Ver_L"/>
      <sheetName val="Ver_T"/>
      <sheetName val="Voo_L"/>
      <sheetName val="Wac_L"/>
      <sheetName val="Wac_S"/>
      <sheetName val="Voo_S"/>
      <sheetName val="Wac_T"/>
      <sheetName val="Was_L"/>
      <sheetName val="Was_S"/>
      <sheetName val="Win_L"/>
      <sheetName val="Win_S"/>
      <sheetName val="Win_T"/>
      <sheetName val="Zwe_S"/>
      <sheetName val="Module1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>
        <row r="6">
          <cell r="A6" t="str">
            <v>1.0</v>
          </cell>
          <cell r="B6">
            <v>16.733874375000003</v>
          </cell>
          <cell r="C6">
            <v>19.817927422312501</v>
          </cell>
          <cell r="D6">
            <v>20.917342968750003</v>
          </cell>
          <cell r="E6">
            <v>25.100811562500006</v>
          </cell>
          <cell r="F6">
            <v>33.467748750000005</v>
          </cell>
          <cell r="G6">
            <v>16.733874375000003</v>
          </cell>
          <cell r="H6">
            <v>19.817927422312501</v>
          </cell>
          <cell r="I6">
            <v>20.917342968750003</v>
          </cell>
          <cell r="J6">
            <v>25.100811562500006</v>
          </cell>
          <cell r="K6">
            <v>33.467748750000005</v>
          </cell>
        </row>
        <row r="7">
          <cell r="A7" t="str">
            <v>1.1</v>
          </cell>
          <cell r="B7">
            <v>16.733874375000003</v>
          </cell>
          <cell r="C7">
            <v>19.817927422312501</v>
          </cell>
          <cell r="D7">
            <v>20.917342968750003</v>
          </cell>
          <cell r="E7">
            <v>25.100811562500006</v>
          </cell>
          <cell r="F7">
            <v>33.467748750000005</v>
          </cell>
          <cell r="G7">
            <v>16.733874375000003</v>
          </cell>
          <cell r="H7">
            <v>19.817927422312501</v>
          </cell>
          <cell r="I7">
            <v>20.917342968750003</v>
          </cell>
          <cell r="J7">
            <v>25.100811562500006</v>
          </cell>
          <cell r="K7">
            <v>33.467748750000005</v>
          </cell>
        </row>
        <row r="8">
          <cell r="A8" t="str">
            <v>1.2</v>
          </cell>
          <cell r="B8">
            <v>16.733874375000003</v>
          </cell>
          <cell r="C8">
            <v>19.817927422312501</v>
          </cell>
          <cell r="D8">
            <v>20.917342968750003</v>
          </cell>
          <cell r="E8">
            <v>25.100811562500006</v>
          </cell>
          <cell r="F8">
            <v>33.467748750000005</v>
          </cell>
          <cell r="G8">
            <v>16.733874375000003</v>
          </cell>
          <cell r="H8">
            <v>19.817927422312501</v>
          </cell>
          <cell r="I8">
            <v>20.917342968750003</v>
          </cell>
          <cell r="J8">
            <v>25.100811562500006</v>
          </cell>
          <cell r="K8">
            <v>33.467748750000005</v>
          </cell>
        </row>
        <row r="9">
          <cell r="A9" t="str">
            <v>1.3</v>
          </cell>
          <cell r="B9">
            <v>16.733874375000003</v>
          </cell>
          <cell r="C9">
            <v>19.817927422312501</v>
          </cell>
          <cell r="D9">
            <v>20.917342968750003</v>
          </cell>
          <cell r="E9">
            <v>25.100811562500006</v>
          </cell>
          <cell r="F9">
            <v>33.467748750000005</v>
          </cell>
          <cell r="G9">
            <v>16.733874375000003</v>
          </cell>
          <cell r="H9">
            <v>19.817927422312501</v>
          </cell>
          <cell r="I9">
            <v>20.917342968750003</v>
          </cell>
          <cell r="J9">
            <v>25.100811562500006</v>
          </cell>
          <cell r="K9">
            <v>33.467748750000005</v>
          </cell>
        </row>
        <row r="10">
          <cell r="A10" t="str">
            <v>1.4</v>
          </cell>
          <cell r="B10">
            <v>16.733874375000003</v>
          </cell>
          <cell r="C10">
            <v>19.817927422312501</v>
          </cell>
          <cell r="D10">
            <v>20.917342968750003</v>
          </cell>
          <cell r="E10">
            <v>25.100811562500006</v>
          </cell>
          <cell r="F10">
            <v>33.467748750000005</v>
          </cell>
          <cell r="G10">
            <v>16.733874375000003</v>
          </cell>
          <cell r="H10">
            <v>19.817927422312501</v>
          </cell>
          <cell r="I10">
            <v>20.917342968750003</v>
          </cell>
          <cell r="J10">
            <v>25.100811562500006</v>
          </cell>
          <cell r="K10">
            <v>33.467748750000005</v>
          </cell>
        </row>
        <row r="11">
          <cell r="A11" t="str">
            <v>2.0</v>
          </cell>
          <cell r="B11">
            <v>17.32488</v>
          </cell>
          <cell r="C11">
            <v>20.517855383999997</v>
          </cell>
          <cell r="D11">
            <v>21.656100000000002</v>
          </cell>
          <cell r="E11">
            <v>25.98732</v>
          </cell>
          <cell r="F11">
            <v>34.649760000000001</v>
          </cell>
          <cell r="G11">
            <v>17.32488</v>
          </cell>
          <cell r="H11">
            <v>20.517855383999997</v>
          </cell>
          <cell r="I11">
            <v>21.656100000000002</v>
          </cell>
          <cell r="J11">
            <v>25.98732</v>
          </cell>
          <cell r="K11">
            <v>34.649760000000001</v>
          </cell>
        </row>
        <row r="12">
          <cell r="A12" t="str">
            <v>2.1</v>
          </cell>
          <cell r="B12">
            <v>17.32488</v>
          </cell>
          <cell r="C12">
            <v>20.517855383999997</v>
          </cell>
          <cell r="D12">
            <v>21.656100000000002</v>
          </cell>
          <cell r="E12">
            <v>25.98732</v>
          </cell>
          <cell r="F12">
            <v>34.649760000000001</v>
          </cell>
          <cell r="G12">
            <v>17.32488</v>
          </cell>
          <cell r="H12">
            <v>20.517855383999997</v>
          </cell>
          <cell r="I12">
            <v>21.656100000000002</v>
          </cell>
          <cell r="J12">
            <v>25.98732</v>
          </cell>
          <cell r="K12">
            <v>34.649760000000001</v>
          </cell>
        </row>
        <row r="13">
          <cell r="A13" t="str">
            <v>2.2</v>
          </cell>
          <cell r="B13">
            <v>17.32488</v>
          </cell>
          <cell r="C13">
            <v>20.517855383999997</v>
          </cell>
          <cell r="D13">
            <v>21.656100000000002</v>
          </cell>
          <cell r="E13">
            <v>25.98732</v>
          </cell>
          <cell r="F13">
            <v>34.649760000000001</v>
          </cell>
          <cell r="G13">
            <v>17.32488</v>
          </cell>
          <cell r="H13">
            <v>20.517855383999997</v>
          </cell>
          <cell r="I13">
            <v>21.656100000000002</v>
          </cell>
          <cell r="J13">
            <v>25.98732</v>
          </cell>
          <cell r="K13">
            <v>34.649760000000001</v>
          </cell>
        </row>
        <row r="14">
          <cell r="A14" t="str">
            <v>2.3</v>
          </cell>
          <cell r="B14">
            <v>17.32488</v>
          </cell>
          <cell r="C14">
            <v>20.517855383999997</v>
          </cell>
          <cell r="D14">
            <v>21.656100000000002</v>
          </cell>
          <cell r="E14">
            <v>25.98732</v>
          </cell>
          <cell r="F14">
            <v>34.649760000000001</v>
          </cell>
          <cell r="G14">
            <v>17.32488</v>
          </cell>
          <cell r="H14">
            <v>20.517855383999997</v>
          </cell>
          <cell r="I14">
            <v>21.656100000000002</v>
          </cell>
          <cell r="J14">
            <v>25.98732</v>
          </cell>
          <cell r="K14">
            <v>34.649760000000001</v>
          </cell>
        </row>
        <row r="15">
          <cell r="A15" t="str">
            <v>2.4</v>
          </cell>
          <cell r="B15">
            <v>17.32488</v>
          </cell>
          <cell r="C15">
            <v>20.517855383999997</v>
          </cell>
          <cell r="D15">
            <v>21.656100000000002</v>
          </cell>
          <cell r="E15">
            <v>25.98732</v>
          </cell>
          <cell r="F15">
            <v>34.649760000000001</v>
          </cell>
          <cell r="G15">
            <v>17.32488</v>
          </cell>
          <cell r="H15">
            <v>20.517855383999997</v>
          </cell>
          <cell r="I15">
            <v>21.656100000000002</v>
          </cell>
          <cell r="J15">
            <v>25.98732</v>
          </cell>
          <cell r="K15">
            <v>34.649760000000001</v>
          </cell>
        </row>
        <row r="16">
          <cell r="A16" t="str">
            <v>2.5</v>
          </cell>
          <cell r="B16">
            <v>17.32488</v>
          </cell>
          <cell r="C16">
            <v>20.517855383999997</v>
          </cell>
          <cell r="D16">
            <v>21.656100000000002</v>
          </cell>
          <cell r="E16">
            <v>25.98732</v>
          </cell>
          <cell r="F16">
            <v>34.649760000000001</v>
          </cell>
          <cell r="G16">
            <v>17.32488</v>
          </cell>
          <cell r="H16">
            <v>20.517855383999997</v>
          </cell>
          <cell r="I16">
            <v>21.656100000000002</v>
          </cell>
          <cell r="J16">
            <v>25.98732</v>
          </cell>
          <cell r="K16">
            <v>34.649760000000001</v>
          </cell>
        </row>
        <row r="17">
          <cell r="A17" t="str">
            <v>3.0</v>
          </cell>
          <cell r="B17">
            <v>17.933160000000001</v>
          </cell>
          <cell r="C17">
            <v>21.238241387999999</v>
          </cell>
          <cell r="D17">
            <v>22.416450000000001</v>
          </cell>
          <cell r="E17">
            <v>26.899740000000001</v>
          </cell>
          <cell r="F17">
            <v>35.866320000000002</v>
          </cell>
          <cell r="G17">
            <v>17.933160000000001</v>
          </cell>
          <cell r="H17">
            <v>21.238241387999999</v>
          </cell>
          <cell r="I17">
            <v>22.416450000000001</v>
          </cell>
          <cell r="J17">
            <v>26.899740000000001</v>
          </cell>
          <cell r="K17">
            <v>35.866320000000002</v>
          </cell>
        </row>
        <row r="18">
          <cell r="A18" t="str">
            <v>3.1</v>
          </cell>
          <cell r="B18">
            <v>18.326585625</v>
          </cell>
          <cell r="C18">
            <v>21.704175355687497</v>
          </cell>
          <cell r="D18">
            <v>22.908232031250002</v>
          </cell>
          <cell r="E18">
            <v>27.4898784375</v>
          </cell>
          <cell r="F18">
            <v>36.65317125</v>
          </cell>
          <cell r="G18">
            <v>18.326585625</v>
          </cell>
          <cell r="H18">
            <v>21.704175355687497</v>
          </cell>
          <cell r="I18">
            <v>22.908232031250002</v>
          </cell>
          <cell r="J18">
            <v>27.4898784375</v>
          </cell>
          <cell r="K18">
            <v>36.65317125</v>
          </cell>
        </row>
        <row r="19">
          <cell r="A19" t="str">
            <v>3.2</v>
          </cell>
          <cell r="B19">
            <v>18.719941875</v>
          </cell>
          <cell r="C19">
            <v>22.170027162562498</v>
          </cell>
          <cell r="D19">
            <v>23.399927343750001</v>
          </cell>
          <cell r="E19">
            <v>28.079912812499998</v>
          </cell>
          <cell r="F19">
            <v>37.43988375</v>
          </cell>
          <cell r="G19">
            <v>18.719941875</v>
          </cell>
          <cell r="H19">
            <v>22.170027162562498</v>
          </cell>
          <cell r="I19">
            <v>23.399927343750001</v>
          </cell>
          <cell r="J19">
            <v>28.079912812499998</v>
          </cell>
          <cell r="K19">
            <v>37.43988375</v>
          </cell>
        </row>
        <row r="20">
          <cell r="A20" t="str">
            <v>3.3</v>
          </cell>
          <cell r="B20">
            <v>19.121206875000002</v>
          </cell>
          <cell r="C20">
            <v>22.645245302062502</v>
          </cell>
          <cell r="D20">
            <v>23.901508593750002</v>
          </cell>
          <cell r="E20">
            <v>28.681810312500005</v>
          </cell>
          <cell r="F20">
            <v>38.242413750000004</v>
          </cell>
          <cell r="G20">
            <v>19.121206875000002</v>
          </cell>
          <cell r="H20">
            <v>22.645245302062502</v>
          </cell>
          <cell r="I20">
            <v>23.901508593750002</v>
          </cell>
          <cell r="J20">
            <v>28.681810312500005</v>
          </cell>
          <cell r="K20">
            <v>38.242413750000004</v>
          </cell>
        </row>
        <row r="21">
          <cell r="A21" t="str">
            <v>3.4</v>
          </cell>
          <cell r="B21">
            <v>19.530380624999999</v>
          </cell>
          <cell r="C21">
            <v>23.129829774187499</v>
          </cell>
          <cell r="D21">
            <v>24.412975781249997</v>
          </cell>
          <cell r="E21">
            <v>29.295570937499999</v>
          </cell>
          <cell r="F21">
            <v>39.060761249999999</v>
          </cell>
          <cell r="G21">
            <v>19.530380624999999</v>
          </cell>
          <cell r="H21">
            <v>23.129829774187499</v>
          </cell>
          <cell r="I21">
            <v>24.412975781249997</v>
          </cell>
          <cell r="J21">
            <v>29.295570937499999</v>
          </cell>
          <cell r="K21">
            <v>39.060761249999999</v>
          </cell>
        </row>
        <row r="22">
          <cell r="A22" t="str">
            <v>3.5</v>
          </cell>
          <cell r="B22">
            <v>19.947324375000001</v>
          </cell>
          <cell r="C22">
            <v>23.623616257312499</v>
          </cell>
          <cell r="D22">
            <v>24.934155468749999</v>
          </cell>
          <cell r="E22">
            <v>29.920986562500001</v>
          </cell>
          <cell r="F22">
            <v>39.894648750000002</v>
          </cell>
          <cell r="G22">
            <v>19.947324375000001</v>
          </cell>
          <cell r="H22">
            <v>23.623616257312499</v>
          </cell>
          <cell r="I22">
            <v>24.934155468749999</v>
          </cell>
          <cell r="J22">
            <v>29.920986562500001</v>
          </cell>
          <cell r="K22">
            <v>39.894648750000002</v>
          </cell>
        </row>
        <row r="23">
          <cell r="A23" t="str">
            <v>3.6</v>
          </cell>
          <cell r="B23">
            <v>20.318480624999999</v>
          </cell>
          <cell r="C23">
            <v>24.063176604187497</v>
          </cell>
          <cell r="D23">
            <v>25.398100781250001</v>
          </cell>
          <cell r="E23">
            <v>30.477720937499999</v>
          </cell>
          <cell r="F23">
            <v>40.636961249999999</v>
          </cell>
          <cell r="G23">
            <v>20.318480624999999</v>
          </cell>
          <cell r="H23">
            <v>24.063176604187497</v>
          </cell>
          <cell r="I23">
            <v>25.398100781250001</v>
          </cell>
          <cell r="J23">
            <v>30.477720937499999</v>
          </cell>
          <cell r="K23">
            <v>40.636961249999999</v>
          </cell>
        </row>
        <row r="24">
          <cell r="A24" t="str">
            <v>3.7</v>
          </cell>
          <cell r="B24">
            <v>20.747773125000002</v>
          </cell>
          <cell r="C24">
            <v>24.5715877119375</v>
          </cell>
          <cell r="D24">
            <v>25.934716406250004</v>
          </cell>
          <cell r="E24">
            <v>31.121659687500003</v>
          </cell>
          <cell r="F24">
            <v>41.495546250000004</v>
          </cell>
          <cell r="G24">
            <v>20.747773125000002</v>
          </cell>
          <cell r="H24">
            <v>24.5715877119375</v>
          </cell>
          <cell r="I24">
            <v>25.934716406250004</v>
          </cell>
          <cell r="J24">
            <v>31.121659687500003</v>
          </cell>
          <cell r="K24">
            <v>41.495546250000004</v>
          </cell>
        </row>
        <row r="25">
          <cell r="A25" t="str">
            <v>3.8</v>
          </cell>
          <cell r="B25">
            <v>21.191634375</v>
          </cell>
          <cell r="C25">
            <v>25.097252590312497</v>
          </cell>
          <cell r="D25">
            <v>26.489542968750001</v>
          </cell>
          <cell r="E25">
            <v>31.787451562499999</v>
          </cell>
          <cell r="F25">
            <v>42.383268749999999</v>
          </cell>
          <cell r="G25">
            <v>21.191634375</v>
          </cell>
          <cell r="H25">
            <v>25.097252590312497</v>
          </cell>
          <cell r="I25">
            <v>26.489542968750001</v>
          </cell>
          <cell r="J25">
            <v>31.787451562499999</v>
          </cell>
          <cell r="K25">
            <v>42.383268749999999</v>
          </cell>
        </row>
        <row r="26">
          <cell r="A26" t="str">
            <v>3.9</v>
          </cell>
          <cell r="B26">
            <v>21.613642500000001</v>
          </cell>
          <cell r="C26">
            <v>25.597036812749998</v>
          </cell>
          <cell r="D26">
            <v>27.017053125</v>
          </cell>
          <cell r="E26">
            <v>32.420463750000003</v>
          </cell>
          <cell r="F26">
            <v>43.227285000000002</v>
          </cell>
          <cell r="G26">
            <v>21.613642500000001</v>
          </cell>
          <cell r="H26">
            <v>25.597036812749998</v>
          </cell>
          <cell r="I26">
            <v>27.017053125</v>
          </cell>
          <cell r="J26">
            <v>32.420463750000003</v>
          </cell>
          <cell r="K26">
            <v>43.227285000000002</v>
          </cell>
        </row>
        <row r="27">
          <cell r="A27" t="str">
            <v>4.0</v>
          </cell>
          <cell r="B27">
            <v>19.654700625</v>
          </cell>
          <cell r="C27">
            <v>23.277061950187498</v>
          </cell>
          <cell r="D27">
            <v>24.568375781250001</v>
          </cell>
          <cell r="E27">
            <v>29.482050937499999</v>
          </cell>
          <cell r="F27">
            <v>39.309401250000001</v>
          </cell>
          <cell r="G27">
            <v>19.654700625</v>
          </cell>
          <cell r="H27">
            <v>23.277061950187498</v>
          </cell>
          <cell r="I27">
            <v>24.568375781250001</v>
          </cell>
          <cell r="J27">
            <v>29.482050937499999</v>
          </cell>
          <cell r="K27">
            <v>39.309401250000001</v>
          </cell>
        </row>
        <row r="28">
          <cell r="A28" t="str">
            <v>4.1</v>
          </cell>
          <cell r="B28">
            <v>20.08323</v>
          </cell>
          <cell r="C28">
            <v>23.784569289</v>
          </cell>
          <cell r="D28">
            <v>25.1040375</v>
          </cell>
          <cell r="E28">
            <v>30.124845000000001</v>
          </cell>
          <cell r="F28">
            <v>40.166460000000001</v>
          </cell>
          <cell r="G28">
            <v>20.08323</v>
          </cell>
          <cell r="H28">
            <v>23.784569289</v>
          </cell>
          <cell r="I28">
            <v>25.1040375</v>
          </cell>
          <cell r="J28">
            <v>30.124845000000001</v>
          </cell>
          <cell r="K28">
            <v>40.166460000000001</v>
          </cell>
        </row>
        <row r="29">
          <cell r="A29" t="str">
            <v>4.2</v>
          </cell>
          <cell r="B29">
            <v>20.511759375</v>
          </cell>
          <cell r="C29">
            <v>24.292076627812499</v>
          </cell>
          <cell r="D29">
            <v>25.63969921875</v>
          </cell>
          <cell r="E29">
            <v>30.767639062500002</v>
          </cell>
          <cell r="F29">
            <v>41.023518750000001</v>
          </cell>
          <cell r="G29">
            <v>20.511759375</v>
          </cell>
          <cell r="H29">
            <v>24.292076627812499</v>
          </cell>
          <cell r="I29">
            <v>25.63969921875</v>
          </cell>
          <cell r="J29">
            <v>30.767639062500002</v>
          </cell>
          <cell r="K29">
            <v>41.023518750000001</v>
          </cell>
        </row>
        <row r="30">
          <cell r="A30" t="str">
            <v>4.3</v>
          </cell>
          <cell r="B30">
            <v>20.948891249999999</v>
          </cell>
          <cell r="C30">
            <v>24.809771907374998</v>
          </cell>
          <cell r="D30">
            <v>26.1861140625</v>
          </cell>
          <cell r="E30">
            <v>31.423336874999997</v>
          </cell>
          <cell r="F30">
            <v>41.897782499999998</v>
          </cell>
          <cell r="G30">
            <v>20.948891249999999</v>
          </cell>
          <cell r="H30">
            <v>24.809771907374998</v>
          </cell>
          <cell r="I30">
            <v>26.1861140625</v>
          </cell>
          <cell r="J30">
            <v>31.423336874999997</v>
          </cell>
          <cell r="K30">
            <v>41.897782499999998</v>
          </cell>
        </row>
        <row r="31">
          <cell r="A31" t="str">
            <v>4.4</v>
          </cell>
          <cell r="B31">
            <v>21.394556250000001</v>
          </cell>
          <cell r="C31">
            <v>25.337572966874998</v>
          </cell>
          <cell r="D31">
            <v>26.743195312499999</v>
          </cell>
          <cell r="E31">
            <v>32.091834375000005</v>
          </cell>
          <cell r="F31">
            <v>42.789112500000002</v>
          </cell>
          <cell r="G31">
            <v>21.394556250000001</v>
          </cell>
          <cell r="H31">
            <v>25.337572966874998</v>
          </cell>
          <cell r="I31">
            <v>26.743195312499999</v>
          </cell>
          <cell r="J31">
            <v>32.091834375000005</v>
          </cell>
          <cell r="K31">
            <v>42.789112500000002</v>
          </cell>
        </row>
        <row r="32">
          <cell r="A32" t="str">
            <v>4.5</v>
          </cell>
          <cell r="B32">
            <v>21.848754374999999</v>
          </cell>
          <cell r="C32">
            <v>25.875479806312498</v>
          </cell>
          <cell r="D32">
            <v>27.310942968749998</v>
          </cell>
          <cell r="E32">
            <v>32.773131562499998</v>
          </cell>
          <cell r="F32">
            <v>43.697508749999997</v>
          </cell>
          <cell r="G32">
            <v>21.848754374999999</v>
          </cell>
          <cell r="H32">
            <v>25.875479806312498</v>
          </cell>
          <cell r="I32">
            <v>27.310942968749998</v>
          </cell>
          <cell r="J32">
            <v>32.773131562499998</v>
          </cell>
          <cell r="K32">
            <v>43.697508749999997</v>
          </cell>
        </row>
        <row r="33">
          <cell r="A33" t="str">
            <v>4.6</v>
          </cell>
          <cell r="B33">
            <v>22.304894999999998</v>
          </cell>
          <cell r="C33">
            <v>26.415687148499995</v>
          </cell>
          <cell r="D33">
            <v>27.881118749999999</v>
          </cell>
          <cell r="E33">
            <v>33.457342499999996</v>
          </cell>
          <cell r="F33">
            <v>44.609789999999997</v>
          </cell>
          <cell r="G33">
            <v>22.304894999999998</v>
          </cell>
          <cell r="H33">
            <v>26.415687148499995</v>
          </cell>
          <cell r="I33">
            <v>27.881118749999999</v>
          </cell>
          <cell r="J33">
            <v>33.457342499999996</v>
          </cell>
          <cell r="K33">
            <v>44.609789999999997</v>
          </cell>
        </row>
        <row r="34">
          <cell r="A34" t="str">
            <v>4.7</v>
          </cell>
          <cell r="B34">
            <v>22.770609374999999</v>
          </cell>
          <cell r="C34">
            <v>26.967232682812497</v>
          </cell>
          <cell r="D34">
            <v>28.463261718749997</v>
          </cell>
          <cell r="E34">
            <v>34.155914062500003</v>
          </cell>
          <cell r="F34">
            <v>45.541218749999999</v>
          </cell>
          <cell r="G34">
            <v>22.770609374999999</v>
          </cell>
          <cell r="H34">
            <v>26.967232682812497</v>
          </cell>
          <cell r="I34">
            <v>28.463261718749997</v>
          </cell>
          <cell r="J34">
            <v>34.155914062500003</v>
          </cell>
          <cell r="K34">
            <v>45.541218749999999</v>
          </cell>
        </row>
        <row r="35">
          <cell r="A35" t="str">
            <v>4.8</v>
          </cell>
          <cell r="B35">
            <v>23.236254374999998</v>
          </cell>
          <cell r="C35">
            <v>27.518696056312496</v>
          </cell>
          <cell r="D35">
            <v>29.045317968749998</v>
          </cell>
          <cell r="E35">
            <v>34.854381562499995</v>
          </cell>
          <cell r="F35">
            <v>46.472508749999996</v>
          </cell>
          <cell r="G35">
            <v>23.236254374999998</v>
          </cell>
          <cell r="H35">
            <v>27.518696056312496</v>
          </cell>
          <cell r="I35">
            <v>29.045317968749998</v>
          </cell>
          <cell r="J35">
            <v>34.854381562499995</v>
          </cell>
          <cell r="K35">
            <v>46.472508749999996</v>
          </cell>
        </row>
        <row r="36">
          <cell r="A36" t="str">
            <v>4.8</v>
          </cell>
          <cell r="B36">
            <v>23.512783124999999</v>
          </cell>
          <cell r="C36">
            <v>27.846189054937497</v>
          </cell>
          <cell r="D36">
            <v>29.390978906249998</v>
          </cell>
          <cell r="E36">
            <v>35.269174687499998</v>
          </cell>
          <cell r="F36">
            <v>47.025566249999997</v>
          </cell>
          <cell r="G36">
            <v>23.512783124999999</v>
          </cell>
          <cell r="H36">
            <v>27.846189054937497</v>
          </cell>
          <cell r="I36">
            <v>29.390978906249998</v>
          </cell>
          <cell r="J36">
            <v>35.269174687499998</v>
          </cell>
          <cell r="K36">
            <v>47.025566249999997</v>
          </cell>
        </row>
        <row r="37">
          <cell r="A37" t="str">
            <v>5.0</v>
          </cell>
          <cell r="B37">
            <v>22.062013125</v>
          </cell>
          <cell r="C37">
            <v>26.128042143937499</v>
          </cell>
          <cell r="D37">
            <v>27.577516406249998</v>
          </cell>
          <cell r="E37">
            <v>33.093019687500004</v>
          </cell>
          <cell r="F37">
            <v>44.12402625</v>
          </cell>
          <cell r="G37">
            <v>22.062013125</v>
          </cell>
          <cell r="H37">
            <v>26.128042143937499</v>
          </cell>
          <cell r="I37">
            <v>27.577516406249998</v>
          </cell>
          <cell r="J37">
            <v>33.093019687500004</v>
          </cell>
          <cell r="K37">
            <v>44.12402625</v>
          </cell>
        </row>
        <row r="38">
          <cell r="A38" t="str">
            <v>5.1</v>
          </cell>
          <cell r="B38">
            <v>22.539660000000001</v>
          </cell>
          <cell r="C38">
            <v>26.693719338000001</v>
          </cell>
          <cell r="D38">
            <v>28.174575000000001</v>
          </cell>
          <cell r="E38">
            <v>33.809490000000004</v>
          </cell>
          <cell r="F38">
            <v>45.079320000000003</v>
          </cell>
          <cell r="G38">
            <v>22.539660000000001</v>
          </cell>
          <cell r="H38">
            <v>26.693719338000001</v>
          </cell>
          <cell r="I38">
            <v>28.174575000000001</v>
          </cell>
          <cell r="J38">
            <v>33.809490000000004</v>
          </cell>
          <cell r="K38">
            <v>45.079320000000003</v>
          </cell>
        </row>
        <row r="39">
          <cell r="A39" t="str">
            <v>5.2</v>
          </cell>
          <cell r="B39">
            <v>23.017376250000002</v>
          </cell>
          <cell r="C39">
            <v>27.259478692875</v>
          </cell>
          <cell r="D39">
            <v>28.771720312500001</v>
          </cell>
          <cell r="E39">
            <v>34.526064375000004</v>
          </cell>
          <cell r="F39">
            <v>46.034752500000003</v>
          </cell>
          <cell r="G39">
            <v>23.017376250000002</v>
          </cell>
          <cell r="H39">
            <v>27.259478692875</v>
          </cell>
          <cell r="I39">
            <v>28.771720312500001</v>
          </cell>
          <cell r="J39">
            <v>34.526064375000004</v>
          </cell>
          <cell r="K39">
            <v>46.034752500000003</v>
          </cell>
        </row>
        <row r="40">
          <cell r="A40" t="str">
            <v>5.3</v>
          </cell>
          <cell r="B40">
            <v>23.504596875000001</v>
          </cell>
          <cell r="C40">
            <v>27.836494079062497</v>
          </cell>
          <cell r="D40">
            <v>29.380746093750002</v>
          </cell>
          <cell r="E40">
            <v>35.256895312499999</v>
          </cell>
          <cell r="F40">
            <v>47.009193750000001</v>
          </cell>
          <cell r="G40">
            <v>23.504596875000001</v>
          </cell>
          <cell r="H40">
            <v>27.836494079062497</v>
          </cell>
          <cell r="I40">
            <v>29.380746093750002</v>
          </cell>
          <cell r="J40">
            <v>35.256895312499999</v>
          </cell>
          <cell r="K40">
            <v>47.009193750000001</v>
          </cell>
        </row>
        <row r="41">
          <cell r="A41" t="str">
            <v>5.4</v>
          </cell>
          <cell r="B41">
            <v>24.001321875000002</v>
          </cell>
          <cell r="C41">
            <v>28.4247654965625</v>
          </cell>
          <cell r="D41">
            <v>30.001652343750003</v>
          </cell>
          <cell r="E41">
            <v>36.001982812500003</v>
          </cell>
          <cell r="F41">
            <v>48.002643750000004</v>
          </cell>
          <cell r="G41">
            <v>24.001321875000002</v>
          </cell>
          <cell r="H41">
            <v>28.4247654965625</v>
          </cell>
          <cell r="I41">
            <v>30.001652343750003</v>
          </cell>
          <cell r="J41">
            <v>36.001982812500003</v>
          </cell>
          <cell r="K41">
            <v>48.002643750000004</v>
          </cell>
        </row>
        <row r="42">
          <cell r="A42" t="str">
            <v>5.5</v>
          </cell>
          <cell r="B42">
            <v>24.507620625000001</v>
          </cell>
          <cell r="C42">
            <v>29.024375106187499</v>
          </cell>
          <cell r="D42">
            <v>30.634525781250002</v>
          </cell>
          <cell r="E42">
            <v>36.761430937500002</v>
          </cell>
          <cell r="F42">
            <v>49.015241250000003</v>
          </cell>
          <cell r="G42">
            <v>24.507620625000001</v>
          </cell>
          <cell r="H42">
            <v>29.024375106187499</v>
          </cell>
          <cell r="I42">
            <v>30.634525781250002</v>
          </cell>
          <cell r="J42">
            <v>36.761430937500002</v>
          </cell>
          <cell r="K42">
            <v>49.015241250000003</v>
          </cell>
        </row>
        <row r="43">
          <cell r="A43" t="str">
            <v>5.6</v>
          </cell>
          <cell r="B43">
            <v>25.025921250000003</v>
          </cell>
          <cell r="C43">
            <v>29.638198536375</v>
          </cell>
          <cell r="D43">
            <v>31.282401562500006</v>
          </cell>
          <cell r="E43">
            <v>37.538881875000001</v>
          </cell>
          <cell r="F43">
            <v>50.051842500000006</v>
          </cell>
          <cell r="G43">
            <v>25.025921250000003</v>
          </cell>
          <cell r="H43">
            <v>29.638198536375</v>
          </cell>
          <cell r="I43">
            <v>31.282401562500006</v>
          </cell>
          <cell r="J43">
            <v>37.538881875000001</v>
          </cell>
          <cell r="K43">
            <v>50.051842500000006</v>
          </cell>
        </row>
        <row r="44">
          <cell r="A44" t="str">
            <v>5.7</v>
          </cell>
          <cell r="B44">
            <v>25.550188124999998</v>
          </cell>
          <cell r="C44">
            <v>30.259087796437495</v>
          </cell>
          <cell r="D44">
            <v>31.93773515625</v>
          </cell>
          <cell r="E44">
            <v>38.325282187499994</v>
          </cell>
          <cell r="F44">
            <v>51.100376249999997</v>
          </cell>
          <cell r="G44">
            <v>25.550188124999998</v>
          </cell>
          <cell r="H44">
            <v>30.259087796437495</v>
          </cell>
          <cell r="I44">
            <v>31.93773515625</v>
          </cell>
          <cell r="J44">
            <v>38.325282187499994</v>
          </cell>
          <cell r="K44">
            <v>51.100376249999997</v>
          </cell>
        </row>
        <row r="45">
          <cell r="A45" t="str">
            <v>6.0</v>
          </cell>
          <cell r="B45">
            <v>24.545360625000001</v>
          </cell>
          <cell r="C45">
            <v>29.069070588187497</v>
          </cell>
          <cell r="D45">
            <v>30.681700781250001</v>
          </cell>
          <cell r="E45">
            <v>36.818040937500001</v>
          </cell>
          <cell r="F45">
            <v>49.090721250000001</v>
          </cell>
          <cell r="G45">
            <v>24.545360625000001</v>
          </cell>
          <cell r="H45">
            <v>29.069070588187497</v>
          </cell>
          <cell r="I45">
            <v>30.681700781250001</v>
          </cell>
          <cell r="J45">
            <v>36.818040937500001</v>
          </cell>
          <cell r="K45">
            <v>49.090721250000001</v>
          </cell>
        </row>
        <row r="46">
          <cell r="A46" t="str">
            <v>6.1</v>
          </cell>
          <cell r="B46">
            <v>25.073720625</v>
          </cell>
          <cell r="C46">
            <v>29.694807336187498</v>
          </cell>
          <cell r="D46">
            <v>31.342150781249998</v>
          </cell>
          <cell r="E46">
            <v>37.610580937500004</v>
          </cell>
          <cell r="F46">
            <v>50.14744125</v>
          </cell>
          <cell r="G46">
            <v>25.073720625</v>
          </cell>
          <cell r="H46">
            <v>29.694807336187498</v>
          </cell>
          <cell r="I46">
            <v>31.342150781249998</v>
          </cell>
          <cell r="J46">
            <v>37.610580937500004</v>
          </cell>
          <cell r="K46">
            <v>50.14744125</v>
          </cell>
        </row>
        <row r="47">
          <cell r="A47" t="str">
            <v>6.2</v>
          </cell>
          <cell r="B47">
            <v>25.602080624999996</v>
          </cell>
          <cell r="C47">
            <v>30.320544084187492</v>
          </cell>
          <cell r="D47">
            <v>32.002600781249996</v>
          </cell>
          <cell r="E47">
            <v>38.403120937499992</v>
          </cell>
          <cell r="F47">
            <v>51.204161249999991</v>
          </cell>
          <cell r="G47">
            <v>25.602080624999996</v>
          </cell>
          <cell r="H47">
            <v>30.320544084187492</v>
          </cell>
          <cell r="I47">
            <v>32.002600781249996</v>
          </cell>
          <cell r="J47">
            <v>38.403120937499992</v>
          </cell>
          <cell r="K47">
            <v>51.204161249999991</v>
          </cell>
        </row>
        <row r="48">
          <cell r="A48" t="str">
            <v>6.3</v>
          </cell>
          <cell r="B48">
            <v>26.140985625000003</v>
          </cell>
          <cell r="C48">
            <v>30.958769275687501</v>
          </cell>
          <cell r="D48">
            <v>32.676232031250002</v>
          </cell>
          <cell r="E48">
            <v>39.211478437500006</v>
          </cell>
          <cell r="F48">
            <v>52.281971250000005</v>
          </cell>
          <cell r="G48">
            <v>26.140985625000003</v>
          </cell>
          <cell r="H48">
            <v>30.958769275687501</v>
          </cell>
          <cell r="I48">
            <v>32.676232031250002</v>
          </cell>
          <cell r="J48">
            <v>39.211478437500006</v>
          </cell>
          <cell r="K48">
            <v>52.281971250000005</v>
          </cell>
        </row>
        <row r="49">
          <cell r="A49" t="str">
            <v>6.4</v>
          </cell>
          <cell r="B49">
            <v>26.690435624999999</v>
          </cell>
          <cell r="C49">
            <v>31.609482910687497</v>
          </cell>
          <cell r="D49">
            <v>33.363044531249997</v>
          </cell>
          <cell r="E49">
            <v>40.035653437500002</v>
          </cell>
          <cell r="F49">
            <v>53.380871249999998</v>
          </cell>
          <cell r="G49">
            <v>26.690435624999999</v>
          </cell>
          <cell r="H49">
            <v>31.609482910687497</v>
          </cell>
          <cell r="I49">
            <v>33.363044531249997</v>
          </cell>
          <cell r="J49">
            <v>40.035653437500002</v>
          </cell>
          <cell r="K49">
            <v>53.380871249999998</v>
          </cell>
        </row>
        <row r="50">
          <cell r="A50" t="str">
            <v>6.5</v>
          </cell>
          <cell r="B50">
            <v>27.250499999999999</v>
          </cell>
          <cell r="C50">
            <v>32.272767149999993</v>
          </cell>
          <cell r="D50">
            <v>34.063124999999999</v>
          </cell>
          <cell r="E50">
            <v>40.875749999999996</v>
          </cell>
          <cell r="F50">
            <v>54.500999999999998</v>
          </cell>
          <cell r="G50">
            <v>27.250499999999999</v>
          </cell>
          <cell r="H50">
            <v>32.272767149999993</v>
          </cell>
          <cell r="I50">
            <v>34.063124999999999</v>
          </cell>
          <cell r="J50">
            <v>40.875749999999996</v>
          </cell>
          <cell r="K50">
            <v>54.500999999999998</v>
          </cell>
        </row>
        <row r="51">
          <cell r="A51" t="str">
            <v>6.6</v>
          </cell>
          <cell r="B51">
            <v>27.823745625000004</v>
          </cell>
          <cell r="C51">
            <v>32.951661943687505</v>
          </cell>
          <cell r="D51">
            <v>34.779682031250005</v>
          </cell>
          <cell r="E51">
            <v>41.735618437500008</v>
          </cell>
          <cell r="F51">
            <v>55.647491250000009</v>
          </cell>
          <cell r="G51">
            <v>27.823745625000004</v>
          </cell>
          <cell r="H51">
            <v>32.951661943687505</v>
          </cell>
          <cell r="I51">
            <v>34.779682031250005</v>
          </cell>
          <cell r="J51">
            <v>41.735618437500008</v>
          </cell>
          <cell r="K51">
            <v>55.647491250000009</v>
          </cell>
        </row>
        <row r="52">
          <cell r="A52" t="str">
            <v>6.7</v>
          </cell>
          <cell r="B52">
            <v>28.407536250000003</v>
          </cell>
          <cell r="C52">
            <v>33.643045180874999</v>
          </cell>
          <cell r="D52">
            <v>35.509420312500005</v>
          </cell>
          <cell r="E52">
            <v>42.611304375000003</v>
          </cell>
          <cell r="F52">
            <v>56.815072500000007</v>
          </cell>
          <cell r="G52">
            <v>28.407536250000003</v>
          </cell>
          <cell r="H52">
            <v>33.643045180874999</v>
          </cell>
          <cell r="I52">
            <v>35.509420312500005</v>
          </cell>
          <cell r="J52">
            <v>42.611304375000003</v>
          </cell>
          <cell r="K52">
            <v>56.815072500000007</v>
          </cell>
        </row>
        <row r="53">
          <cell r="A53" t="str">
            <v>7.0</v>
          </cell>
          <cell r="B53">
            <v>27.003802499999999</v>
          </cell>
          <cell r="C53">
            <v>31.980603300749998</v>
          </cell>
          <cell r="D53">
            <v>33.754753125000001</v>
          </cell>
          <cell r="E53">
            <v>40.505703749999995</v>
          </cell>
          <cell r="F53">
            <v>54.007604999999998</v>
          </cell>
          <cell r="G53">
            <v>27.003802499999999</v>
          </cell>
          <cell r="H53">
            <v>31.980603300749998</v>
          </cell>
          <cell r="I53">
            <v>33.754753125000001</v>
          </cell>
          <cell r="J53">
            <v>40.505703749999995</v>
          </cell>
          <cell r="K53">
            <v>54.007604999999998</v>
          </cell>
        </row>
        <row r="54">
          <cell r="A54" t="str">
            <v>7.1</v>
          </cell>
          <cell r="B54">
            <v>27.582320625000001</v>
          </cell>
          <cell r="C54">
            <v>32.665742316187497</v>
          </cell>
          <cell r="D54">
            <v>34.47790078125</v>
          </cell>
          <cell r="E54">
            <v>41.373480937500005</v>
          </cell>
          <cell r="F54">
            <v>55.164641250000003</v>
          </cell>
          <cell r="G54">
            <v>27.582320625000001</v>
          </cell>
          <cell r="H54">
            <v>32.665742316187497</v>
          </cell>
          <cell r="I54">
            <v>34.47790078125</v>
          </cell>
          <cell r="J54">
            <v>41.373480937500005</v>
          </cell>
          <cell r="K54">
            <v>55.164641250000003</v>
          </cell>
        </row>
        <row r="55">
          <cell r="A55" t="str">
            <v>7.2</v>
          </cell>
          <cell r="B55">
            <v>28.16083875</v>
          </cell>
          <cell r="C55">
            <v>33.350881331624997</v>
          </cell>
          <cell r="D55">
            <v>35.201048437499999</v>
          </cell>
          <cell r="E55">
            <v>42.241258125000002</v>
          </cell>
          <cell r="F55">
            <v>56.3216775</v>
          </cell>
          <cell r="G55">
            <v>28.16083875</v>
          </cell>
          <cell r="H55">
            <v>33.350881331624997</v>
          </cell>
          <cell r="I55">
            <v>35.201048437499999</v>
          </cell>
          <cell r="J55">
            <v>42.241258125000002</v>
          </cell>
          <cell r="K55">
            <v>56.3216775</v>
          </cell>
        </row>
        <row r="56">
          <cell r="A56" t="str">
            <v>7.3</v>
          </cell>
          <cell r="B56">
            <v>28.750942499999997</v>
          </cell>
          <cell r="C56">
            <v>34.049741202749992</v>
          </cell>
          <cell r="D56">
            <v>35.938678124999996</v>
          </cell>
          <cell r="E56">
            <v>43.126413749999998</v>
          </cell>
          <cell r="F56">
            <v>57.501884999999994</v>
          </cell>
          <cell r="G56">
            <v>28.750942499999997</v>
          </cell>
          <cell r="H56">
            <v>34.049741202749992</v>
          </cell>
          <cell r="I56">
            <v>35.938678124999996</v>
          </cell>
          <cell r="J56">
            <v>43.126413749999998</v>
          </cell>
          <cell r="K56">
            <v>57.501884999999994</v>
          </cell>
        </row>
        <row r="57">
          <cell r="A57" t="str">
            <v>7.4</v>
          </cell>
          <cell r="B57">
            <v>29.352631875000004</v>
          </cell>
          <cell r="C57">
            <v>34.762321929562503</v>
          </cell>
          <cell r="D57">
            <v>36.690789843750004</v>
          </cell>
          <cell r="E57">
            <v>44.028947812500007</v>
          </cell>
          <cell r="F57">
            <v>58.705263750000007</v>
          </cell>
          <cell r="G57">
            <v>29.352631875000004</v>
          </cell>
          <cell r="H57">
            <v>34.762321929562503</v>
          </cell>
          <cell r="I57">
            <v>36.690789843750004</v>
          </cell>
          <cell r="J57">
            <v>44.028947812500007</v>
          </cell>
          <cell r="K57">
            <v>58.705263750000007</v>
          </cell>
        </row>
        <row r="58">
          <cell r="A58" t="str">
            <v>7.5</v>
          </cell>
          <cell r="B58">
            <v>29.965837499999999</v>
          </cell>
          <cell r="C58">
            <v>35.488541351249999</v>
          </cell>
          <cell r="D58">
            <v>37.457296874999997</v>
          </cell>
          <cell r="E58">
            <v>44.948756250000002</v>
          </cell>
          <cell r="F58">
            <v>59.931674999999998</v>
          </cell>
          <cell r="G58">
            <v>29.965837499999999</v>
          </cell>
          <cell r="H58">
            <v>35.488541351249999</v>
          </cell>
          <cell r="I58">
            <v>37.457296874999997</v>
          </cell>
          <cell r="J58">
            <v>44.948756250000002</v>
          </cell>
          <cell r="K58">
            <v>59.931674999999998</v>
          </cell>
        </row>
        <row r="59">
          <cell r="A59" t="str">
            <v>7.6</v>
          </cell>
          <cell r="B59">
            <v>30.593542500000002</v>
          </cell>
          <cell r="C59">
            <v>36.231932382749996</v>
          </cell>
          <cell r="D59">
            <v>38.241928125000001</v>
          </cell>
          <cell r="E59">
            <v>45.890313750000004</v>
          </cell>
          <cell r="F59">
            <v>61.187085000000003</v>
          </cell>
          <cell r="G59">
            <v>30.593542500000002</v>
          </cell>
          <cell r="H59">
            <v>36.231932382749996</v>
          </cell>
          <cell r="I59">
            <v>38.241928125000001</v>
          </cell>
          <cell r="J59">
            <v>45.890313750000004</v>
          </cell>
          <cell r="K59">
            <v>61.187085000000003</v>
          </cell>
        </row>
        <row r="60">
          <cell r="A60" t="str">
            <v>7.7</v>
          </cell>
          <cell r="B60">
            <v>31.232694375000001</v>
          </cell>
          <cell r="C60">
            <v>36.988879948312501</v>
          </cell>
          <cell r="D60">
            <v>39.04086796875</v>
          </cell>
          <cell r="E60">
            <v>46.849041562500005</v>
          </cell>
          <cell r="F60">
            <v>62.465388750000002</v>
          </cell>
          <cell r="G60">
            <v>31.232694375000001</v>
          </cell>
          <cell r="H60">
            <v>36.988879948312501</v>
          </cell>
          <cell r="I60">
            <v>39.04086796875</v>
          </cell>
          <cell r="J60">
            <v>46.849041562500005</v>
          </cell>
          <cell r="K60">
            <v>62.465388750000002</v>
          </cell>
        </row>
        <row r="61">
          <cell r="A61" t="str">
            <v>8.0</v>
          </cell>
          <cell r="B61">
            <v>29.560479375</v>
          </cell>
          <cell r="C61">
            <v>35.008475723812495</v>
          </cell>
          <cell r="D61">
            <v>36.95059921875</v>
          </cell>
          <cell r="E61">
            <v>44.3407190625</v>
          </cell>
          <cell r="F61">
            <v>59.12095875</v>
          </cell>
          <cell r="G61">
            <v>29.560479375</v>
          </cell>
          <cell r="H61">
            <v>35.008475723812495</v>
          </cell>
          <cell r="I61">
            <v>36.95059921875</v>
          </cell>
          <cell r="J61">
            <v>44.3407190625</v>
          </cell>
          <cell r="K61">
            <v>59.12095875</v>
          </cell>
        </row>
        <row r="62">
          <cell r="A62" t="str">
            <v>8.1</v>
          </cell>
          <cell r="B62">
            <v>30.191167499999999</v>
          </cell>
          <cell r="C62">
            <v>35.755399670249993</v>
          </cell>
          <cell r="D62">
            <v>37.738959375</v>
          </cell>
          <cell r="E62">
            <v>45.286751249999995</v>
          </cell>
          <cell r="F62">
            <v>60.382334999999998</v>
          </cell>
          <cell r="G62">
            <v>30.191167499999999</v>
          </cell>
          <cell r="H62">
            <v>35.755399670249993</v>
          </cell>
          <cell r="I62">
            <v>37.738959375</v>
          </cell>
          <cell r="J62">
            <v>45.286751249999995</v>
          </cell>
          <cell r="K62">
            <v>60.382334999999998</v>
          </cell>
        </row>
        <row r="63">
          <cell r="A63" t="str">
            <v>8.2</v>
          </cell>
          <cell r="B63">
            <v>30.821855625000001</v>
          </cell>
          <cell r="C63">
            <v>36.502323616687498</v>
          </cell>
          <cell r="D63">
            <v>38.527319531250001</v>
          </cell>
          <cell r="E63">
            <v>46.232783437500004</v>
          </cell>
          <cell r="F63">
            <v>61.643711250000003</v>
          </cell>
          <cell r="G63">
            <v>30.821855625000001</v>
          </cell>
          <cell r="H63">
            <v>36.502323616687498</v>
          </cell>
          <cell r="I63">
            <v>38.527319531250001</v>
          </cell>
          <cell r="J63">
            <v>46.232783437500004</v>
          </cell>
          <cell r="K63">
            <v>61.643711250000003</v>
          </cell>
        </row>
        <row r="64">
          <cell r="A64" t="str">
            <v>8.3</v>
          </cell>
          <cell r="B64">
            <v>31.465170000000001</v>
          </cell>
          <cell r="C64">
            <v>37.264200830999997</v>
          </cell>
          <cell r="D64">
            <v>39.331462500000001</v>
          </cell>
          <cell r="E64">
            <v>47.197755000000001</v>
          </cell>
          <cell r="F64">
            <v>62.930340000000001</v>
          </cell>
          <cell r="G64">
            <v>31.465170000000001</v>
          </cell>
          <cell r="H64">
            <v>37.264200830999997</v>
          </cell>
          <cell r="I64">
            <v>39.331462500000001</v>
          </cell>
          <cell r="J64">
            <v>47.197755000000001</v>
          </cell>
          <cell r="K64">
            <v>62.930340000000001</v>
          </cell>
        </row>
        <row r="65">
          <cell r="A65" t="str">
            <v>8.4</v>
          </cell>
          <cell r="B65">
            <v>32.121110625</v>
          </cell>
          <cell r="C65">
            <v>38.041031313187496</v>
          </cell>
          <cell r="D65">
            <v>40.15138828125</v>
          </cell>
          <cell r="E65">
            <v>48.1816659375</v>
          </cell>
          <cell r="F65">
            <v>64.24222125</v>
          </cell>
          <cell r="G65">
            <v>32.121110625</v>
          </cell>
          <cell r="H65">
            <v>38.041031313187496</v>
          </cell>
          <cell r="I65">
            <v>40.15138828125</v>
          </cell>
          <cell r="J65">
            <v>48.1816659375</v>
          </cell>
          <cell r="K65">
            <v>64.24222125</v>
          </cell>
        </row>
        <row r="66">
          <cell r="A66" t="str">
            <v>8.5</v>
          </cell>
          <cell r="B66">
            <v>32.789608125000001</v>
          </cell>
          <cell r="C66">
            <v>38.832732902437499</v>
          </cell>
          <cell r="D66">
            <v>40.987010156250001</v>
          </cell>
          <cell r="E66">
            <v>49.184412187500001</v>
          </cell>
          <cell r="F66">
            <v>65.579216250000002</v>
          </cell>
          <cell r="G66">
            <v>32.789608125000001</v>
          </cell>
          <cell r="H66">
            <v>38.832732902437499</v>
          </cell>
          <cell r="I66">
            <v>40.987010156250001</v>
          </cell>
          <cell r="J66">
            <v>49.184412187500001</v>
          </cell>
          <cell r="K66">
            <v>65.579216250000002</v>
          </cell>
        </row>
        <row r="67">
          <cell r="A67" t="str">
            <v>8.6</v>
          </cell>
          <cell r="B67">
            <v>33.473923124999999</v>
          </cell>
          <cell r="C67">
            <v>39.643167156937494</v>
          </cell>
          <cell r="D67">
            <v>41.842403906249999</v>
          </cell>
          <cell r="E67">
            <v>50.210884687499998</v>
          </cell>
          <cell r="F67">
            <v>66.947846249999998</v>
          </cell>
          <cell r="G67">
            <v>33.473923124999999</v>
          </cell>
          <cell r="H67">
            <v>39.643167156937494</v>
          </cell>
          <cell r="I67">
            <v>41.842403906249999</v>
          </cell>
          <cell r="J67">
            <v>50.210884687499998</v>
          </cell>
          <cell r="K67">
            <v>66.947846249999998</v>
          </cell>
        </row>
        <row r="68">
          <cell r="A68" t="str">
            <v>8.7</v>
          </cell>
          <cell r="B68">
            <v>34.170864374999994</v>
          </cell>
          <cell r="C68">
            <v>40.46855467931249</v>
          </cell>
          <cell r="D68">
            <v>42.713580468749996</v>
          </cell>
          <cell r="E68">
            <v>51.25629656249999</v>
          </cell>
          <cell r="F68">
            <v>68.341728749999987</v>
          </cell>
          <cell r="G68">
            <v>34.170864374999994</v>
          </cell>
          <cell r="H68">
            <v>40.46855467931249</v>
          </cell>
          <cell r="I68">
            <v>42.713580468749996</v>
          </cell>
          <cell r="J68">
            <v>51.25629656249999</v>
          </cell>
          <cell r="K68">
            <v>68.341728749999987</v>
          </cell>
        </row>
        <row r="69">
          <cell r="A69" t="str">
            <v>8.8</v>
          </cell>
          <cell r="B69">
            <v>34.880362500000004</v>
          </cell>
          <cell r="C69">
            <v>41.308813308750004</v>
          </cell>
          <cell r="D69">
            <v>43.600453125000001</v>
          </cell>
          <cell r="E69">
            <v>52.320543750000006</v>
          </cell>
          <cell r="F69">
            <v>69.760725000000008</v>
          </cell>
          <cell r="G69">
            <v>34.880362500000004</v>
          </cell>
          <cell r="H69">
            <v>41.308813308750004</v>
          </cell>
          <cell r="I69">
            <v>43.600453125000001</v>
          </cell>
          <cell r="J69">
            <v>52.320543750000006</v>
          </cell>
          <cell r="K69">
            <v>69.760725000000008</v>
          </cell>
        </row>
        <row r="70">
          <cell r="A70" t="str">
            <v>9.0</v>
          </cell>
          <cell r="B70">
            <v>31.309076250000004</v>
          </cell>
          <cell r="C70">
            <v>37.079339002875003</v>
          </cell>
          <cell r="D70">
            <v>39.136345312500005</v>
          </cell>
          <cell r="E70">
            <v>46.963614375000006</v>
          </cell>
          <cell r="F70">
            <v>62.618152500000008</v>
          </cell>
          <cell r="G70">
            <v>31.309076250000004</v>
          </cell>
          <cell r="H70">
            <v>37.079339002875003</v>
          </cell>
          <cell r="I70">
            <v>39.136345312500005</v>
          </cell>
          <cell r="J70">
            <v>46.963614375000006</v>
          </cell>
          <cell r="K70">
            <v>62.618152500000008</v>
          </cell>
        </row>
        <row r="71">
          <cell r="A71" t="str">
            <v>9.1</v>
          </cell>
          <cell r="B71">
            <v>31.935324375</v>
          </cell>
          <cell r="C71">
            <v>37.8210046573125</v>
          </cell>
          <cell r="D71">
            <v>39.919155468749999</v>
          </cell>
          <cell r="E71">
            <v>47.902986562500004</v>
          </cell>
          <cell r="F71">
            <v>63.870648750000001</v>
          </cell>
          <cell r="G71">
            <v>31.935324375</v>
          </cell>
          <cell r="H71">
            <v>37.8210046573125</v>
          </cell>
          <cell r="I71">
            <v>39.919155468749999</v>
          </cell>
          <cell r="J71">
            <v>47.902986562500004</v>
          </cell>
          <cell r="K71">
            <v>63.870648750000001</v>
          </cell>
        </row>
        <row r="72">
          <cell r="A72" t="str">
            <v>9.2</v>
          </cell>
          <cell r="B72">
            <v>32.573990625000008</v>
          </cell>
          <cell r="C72">
            <v>38.577377097187508</v>
          </cell>
          <cell r="D72">
            <v>40.717488281250013</v>
          </cell>
          <cell r="E72">
            <v>48.860985937500011</v>
          </cell>
          <cell r="F72">
            <v>65.147981250000015</v>
          </cell>
          <cell r="G72">
            <v>32.573990625000008</v>
          </cell>
          <cell r="H72">
            <v>38.577377097187508</v>
          </cell>
          <cell r="I72">
            <v>40.717488281250013</v>
          </cell>
          <cell r="J72">
            <v>48.860985937500011</v>
          </cell>
          <cell r="K72">
            <v>65.147981250000015</v>
          </cell>
        </row>
        <row r="73">
          <cell r="A73" t="str">
            <v>9.3</v>
          </cell>
          <cell r="B73">
            <v>33.225491250000005</v>
          </cell>
          <cell r="C73">
            <v>39.348949287375</v>
          </cell>
          <cell r="D73">
            <v>41.531864062500006</v>
          </cell>
          <cell r="E73">
            <v>49.838236875000007</v>
          </cell>
          <cell r="F73">
            <v>66.450982500000009</v>
          </cell>
          <cell r="G73">
            <v>33.225491250000005</v>
          </cell>
          <cell r="H73">
            <v>39.348949287375</v>
          </cell>
          <cell r="I73">
            <v>41.531864062500006</v>
          </cell>
          <cell r="J73">
            <v>49.838236875000007</v>
          </cell>
          <cell r="K73">
            <v>66.450982500000009</v>
          </cell>
        </row>
        <row r="74">
          <cell r="A74" t="str">
            <v>9.4</v>
          </cell>
          <cell r="B74">
            <v>33.889965000000004</v>
          </cell>
          <cell r="C74">
            <v>40.135885549500003</v>
          </cell>
          <cell r="D74">
            <v>42.362456250000008</v>
          </cell>
          <cell r="E74">
            <v>50.834947500000006</v>
          </cell>
          <cell r="F74">
            <v>67.779930000000007</v>
          </cell>
          <cell r="G74">
            <v>33.889965000000004</v>
          </cell>
          <cell r="H74">
            <v>40.135885549500003</v>
          </cell>
          <cell r="I74">
            <v>42.362456250000008</v>
          </cell>
          <cell r="J74">
            <v>50.834947500000006</v>
          </cell>
          <cell r="K74">
            <v>67.779930000000007</v>
          </cell>
        </row>
        <row r="75">
          <cell r="A75" t="str">
            <v>9.5</v>
          </cell>
          <cell r="B75">
            <v>34.567758749999996</v>
          </cell>
          <cell r="C75">
            <v>40.938596687624994</v>
          </cell>
          <cell r="D75">
            <v>43.209698437499995</v>
          </cell>
          <cell r="E75">
            <v>51.851638124999994</v>
          </cell>
          <cell r="F75">
            <v>69.135517499999992</v>
          </cell>
          <cell r="G75">
            <v>34.567758749999996</v>
          </cell>
          <cell r="H75">
            <v>40.938596687624994</v>
          </cell>
          <cell r="I75">
            <v>43.209698437499995</v>
          </cell>
          <cell r="J75">
            <v>51.851638124999994</v>
          </cell>
          <cell r="K75">
            <v>69.135517499999992</v>
          </cell>
        </row>
        <row r="76">
          <cell r="A76" t="str">
            <v>9.6</v>
          </cell>
          <cell r="B76">
            <v>35.259149999999998</v>
          </cell>
          <cell r="C76">
            <v>41.757411344999994</v>
          </cell>
          <cell r="D76">
            <v>44.0739375</v>
          </cell>
          <cell r="E76">
            <v>52.888724999999994</v>
          </cell>
          <cell r="F76">
            <v>70.518299999999996</v>
          </cell>
          <cell r="G76">
            <v>35.259149999999998</v>
          </cell>
          <cell r="H76">
            <v>41.757411344999994</v>
          </cell>
          <cell r="I76">
            <v>44.0739375</v>
          </cell>
          <cell r="J76">
            <v>52.888724999999994</v>
          </cell>
          <cell r="K76">
            <v>70.518299999999996</v>
          </cell>
        </row>
        <row r="77">
          <cell r="A77" t="str">
            <v>9.7</v>
          </cell>
          <cell r="B77">
            <v>35.964346875000004</v>
          </cell>
          <cell r="C77">
            <v>42.592576004062501</v>
          </cell>
          <cell r="D77">
            <v>44.955433593750001</v>
          </cell>
          <cell r="E77">
            <v>53.946520312500006</v>
          </cell>
          <cell r="F77">
            <v>71.928693750000008</v>
          </cell>
          <cell r="G77">
            <v>35.964346875000004</v>
          </cell>
          <cell r="H77">
            <v>42.592576004062501</v>
          </cell>
          <cell r="I77">
            <v>44.955433593750001</v>
          </cell>
          <cell r="J77">
            <v>53.946520312500006</v>
          </cell>
          <cell r="K77">
            <v>71.928693750000008</v>
          </cell>
        </row>
        <row r="78">
          <cell r="A78" t="str">
            <v>9.8</v>
          </cell>
          <cell r="B78">
            <v>36.683626875000002</v>
          </cell>
          <cell r="C78">
            <v>43.4444193080625</v>
          </cell>
          <cell r="D78">
            <v>45.854533593750006</v>
          </cell>
          <cell r="E78">
            <v>55.025440312500002</v>
          </cell>
          <cell r="F78">
            <v>73.367253750000003</v>
          </cell>
          <cell r="G78">
            <v>36.683626875000002</v>
          </cell>
          <cell r="H78">
            <v>43.4444193080625</v>
          </cell>
          <cell r="I78">
            <v>45.854533593750006</v>
          </cell>
          <cell r="J78">
            <v>55.025440312500002</v>
          </cell>
          <cell r="K78">
            <v>73.367253750000003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even"/>
      <sheetName val="Kortingen"/>
      <sheetName val="projectsheet"/>
      <sheetName val="Lokaal"/>
      <sheetName val="Buiten Regio"/>
      <sheetName val="Internet"/>
      <sheetName val="Mobiel"/>
      <sheetName val="Overall-trans"/>
      <sheetName val="InternetAWI"/>
    </sheetNames>
    <sheetDataSet>
      <sheetData sheetId="0" refreshError="1"/>
      <sheetData sheetId="1" refreshError="1"/>
      <sheetData sheetId="2" refreshError="1">
        <row r="13">
          <cell r="C13">
            <v>0.47</v>
          </cell>
        </row>
        <row r="14">
          <cell r="C14">
            <v>0.3</v>
          </cell>
        </row>
        <row r="15">
          <cell r="C15">
            <v>0.08</v>
          </cell>
        </row>
        <row r="16">
          <cell r="C16">
            <v>0.08</v>
          </cell>
        </row>
        <row r="17">
          <cell r="C17">
            <v>0.05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naire"/>
      <sheetName val="Main"/>
      <sheetName val="Graphs"/>
      <sheetName val="Scenarios"/>
      <sheetName val="Trafficlight"/>
      <sheetName val="CALCULATIONS"/>
      <sheetName val="Module2"/>
      <sheetName val="Module4"/>
      <sheetName val="Module1"/>
      <sheetName val="Module3"/>
      <sheetName val="Module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jsten"/>
      <sheetName val="Invultoelichting"/>
      <sheetName val="Algemene gegevens inschrijver"/>
      <sheetName val="Oppervlakten"/>
      <sheetName val="Sanitair"/>
      <sheetName val="CWS-Sanitair"/>
      <sheetName val="CWS-Productspecs "/>
      <sheetName val="CWS-Condities"/>
      <sheetName val="Vendor-Sanitair"/>
      <sheetName val="RECAP TOTAAL"/>
      <sheetName val="Glasbewassing"/>
      <sheetName val="Glas (INT)"/>
      <sheetName val="Glas (HK)"/>
      <sheetName val="Glas (REG)"/>
      <sheetName val="NvI TMG"/>
      <sheetName val="Locatiekenmerken 2019_v2"/>
      <sheetName val="Schoonmaak"/>
      <sheetName val="Recap  HK"/>
      <sheetName val="CALC HK"/>
      <sheetName val="CALC VLR HK"/>
      <sheetName val="Indicatieve afroepprijzen"/>
      <sheetName val="CAO Hago"/>
      <sheetName val="normblad HK"/>
      <sheetName val="Ruimtestaat HK"/>
      <sheetName val="Toelichting ruimtestaat"/>
      <sheetName val="Recap  REG"/>
      <sheetName val="CALC REG"/>
      <sheetName val="VLR_REG"/>
      <sheetName val="normblad REG"/>
      <sheetName val="CAO Eff (regio)"/>
      <sheetName val="Hygiëne containers en matten"/>
      <sheetName val="Uurtarieven"/>
      <sheetName val="Percentages"/>
      <sheetName val="Toeslagen"/>
      <sheetName val="Uurlon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">
          <cell r="A9" t="str">
            <v>Den Helder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opbouw"/>
      <sheetName val="Investering machines"/>
      <sheetName val="Afroepprijzen 2003"/>
      <sheetName val="Toelichting ruimtestaat"/>
      <sheetName val="PROGR"/>
      <sheetName val="Productienorm-Kengetal"/>
      <sheetName val="Blad1"/>
      <sheetName val="Ruimtestaat"/>
      <sheetName val="BLAD JAARPRIJS"/>
      <sheetName val="GEBOUW INFORM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imtestaat "/>
      <sheetName val="120523 Ruimtestaat Avenier1.0"/>
      <sheetName val="120523%20Ruimtestaat%20Avenier1"/>
    </sheetNames>
    <definedNames>
      <definedName name="sbhah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W Gunning"/>
      <sheetName val="NAW Opzegging"/>
      <sheetName val="Mutaties Opzegging emis - ISS"/>
      <sheetName val="SSC"/>
    </sheetNames>
    <sheetDataSet>
      <sheetData sheetId="0" refreshError="1"/>
      <sheetData sheetId="1" refreshError="1"/>
      <sheetData sheetId="2" refreshError="1"/>
      <sheetData sheetId="3">
        <row r="2">
          <cell r="P2" t="str">
            <v>ontvangen en juist</v>
          </cell>
        </row>
        <row r="3">
          <cell r="P3" t="str">
            <v>ontvangen maar onjuist</v>
          </cell>
        </row>
        <row r="5">
          <cell r="P5" t="str">
            <v>niets ontvangen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blad"/>
      <sheetName val="Opnameformulier VW"/>
      <sheetName val="Opnameformulier BRT"/>
      <sheetName val="Leveringen"/>
      <sheetName val="Opnameformulier LV"/>
      <sheetName val="Offerte teksten"/>
      <sheetName val="bijzonderheden"/>
      <sheetName val="Ruimtesoort"/>
      <sheetName val="Uitgangspunten"/>
      <sheetName val="Opnameformulier_VW"/>
      <sheetName val="Opnameformulier_BRT"/>
      <sheetName val="Opnameformulier_LV"/>
      <sheetName val="Offerte_tek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Nummers"/>
      <sheetName val="Menu"/>
      <sheetName val="Tijdnormen"/>
      <sheetName val="Frekwenties"/>
      <sheetName val="Vloeren"/>
      <sheetName val="Uitgangspunten"/>
      <sheetName val="Blad3 (3)"/>
      <sheetName val="Blad3 (2)"/>
      <sheetName val="Blad2"/>
      <sheetName val="Blad3"/>
      <sheetName val="Blad4"/>
      <sheetName val="Blad3_(3)"/>
      <sheetName val="Blad3_(2)"/>
      <sheetName val="hiddenSheet"/>
      <sheetName val="dv_info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Blad3_(3)1"/>
      <sheetName val="Blad3_(2)1"/>
      <sheetName val="Kalender_(2)"/>
      <sheetName val="01_255"/>
      <sheetName val="02_255"/>
      <sheetName val="04_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>
        <row r="1">
          <cell r="A1" t="str">
            <v>RUIMTESOORT</v>
          </cell>
          <cell r="B1" t="str">
            <v>Artikel</v>
          </cell>
          <cell r="C1" t="str">
            <v xml:space="preserve">Standaard </v>
          </cell>
          <cell r="D1" t="str">
            <v>Freq.</v>
          </cell>
          <cell r="E1" t="str">
            <v>NORM</v>
          </cell>
          <cell r="F1" t="str">
            <v>Freq.</v>
          </cell>
          <cell r="G1" t="str">
            <v>NORM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</row>
        <row r="2">
          <cell r="B2" t="str">
            <v>SAP</v>
          </cell>
          <cell r="C2" t="str">
            <v>Tarief</v>
          </cell>
          <cell r="D2" t="str">
            <v>5/w</v>
          </cell>
          <cell r="F2" t="str">
            <v>4/w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1/m</v>
          </cell>
        </row>
        <row r="3">
          <cell r="A3" t="str">
            <v>VERKEERSRUIMTEN</v>
          </cell>
          <cell r="C3">
            <v>19.46</v>
          </cell>
          <cell r="D3" t="str">
            <v>&gt;210</v>
          </cell>
          <cell r="E3">
            <v>450</v>
          </cell>
          <cell r="F3" t="str">
            <v>&gt;184:&lt;210</v>
          </cell>
          <cell r="G3">
            <v>417</v>
          </cell>
          <cell r="H3" t="str">
            <v>&gt;138:&lt;184</v>
          </cell>
          <cell r="I3">
            <v>402</v>
          </cell>
          <cell r="J3" t="str">
            <v>&gt;92:&lt;138</v>
          </cell>
          <cell r="K3">
            <v>388</v>
          </cell>
          <cell r="L3" t="str">
            <v>&gt;46:&lt;92</v>
          </cell>
          <cell r="M3">
            <v>375</v>
          </cell>
          <cell r="N3" t="str">
            <v>&gt;26:&lt;46</v>
          </cell>
          <cell r="O3">
            <v>360</v>
          </cell>
          <cell r="P3" t="str">
            <v>&gt;1:&lt;26</v>
          </cell>
          <cell r="Q3">
            <v>205</v>
          </cell>
        </row>
        <row r="4">
          <cell r="A4" t="str">
            <v>WERKRUIMTEN</v>
          </cell>
          <cell r="C4">
            <v>19.46</v>
          </cell>
          <cell r="D4" t="str">
            <v>&gt;210</v>
          </cell>
          <cell r="E4">
            <v>360</v>
          </cell>
          <cell r="F4" t="str">
            <v>&gt;184:&lt;210</v>
          </cell>
          <cell r="G4">
            <v>333</v>
          </cell>
          <cell r="H4" t="str">
            <v>&gt;138:&lt;184</v>
          </cell>
          <cell r="I4">
            <v>321</v>
          </cell>
          <cell r="J4" t="str">
            <v>&gt;92:&lt;138</v>
          </cell>
          <cell r="K4">
            <v>310</v>
          </cell>
          <cell r="L4" t="str">
            <v>&gt;46:&lt;92</v>
          </cell>
          <cell r="M4">
            <v>300</v>
          </cell>
          <cell r="N4" t="str">
            <v>&gt;26:&lt;46</v>
          </cell>
          <cell r="O4">
            <v>288</v>
          </cell>
          <cell r="P4" t="str">
            <v>&gt;1:&lt;26</v>
          </cell>
          <cell r="Q4">
            <v>164</v>
          </cell>
        </row>
        <row r="5">
          <cell r="A5" t="str">
            <v>SANITAIRERUIMTEN</v>
          </cell>
          <cell r="C5">
            <v>19.46</v>
          </cell>
          <cell r="D5" t="str">
            <v>&gt;210</v>
          </cell>
          <cell r="E5">
            <v>80</v>
          </cell>
          <cell r="F5" t="str">
            <v>&gt;184:&lt;210</v>
          </cell>
          <cell r="G5">
            <v>74</v>
          </cell>
          <cell r="H5" t="str">
            <v>&gt;138:&lt;184</v>
          </cell>
          <cell r="I5">
            <v>71</v>
          </cell>
          <cell r="J5" t="str">
            <v>&gt;92:&lt;138</v>
          </cell>
          <cell r="K5">
            <v>69</v>
          </cell>
          <cell r="L5" t="str">
            <v>&gt;46:&lt;92</v>
          </cell>
          <cell r="M5">
            <v>67</v>
          </cell>
          <cell r="N5" t="str">
            <v>&gt;26:&lt;46</v>
          </cell>
          <cell r="O5">
            <v>64</v>
          </cell>
          <cell r="P5" t="str">
            <v>&gt;1:&lt;26</v>
          </cell>
          <cell r="Q5">
            <v>36</v>
          </cell>
        </row>
        <row r="6">
          <cell r="A6" t="str">
            <v>PRODUCTIERUIMTEN</v>
          </cell>
          <cell r="C6">
            <v>19.46</v>
          </cell>
          <cell r="D6" t="str">
            <v>&gt;210</v>
          </cell>
          <cell r="E6">
            <v>290</v>
          </cell>
          <cell r="F6" t="str">
            <v>&gt;184:&lt;210</v>
          </cell>
          <cell r="G6">
            <v>269</v>
          </cell>
          <cell r="H6" t="str">
            <v>&gt;138:&lt;184</v>
          </cell>
          <cell r="I6">
            <v>259</v>
          </cell>
          <cell r="J6" t="str">
            <v>&gt;92:&lt;138</v>
          </cell>
          <cell r="K6">
            <v>250</v>
          </cell>
          <cell r="L6" t="str">
            <v>&gt;46:&lt;92</v>
          </cell>
          <cell r="M6">
            <v>242</v>
          </cell>
          <cell r="N6" t="str">
            <v>&gt;26:&lt;46</v>
          </cell>
          <cell r="O6">
            <v>232</v>
          </cell>
          <cell r="P6" t="str">
            <v>&gt;1:&lt;26</v>
          </cell>
          <cell r="Q6">
            <v>132</v>
          </cell>
        </row>
        <row r="7">
          <cell r="A7" t="str">
            <v>OVERIGERUIMTEN</v>
          </cell>
          <cell r="C7">
            <v>19.46</v>
          </cell>
          <cell r="D7" t="str">
            <v>&gt;210</v>
          </cell>
          <cell r="E7">
            <v>550</v>
          </cell>
          <cell r="F7" t="str">
            <v>&gt;184:&lt;210</v>
          </cell>
          <cell r="G7">
            <v>509</v>
          </cell>
          <cell r="H7" t="str">
            <v>&gt;138:&lt;184</v>
          </cell>
          <cell r="I7">
            <v>491</v>
          </cell>
          <cell r="J7" t="str">
            <v>&gt;92:&lt;138</v>
          </cell>
          <cell r="K7">
            <v>474</v>
          </cell>
          <cell r="L7" t="str">
            <v>&gt;46:&lt;92</v>
          </cell>
          <cell r="M7">
            <v>458</v>
          </cell>
          <cell r="N7" t="str">
            <v>&gt;26:&lt;46</v>
          </cell>
          <cell r="O7">
            <v>440</v>
          </cell>
          <cell r="P7" t="str">
            <v>&gt;1:&lt;26</v>
          </cell>
          <cell r="Q7">
            <v>250</v>
          </cell>
        </row>
        <row r="8">
          <cell r="A8" t="str">
            <v>GEM.RUIMTEN &gt;200&lt;500 m²</v>
          </cell>
          <cell r="C8">
            <v>19.46</v>
          </cell>
          <cell r="D8" t="str">
            <v>&gt;210</v>
          </cell>
          <cell r="E8">
            <v>310</v>
          </cell>
          <cell r="F8" t="str">
            <v>&gt;184:&lt;210</v>
          </cell>
          <cell r="G8">
            <v>287</v>
          </cell>
          <cell r="H8" t="str">
            <v>&gt;138:&lt;184</v>
          </cell>
          <cell r="I8">
            <v>277</v>
          </cell>
          <cell r="J8" t="str">
            <v>&gt;92:&lt;138</v>
          </cell>
          <cell r="K8">
            <v>267</v>
          </cell>
          <cell r="L8" t="str">
            <v>&gt;46:&lt;92</v>
          </cell>
          <cell r="M8">
            <v>258</v>
          </cell>
          <cell r="N8" t="str">
            <v>&gt;26:&lt;46</v>
          </cell>
          <cell r="O8">
            <v>248</v>
          </cell>
          <cell r="P8" t="str">
            <v>&gt;1:&lt;26</v>
          </cell>
          <cell r="Q8">
            <v>141</v>
          </cell>
        </row>
        <row r="9">
          <cell r="G9">
            <v>0</v>
          </cell>
          <cell r="I9">
            <v>0</v>
          </cell>
          <cell r="K9">
            <v>0</v>
          </cell>
          <cell r="M9">
            <v>0</v>
          </cell>
          <cell r="O9">
            <v>0</v>
          </cell>
          <cell r="Q9">
            <v>0</v>
          </cell>
        </row>
        <row r="10">
          <cell r="G10">
            <v>0</v>
          </cell>
          <cell r="I10">
            <v>0</v>
          </cell>
          <cell r="K10">
            <v>0</v>
          </cell>
          <cell r="M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I11">
            <v>0</v>
          </cell>
          <cell r="K11">
            <v>0</v>
          </cell>
          <cell r="M11">
            <v>0</v>
          </cell>
          <cell r="O11">
            <v>0</v>
          </cell>
          <cell r="Q11">
            <v>0</v>
          </cell>
        </row>
        <row r="12">
          <cell r="G12">
            <v>0</v>
          </cell>
          <cell r="I12">
            <v>0</v>
          </cell>
          <cell r="K12">
            <v>0</v>
          </cell>
          <cell r="M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I13">
            <v>0</v>
          </cell>
          <cell r="K13">
            <v>0</v>
          </cell>
          <cell r="M13">
            <v>0</v>
          </cell>
          <cell r="O13">
            <v>0</v>
          </cell>
          <cell r="Q13">
            <v>0</v>
          </cell>
        </row>
        <row r="14"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</row>
        <row r="15">
          <cell r="G15">
            <v>0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</row>
        <row r="16"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</row>
        <row r="20">
          <cell r="G20">
            <v>0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</row>
        <row r="21">
          <cell r="G21">
            <v>0</v>
          </cell>
          <cell r="I21">
            <v>0</v>
          </cell>
          <cell r="K21">
            <v>0</v>
          </cell>
          <cell r="M21">
            <v>0</v>
          </cell>
          <cell r="O21">
            <v>0</v>
          </cell>
          <cell r="Q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ck scan GOM GSH"/>
      <sheetName val="Toelichting"/>
      <sheetName val="NAW"/>
      <sheetName val="Tijdcalculatie"/>
      <sheetName val="Kostenspecificatie reeel "/>
      <sheetName val="Totaalopbouw reeel"/>
      <sheetName val="soclasten"/>
      <sheetName val="Werkrooster"/>
      <sheetName val="Resume CSP"/>
      <sheetName val="Vragen issues"/>
      <sheetName val="Invulformulier CSP"/>
      <sheetName val="Calc CSP"/>
      <sheetName val="staffel"/>
      <sheetName val="uren_omz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O15" t="str">
            <v>Loongroep 1 specialist FT</v>
          </cell>
          <cell r="AQ15">
            <v>21.190476190476186</v>
          </cell>
          <cell r="AR15">
            <v>27.333333333333336</v>
          </cell>
          <cell r="AS15">
            <v>28.15</v>
          </cell>
          <cell r="AT15">
            <v>28.15</v>
          </cell>
          <cell r="AU15">
            <v>31.416666666666668</v>
          </cell>
          <cell r="AV15">
            <v>51.80952380952381</v>
          </cell>
        </row>
        <row r="16">
          <cell r="AO16" t="str">
            <v>Loongroep 1 specialist PT</v>
          </cell>
          <cell r="AQ16">
            <v>20.976190476190474</v>
          </cell>
          <cell r="AR16">
            <v>27.047619047619047</v>
          </cell>
          <cell r="AS16">
            <v>27.854761904761904</v>
          </cell>
          <cell r="AT16">
            <v>27.854761904761904</v>
          </cell>
          <cell r="AU16">
            <v>31.083333333333332</v>
          </cell>
          <cell r="AV16">
            <v>51.261904761904759</v>
          </cell>
        </row>
        <row r="17">
          <cell r="AO17" t="str">
            <v>PT jeugd (20 jaar) loongroep 1 specialist</v>
          </cell>
          <cell r="AQ17">
            <v>15.440476190476192</v>
          </cell>
          <cell r="AR17">
            <v>19.833333333333329</v>
          </cell>
          <cell r="AS17">
            <v>20.419047619047614</v>
          </cell>
          <cell r="AT17">
            <v>20.419047619047614</v>
          </cell>
          <cell r="AU17">
            <v>22.761904761904763</v>
          </cell>
          <cell r="AV17">
            <v>37.416666666666657</v>
          </cell>
        </row>
        <row r="18">
          <cell r="AO18" t="str">
            <v>Loongroep 1 PT</v>
          </cell>
          <cell r="AQ18">
            <v>20.261904761904763</v>
          </cell>
          <cell r="AR18">
            <v>26.059523809523814</v>
          </cell>
          <cell r="AS18">
            <v>26.830952380952386</v>
          </cell>
          <cell r="AT18">
            <v>26.830952380952386</v>
          </cell>
          <cell r="AU18">
            <v>29.916666666666661</v>
          </cell>
          <cell r="AV18">
            <v>49.095238095238102</v>
          </cell>
        </row>
        <row r="19">
          <cell r="AO19" t="str">
            <v xml:space="preserve">loongroep 1 FT </v>
          </cell>
          <cell r="AQ19">
            <v>20.380952380952383</v>
          </cell>
          <cell r="AR19">
            <v>26.238095238095241</v>
          </cell>
          <cell r="AS19">
            <v>27.016666666666669</v>
          </cell>
          <cell r="AT19">
            <v>27.016666666666669</v>
          </cell>
          <cell r="AU19">
            <v>30.130952380952376</v>
          </cell>
          <cell r="AV19">
            <v>49.488095238095241</v>
          </cell>
        </row>
        <row r="20">
          <cell r="AO20" t="str">
            <v>PT jeugd (20 jaar) loongroep 1</v>
          </cell>
          <cell r="AQ20">
            <v>14.904761904761909</v>
          </cell>
          <cell r="AR20">
            <v>19.047619047619044</v>
          </cell>
          <cell r="AS20">
            <v>19.595238095238095</v>
          </cell>
          <cell r="AT20">
            <v>19.595238095238095</v>
          </cell>
          <cell r="AU20">
            <v>21.785714285714288</v>
          </cell>
          <cell r="AV20">
            <v>35.61904761904762</v>
          </cell>
        </row>
        <row r="21">
          <cell r="AO21" t="str">
            <v>Objectleiding FT lg 1 specialist, toeslag 5%</v>
          </cell>
          <cell r="AP21">
            <v>0.1</v>
          </cell>
          <cell r="AQ21">
            <v>22.238095238095234</v>
          </cell>
          <cell r="AR21">
            <v>29.392857142857135</v>
          </cell>
          <cell r="AS21">
            <v>30.211904761904758</v>
          </cell>
          <cell r="AT21">
            <v>30.211904761904758</v>
          </cell>
          <cell r="AU21">
            <v>33.488095238095241</v>
          </cell>
          <cell r="AV21">
            <v>53.892857142857146</v>
          </cell>
        </row>
        <row r="22">
          <cell r="AO22" t="str">
            <v>Objectleiding FT lg 1 specialist, toeslag 8%</v>
          </cell>
          <cell r="AP22">
            <v>0.1</v>
          </cell>
          <cell r="AQ22">
            <v>23.285714285714281</v>
          </cell>
          <cell r="AR22">
            <v>29.416666666666661</v>
          </cell>
          <cell r="AS22">
            <v>30.235714285714284</v>
          </cell>
          <cell r="AT22">
            <v>30.235714285714284</v>
          </cell>
          <cell r="AU22">
            <v>33.511904761904773</v>
          </cell>
          <cell r="AV22">
            <v>53.940476190476197</v>
          </cell>
        </row>
        <row r="23">
          <cell r="AO23" t="str">
            <v>Objectleiding FT lg 1 specialist, toeslag 11%</v>
          </cell>
          <cell r="AP23">
            <v>0.1</v>
          </cell>
          <cell r="AQ23">
            <v>23.297619047619044</v>
          </cell>
          <cell r="AR23">
            <v>29.428571428571423</v>
          </cell>
          <cell r="AS23">
            <v>30.25</v>
          </cell>
          <cell r="AT23">
            <v>30.25</v>
          </cell>
          <cell r="AU23">
            <v>33.535714285714292</v>
          </cell>
          <cell r="AV23">
            <v>53.976190476190482</v>
          </cell>
        </row>
        <row r="24">
          <cell r="AO24" t="str">
            <v>Objectleiding FT lg 1 specialist, toeslag 16%</v>
          </cell>
          <cell r="AP24">
            <v>0.16</v>
          </cell>
          <cell r="AQ24">
            <v>24.63095238095238</v>
          </cell>
          <cell r="AR24">
            <v>30.833333333333325</v>
          </cell>
          <cell r="AS24">
            <v>31.649999999999995</v>
          </cell>
          <cell r="AT24">
            <v>31.649999999999995</v>
          </cell>
          <cell r="AU24">
            <v>34.916666666666664</v>
          </cell>
          <cell r="AV24">
            <v>55.488095238095241</v>
          </cell>
        </row>
        <row r="25">
          <cell r="AO25" t="str">
            <v>ol loongroep 3</v>
          </cell>
          <cell r="AQ25">
            <v>28.154761904761916</v>
          </cell>
          <cell r="AR25">
            <v>35.273809523809533</v>
          </cell>
          <cell r="AS25">
            <v>36.221428571428575</v>
          </cell>
          <cell r="AT25">
            <v>36.221428571428575</v>
          </cell>
          <cell r="AU25">
            <v>40.011904761904766</v>
          </cell>
          <cell r="AV25">
            <v>63.69047619047619</v>
          </cell>
        </row>
        <row r="26">
          <cell r="AO26" t="str">
            <v>GSR-specialist</v>
          </cell>
          <cell r="AQ26">
            <v>32.5</v>
          </cell>
          <cell r="AR26">
            <v>37.375</v>
          </cell>
          <cell r="AS26">
            <v>43.55</v>
          </cell>
          <cell r="AT26">
            <v>43.55</v>
          </cell>
          <cell r="AU26">
            <v>48.75</v>
          </cell>
          <cell r="AV26">
            <v>69.875</v>
          </cell>
        </row>
        <row r="27">
          <cell r="AO27" t="str">
            <v>GSH-specialist loongroep 4</v>
          </cell>
          <cell r="AQ27">
            <v>25.038095238095234</v>
          </cell>
          <cell r="AR27">
            <v>31.669047619047618</v>
          </cell>
          <cell r="AS27">
            <v>32.549999999999997</v>
          </cell>
          <cell r="AT27">
            <v>32.549999999999997</v>
          </cell>
          <cell r="AU27">
            <v>36.07380952380953</v>
          </cell>
          <cell r="AV27">
            <v>58.121428571428559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INZET UREN"/>
      <sheetName val="VERGELIJK HUIDIG-BUDGET"/>
      <sheetName val="REKENBLAD"/>
      <sheetName val="1-Contractblad Totaal"/>
      <sheetName val="1-Contractblad  Perceel 1budget"/>
      <sheetName val="1-Contractblad  Perceel 1"/>
      <sheetName val="1-Contractblad  Perceel 2"/>
      <sheetName val="1-Contractblad  Perceel 2budget"/>
      <sheetName val="1-Contractblad AZU HJGM"/>
      <sheetName val="1-Contractblad Stratenum"/>
      <sheetName val="1-Contractblad Huisvesting"/>
      <sheetName val="1-Contractblad MvG totaal"/>
      <sheetName val="1-Contractblad MvG ECNP"/>
      <sheetName val="1-Contractblad MvG Kendle"/>
      <sheetName val="1-Contractblad MvG SFAR"/>
      <sheetName val="1-Contractblad MvG Topselect"/>
      <sheetName val="1-Contractblad MvG UMCU"/>
      <sheetName val="1-Contractblad Israellaan"/>
      <sheetName val="1-Contractblad Juliuscentrum"/>
      <sheetName val="1-Contractblad LUH"/>
      <sheetName val="1-Contractblad AZU L"/>
      <sheetName val="1-Contractblad HVDB"/>
      <sheetName val="1-Contractblad WKZ"/>
      <sheetName val="1-Contractblad Julius Academy"/>
      <sheetName val="2-Kengetal"/>
      <sheetName val="16.04.255"/>
      <sheetName val="Res_L"/>
      <sheetName val="Lab_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  <sheetName val="ad afroep"/>
      <sheetName val="9-additionele wkzh"/>
      <sheetName val="Traver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>
        <row r="1">
          <cell r="B1" t="str">
            <v xml:space="preserve">Opmerking: dit blad bevat automatische koppelingen. Na invulling van de invoervelden in het Kengetallenoverzicht behoeft de ruimtestaat niet meer te worden bewerkt. </v>
          </cell>
        </row>
        <row r="2">
          <cell r="O2" t="str">
            <v>ma-vr</v>
          </cell>
        </row>
        <row r="3">
          <cell r="O3">
            <v>47495.926304238856</v>
          </cell>
        </row>
        <row r="4">
          <cell r="O4">
            <v>166.46387616591807</v>
          </cell>
        </row>
        <row r="9">
          <cell r="O9" t="str">
            <v>UREN P/JR        MA-VR</v>
          </cell>
        </row>
        <row r="10">
          <cell r="O10">
            <v>20.025981873111782</v>
          </cell>
        </row>
        <row r="11">
          <cell r="O11">
            <v>2.4459214501510576</v>
          </cell>
        </row>
        <row r="12">
          <cell r="O12">
            <v>1.41404833836858</v>
          </cell>
        </row>
        <row r="13">
          <cell r="O13">
            <v>15.745619335347433</v>
          </cell>
        </row>
        <row r="14">
          <cell r="O14">
            <v>6.2676737160120837</v>
          </cell>
        </row>
        <row r="15">
          <cell r="O15">
            <v>8.8664652567975821</v>
          </cell>
        </row>
        <row r="16">
          <cell r="O16">
            <v>6.0765861027190331</v>
          </cell>
        </row>
        <row r="17">
          <cell r="O17">
            <v>4.544174757281553</v>
          </cell>
        </row>
        <row r="18">
          <cell r="O18">
            <v>0.80256797583081574</v>
          </cell>
        </row>
        <row r="19">
          <cell r="O19">
            <v>8.5349397590361438</v>
          </cell>
        </row>
        <row r="20">
          <cell r="O20">
            <v>5.1819277108433734</v>
          </cell>
        </row>
        <row r="21">
          <cell r="O21">
            <v>3.9626506024096391</v>
          </cell>
        </row>
        <row r="22">
          <cell r="O22">
            <v>12.802409638554218</v>
          </cell>
        </row>
        <row r="23">
          <cell r="O23">
            <v>5.4867469879518076</v>
          </cell>
        </row>
        <row r="24">
          <cell r="O24">
            <v>5.4867469879518076</v>
          </cell>
        </row>
        <row r="25">
          <cell r="O25">
            <v>11.314722222222223</v>
          </cell>
        </row>
        <row r="26">
          <cell r="O26">
            <v>4.1285714285714281</v>
          </cell>
        </row>
        <row r="27">
          <cell r="O27">
            <v>4.42</v>
          </cell>
        </row>
        <row r="28">
          <cell r="O28">
            <v>4.2257142857142851</v>
          </cell>
        </row>
        <row r="29">
          <cell r="O29">
            <v>29.794078947368419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3.7885714285714283</v>
          </cell>
        </row>
        <row r="33">
          <cell r="O33">
            <v>0.77877876606644414</v>
          </cell>
        </row>
        <row r="34">
          <cell r="O34">
            <v>3.6185714285714288</v>
          </cell>
        </row>
        <row r="35">
          <cell r="O35">
            <v>3.6185714285714288</v>
          </cell>
        </row>
        <row r="36">
          <cell r="O36">
            <v>22.690257879656162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10.280513595166163</v>
          </cell>
        </row>
        <row r="40">
          <cell r="O40">
            <v>18.803021148036255</v>
          </cell>
        </row>
        <row r="41">
          <cell r="O41">
            <v>4.4714501510574012</v>
          </cell>
        </row>
        <row r="42">
          <cell r="O42">
            <v>9.5510040160642564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8.5349397590361438</v>
          </cell>
        </row>
        <row r="46">
          <cell r="O46">
            <v>5.1819277108433734</v>
          </cell>
        </row>
        <row r="47">
          <cell r="O47">
            <v>3.9626506024096391</v>
          </cell>
        </row>
        <row r="48">
          <cell r="O48">
            <v>2.5987915407854985</v>
          </cell>
        </row>
        <row r="49">
          <cell r="O49">
            <v>5.4867469879518076</v>
          </cell>
        </row>
        <row r="50">
          <cell r="O50">
            <v>5.4867469879518076</v>
          </cell>
        </row>
        <row r="51">
          <cell r="O51">
            <v>3.8857142857142857</v>
          </cell>
        </row>
        <row r="52">
          <cell r="O52">
            <v>8.205047318611987</v>
          </cell>
        </row>
        <row r="53">
          <cell r="O53">
            <v>8.832492113564669</v>
          </cell>
        </row>
        <row r="54">
          <cell r="O54">
            <v>8.4463722397476335</v>
          </cell>
        </row>
        <row r="55">
          <cell r="O55">
            <v>29.794078947368419</v>
          </cell>
        </row>
        <row r="56">
          <cell r="O56">
            <v>0</v>
          </cell>
        </row>
        <row r="57">
          <cell r="O57">
            <v>0.21336404549765595</v>
          </cell>
        </row>
        <row r="58">
          <cell r="O58">
            <v>5.4861867755772984</v>
          </cell>
        </row>
        <row r="59">
          <cell r="O59">
            <v>16.145394736842103</v>
          </cell>
        </row>
        <row r="60">
          <cell r="O60">
            <v>13.815131578947369</v>
          </cell>
        </row>
        <row r="61">
          <cell r="O61">
            <v>3.4485714285714284</v>
          </cell>
        </row>
        <row r="62">
          <cell r="O62">
            <v>6.8536277602523654</v>
          </cell>
        </row>
        <row r="63">
          <cell r="O63">
            <v>6.8536277602523654</v>
          </cell>
        </row>
        <row r="64">
          <cell r="O64">
            <v>3.6185714285714288</v>
          </cell>
        </row>
        <row r="65">
          <cell r="O65">
            <v>10.425236593059937</v>
          </cell>
        </row>
        <row r="66">
          <cell r="O66">
            <v>14.479495268138802</v>
          </cell>
        </row>
        <row r="67">
          <cell r="O67">
            <v>13.513654618473897</v>
          </cell>
        </row>
        <row r="68">
          <cell r="O68">
            <v>12.344259818731116</v>
          </cell>
        </row>
        <row r="69">
          <cell r="O69">
            <v>17.197885196374621</v>
          </cell>
        </row>
        <row r="70">
          <cell r="O70">
            <v>9.5510040160642564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8.5349397590361438</v>
          </cell>
        </row>
        <row r="75">
          <cell r="O75">
            <v>5.1819277108433734</v>
          </cell>
        </row>
        <row r="76">
          <cell r="O76">
            <v>3.9626506024096391</v>
          </cell>
        </row>
        <row r="77">
          <cell r="O77">
            <v>2.4841389728096677</v>
          </cell>
        </row>
        <row r="78">
          <cell r="O78">
            <v>5.4867469879518076</v>
          </cell>
        </row>
        <row r="79">
          <cell r="O79">
            <v>5.4867469879518076</v>
          </cell>
        </row>
        <row r="80">
          <cell r="O80">
            <v>9.8287769784172649</v>
          </cell>
        </row>
        <row r="81">
          <cell r="O81">
            <v>4.25</v>
          </cell>
        </row>
        <row r="82">
          <cell r="O82">
            <v>11.2242206235012</v>
          </cell>
        </row>
        <row r="83">
          <cell r="O83">
            <v>8.4463722397476335</v>
          </cell>
        </row>
        <row r="84">
          <cell r="O84">
            <v>29.794078947368419</v>
          </cell>
        </row>
        <row r="85">
          <cell r="O85">
            <v>0.25603685459718711</v>
          </cell>
        </row>
        <row r="86">
          <cell r="O86">
            <v>0</v>
          </cell>
        </row>
        <row r="87">
          <cell r="O87">
            <v>5.4861867755772984</v>
          </cell>
        </row>
        <row r="88">
          <cell r="O88">
            <v>16.145394736842103</v>
          </cell>
        </row>
        <row r="89">
          <cell r="O89">
            <v>13.815131578947369</v>
          </cell>
        </row>
        <row r="90">
          <cell r="O90">
            <v>6.8536277602523654</v>
          </cell>
        </row>
        <row r="91">
          <cell r="O91">
            <v>6.8536277602523654</v>
          </cell>
        </row>
        <row r="92">
          <cell r="O92">
            <v>6.8053627760252366</v>
          </cell>
        </row>
        <row r="93">
          <cell r="O93">
            <v>3.5942857142857143</v>
          </cell>
        </row>
        <row r="94">
          <cell r="O94">
            <v>26.631578947368421</v>
          </cell>
        </row>
        <row r="95">
          <cell r="O95">
            <v>25.965789473684211</v>
          </cell>
        </row>
        <row r="96">
          <cell r="O96">
            <v>2.024</v>
          </cell>
        </row>
        <row r="97">
          <cell r="O97">
            <v>9.1445783132530121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10.775361445783131</v>
          </cell>
        </row>
        <row r="103">
          <cell r="O103">
            <v>5.5467719999999998</v>
          </cell>
        </row>
        <row r="104">
          <cell r="O104">
            <v>5.1217319999999997</v>
          </cell>
        </row>
        <row r="105">
          <cell r="O105">
            <v>8.1295301204819275</v>
          </cell>
        </row>
        <row r="106">
          <cell r="O106">
            <v>8.1295301204819275</v>
          </cell>
        </row>
        <row r="107">
          <cell r="O107">
            <v>5.1217319999999997</v>
          </cell>
        </row>
        <row r="108">
          <cell r="O108">
            <v>15.097300233041778</v>
          </cell>
        </row>
        <row r="109">
          <cell r="O109">
            <v>5.7624380664652568</v>
          </cell>
        </row>
        <row r="110">
          <cell r="O110">
            <v>14.133222054380663</v>
          </cell>
        </row>
        <row r="111">
          <cell r="O111">
            <v>3.734036144578313</v>
          </cell>
        </row>
        <row r="112">
          <cell r="O112">
            <v>0.56581042296072503</v>
          </cell>
        </row>
        <row r="113">
          <cell r="O113">
            <v>0</v>
          </cell>
        </row>
        <row r="114">
          <cell r="O114">
            <v>2.407703927492447</v>
          </cell>
        </row>
        <row r="115">
          <cell r="O115">
            <v>2.4879607250755287</v>
          </cell>
        </row>
        <row r="116">
          <cell r="O116">
            <v>0</v>
          </cell>
        </row>
        <row r="117">
          <cell r="O117">
            <v>12.772869335347432</v>
          </cell>
        </row>
        <row r="118">
          <cell r="O118">
            <v>10.561987951807229</v>
          </cell>
        </row>
        <row r="119">
          <cell r="O119">
            <v>5.4830160000000001</v>
          </cell>
        </row>
        <row r="120">
          <cell r="O120">
            <v>2.2404216867469882</v>
          </cell>
        </row>
        <row r="121">
          <cell r="O121">
            <v>10.775361445783131</v>
          </cell>
        </row>
        <row r="122">
          <cell r="O122">
            <v>5.5467719999999998</v>
          </cell>
        </row>
        <row r="123">
          <cell r="O123">
            <v>5.1217319999999997</v>
          </cell>
        </row>
        <row r="124">
          <cell r="O124">
            <v>8.1295301204819275</v>
          </cell>
        </row>
        <row r="125">
          <cell r="O125">
            <v>8.1295301204819275</v>
          </cell>
        </row>
        <row r="126">
          <cell r="O126">
            <v>5.1217319999999997</v>
          </cell>
        </row>
        <row r="127">
          <cell r="O127">
            <v>14.941286796611298</v>
          </cell>
        </row>
        <row r="128">
          <cell r="O128">
            <v>7.2311374622356492</v>
          </cell>
        </row>
        <row r="129">
          <cell r="O129">
            <v>15.048149546827794</v>
          </cell>
        </row>
        <row r="130">
          <cell r="O130">
            <v>4.0540963855421683</v>
          </cell>
        </row>
        <row r="131">
          <cell r="O131">
            <v>0.56581042296072503</v>
          </cell>
        </row>
        <row r="132">
          <cell r="O132">
            <v>0</v>
          </cell>
        </row>
        <row r="133">
          <cell r="O133">
            <v>1.9662915407854986</v>
          </cell>
        </row>
        <row r="134">
          <cell r="O134">
            <v>2.4478323262839878</v>
          </cell>
        </row>
        <row r="135">
          <cell r="O135">
            <v>0</v>
          </cell>
        </row>
        <row r="136">
          <cell r="O136">
            <v>2.1308179758308152</v>
          </cell>
        </row>
        <row r="137">
          <cell r="O137">
            <v>10.561987951807229</v>
          </cell>
        </row>
        <row r="138">
          <cell r="O138">
            <v>5.4830160000000001</v>
          </cell>
        </row>
        <row r="139">
          <cell r="O139">
            <v>3.947409638554217</v>
          </cell>
        </row>
        <row r="140">
          <cell r="O140">
            <v>2.8170135951661628</v>
          </cell>
        </row>
        <row r="141">
          <cell r="O141">
            <v>17.893253021148038</v>
          </cell>
        </row>
        <row r="142">
          <cell r="O142">
            <v>9.3247949526813869</v>
          </cell>
        </row>
        <row r="143">
          <cell r="O143">
            <v>3.2704645015105744</v>
          </cell>
        </row>
        <row r="144">
          <cell r="O144">
            <v>3.5206626506024095</v>
          </cell>
        </row>
        <row r="145">
          <cell r="O145">
            <v>4.8009036144578312</v>
          </cell>
        </row>
        <row r="146">
          <cell r="O146">
            <v>4.8009036144578312</v>
          </cell>
        </row>
        <row r="147">
          <cell r="O147">
            <v>3.7359539274924471</v>
          </cell>
        </row>
        <row r="148">
          <cell r="O148">
            <v>10.313918338108884</v>
          </cell>
        </row>
        <row r="149">
          <cell r="O149">
            <v>33.14916189111748</v>
          </cell>
        </row>
        <row r="150">
          <cell r="O150">
            <v>35.394627507163328</v>
          </cell>
        </row>
        <row r="151">
          <cell r="O151">
            <v>16.801447000205478</v>
          </cell>
        </row>
        <row r="152">
          <cell r="O152">
            <v>10.775361445783131</v>
          </cell>
        </row>
        <row r="153">
          <cell r="O153">
            <v>0</v>
          </cell>
        </row>
        <row r="154">
          <cell r="O154">
            <v>2.4839478851963745</v>
          </cell>
        </row>
        <row r="155">
          <cell r="O155">
            <v>10.561987951807229</v>
          </cell>
        </row>
        <row r="156">
          <cell r="O156">
            <v>5.4830160000000001</v>
          </cell>
        </row>
        <row r="157">
          <cell r="O157">
            <v>3.0939156626506024</v>
          </cell>
        </row>
        <row r="158">
          <cell r="O158">
            <v>2.9213474320241692</v>
          </cell>
        </row>
        <row r="159">
          <cell r="O159">
            <v>3.4139759036144581</v>
          </cell>
        </row>
        <row r="160">
          <cell r="O160">
            <v>10.775361445783131</v>
          </cell>
        </row>
        <row r="161">
          <cell r="O161">
            <v>2.4478323262839878</v>
          </cell>
        </row>
        <row r="162">
          <cell r="O162">
            <v>6.58812</v>
          </cell>
        </row>
        <row r="163">
          <cell r="O163">
            <v>5.1217319999999997</v>
          </cell>
        </row>
        <row r="164">
          <cell r="O164">
            <v>8.5136024096385565</v>
          </cell>
        </row>
        <row r="165">
          <cell r="O165">
            <v>8.5136024096385565</v>
          </cell>
        </row>
        <row r="166">
          <cell r="O166">
            <v>5.1217319999999997</v>
          </cell>
        </row>
        <row r="167">
          <cell r="O167">
            <v>15.385325038759587</v>
          </cell>
        </row>
        <row r="168">
          <cell r="O168">
            <v>4.5786503021148039</v>
          </cell>
        </row>
        <row r="169">
          <cell r="O169">
            <v>14.133222054380663</v>
          </cell>
        </row>
        <row r="170">
          <cell r="O170">
            <v>0</v>
          </cell>
        </row>
        <row r="171">
          <cell r="O171">
            <v>0.11201612388626937</v>
          </cell>
        </row>
        <row r="172">
          <cell r="O172">
            <v>0</v>
          </cell>
        </row>
        <row r="173">
          <cell r="O173">
            <v>12.520060422960725</v>
          </cell>
        </row>
        <row r="174">
          <cell r="O174">
            <v>3.0506476800210467</v>
          </cell>
        </row>
        <row r="175">
          <cell r="O175">
            <v>3.6516842900302113</v>
          </cell>
        </row>
        <row r="176">
          <cell r="O176">
            <v>0</v>
          </cell>
        </row>
        <row r="177">
          <cell r="O177">
            <v>10.561987951807229</v>
          </cell>
        </row>
        <row r="178">
          <cell r="O178">
            <v>5.4830160000000001</v>
          </cell>
        </row>
        <row r="179">
          <cell r="O179">
            <v>0.13217902618579785</v>
          </cell>
        </row>
        <row r="180">
          <cell r="O180">
            <v>13.706104054054054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4.0128398791540789</v>
          </cell>
        </row>
        <row r="187">
          <cell r="O187">
            <v>6.8218277945619334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2.4587309659871122</v>
          </cell>
        </row>
        <row r="191">
          <cell r="O191">
            <v>18.99024096385542</v>
          </cell>
        </row>
        <row r="192">
          <cell r="O192">
            <v>3.5206626506024103</v>
          </cell>
        </row>
        <row r="193">
          <cell r="O193">
            <v>3.8407228915662652</v>
          </cell>
        </row>
        <row r="194">
          <cell r="O194">
            <v>15.042831325301208</v>
          </cell>
        </row>
        <row r="195">
          <cell r="O195">
            <v>29.431726618705039</v>
          </cell>
        </row>
        <row r="196">
          <cell r="O196">
            <v>23.464022082018925</v>
          </cell>
        </row>
        <row r="197">
          <cell r="O197">
            <v>3.8504999999999998</v>
          </cell>
        </row>
        <row r="198">
          <cell r="O198">
            <v>3.8504999999999998</v>
          </cell>
        </row>
        <row r="199">
          <cell r="O199">
            <v>7.6524132492113566</v>
          </cell>
        </row>
        <row r="200">
          <cell r="O200">
            <v>3.8504999999999998</v>
          </cell>
        </row>
        <row r="201">
          <cell r="O201">
            <v>0</v>
          </cell>
        </row>
        <row r="202">
          <cell r="O202">
            <v>6.7908832807570985</v>
          </cell>
        </row>
        <row r="203">
          <cell r="O203">
            <v>7.4497003154574131</v>
          </cell>
        </row>
        <row r="204">
          <cell r="O204">
            <v>6.9429179810725552</v>
          </cell>
        </row>
        <row r="205">
          <cell r="O205">
            <v>3.4935</v>
          </cell>
        </row>
        <row r="206">
          <cell r="O206">
            <v>7.6524132492113566</v>
          </cell>
        </row>
        <row r="207">
          <cell r="O207">
            <v>7.6524132492113566</v>
          </cell>
        </row>
        <row r="208">
          <cell r="O208">
            <v>7.5510567823343848</v>
          </cell>
        </row>
        <row r="209">
          <cell r="O209">
            <v>26.467692307692307</v>
          </cell>
        </row>
        <row r="210">
          <cell r="O210">
            <v>4.133225075528701</v>
          </cell>
        </row>
        <row r="211">
          <cell r="O211">
            <v>5.7610843373493985</v>
          </cell>
        </row>
        <row r="212">
          <cell r="O212">
            <v>3.8407228915662652</v>
          </cell>
        </row>
        <row r="213">
          <cell r="O213">
            <v>3.5206626506024103</v>
          </cell>
        </row>
        <row r="214">
          <cell r="O214">
            <v>1.4562096105215019</v>
          </cell>
        </row>
        <row r="215">
          <cell r="O215">
            <v>5.4410240963855427</v>
          </cell>
        </row>
        <row r="216">
          <cell r="O216">
            <v>16.470425867507888</v>
          </cell>
        </row>
        <row r="217">
          <cell r="O217">
            <v>37.658076923076933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32.945415407854981</v>
          </cell>
        </row>
        <row r="224">
          <cell r="O224">
            <v>37.171538461538468</v>
          </cell>
        </row>
        <row r="225">
          <cell r="O225">
            <v>17.536110271903325</v>
          </cell>
        </row>
        <row r="226">
          <cell r="O226">
            <v>3.4276933909198433</v>
          </cell>
        </row>
        <row r="227">
          <cell r="O227">
            <v>0</v>
          </cell>
        </row>
        <row r="228">
          <cell r="O228">
            <v>0</v>
          </cell>
        </row>
        <row r="229">
          <cell r="O229">
            <v>22.6655504587156</v>
          </cell>
        </row>
        <row r="230">
          <cell r="O230">
            <v>127.47307692307693</v>
          </cell>
        </row>
        <row r="231">
          <cell r="O231">
            <v>78.624615384615396</v>
          </cell>
        </row>
        <row r="232">
          <cell r="O232">
            <v>97.502307692307696</v>
          </cell>
        </row>
        <row r="233">
          <cell r="O233">
            <v>46.707692307692305</v>
          </cell>
        </row>
        <row r="234">
          <cell r="O234">
            <v>0</v>
          </cell>
        </row>
        <row r="235">
          <cell r="O235">
            <v>57.216923076923081</v>
          </cell>
        </row>
        <row r="236">
          <cell r="O236">
            <v>3.5030769230769234</v>
          </cell>
        </row>
        <row r="237">
          <cell r="O237">
            <v>53.908461538461538</v>
          </cell>
        </row>
        <row r="238">
          <cell r="O238">
            <v>3.4510422960725076</v>
          </cell>
        </row>
        <row r="239">
          <cell r="O239">
            <v>8.8180126182965299</v>
          </cell>
        </row>
        <row r="240">
          <cell r="O240">
            <v>0.79531447959251256</v>
          </cell>
        </row>
        <row r="241">
          <cell r="O241">
            <v>8.5646214511041006</v>
          </cell>
        </row>
        <row r="242">
          <cell r="O242">
            <v>3.2084810126582277</v>
          </cell>
        </row>
        <row r="243">
          <cell r="O243">
            <v>6.12</v>
          </cell>
        </row>
        <row r="244">
          <cell r="O244">
            <v>4.3094999999999999</v>
          </cell>
        </row>
        <row r="245">
          <cell r="O245">
            <v>6.8115384615384622</v>
          </cell>
        </row>
        <row r="246">
          <cell r="O246">
            <v>4.9626923076923077</v>
          </cell>
        </row>
        <row r="247">
          <cell r="O247">
            <v>2.1239240506329118</v>
          </cell>
        </row>
        <row r="248">
          <cell r="O248">
            <v>162.30923076923079</v>
          </cell>
        </row>
        <row r="249">
          <cell r="O249">
            <v>6.7816993957703922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18.99024096385542</v>
          </cell>
        </row>
        <row r="253">
          <cell r="O253">
            <v>2.4587309659871122</v>
          </cell>
        </row>
        <row r="254">
          <cell r="O254">
            <v>3.5206626506024103</v>
          </cell>
        </row>
        <row r="255">
          <cell r="O255">
            <v>3.8407228915662652</v>
          </cell>
        </row>
        <row r="256">
          <cell r="O256">
            <v>15.042831325301208</v>
          </cell>
        </row>
        <row r="257">
          <cell r="O257">
            <v>0</v>
          </cell>
        </row>
        <row r="258">
          <cell r="O258">
            <v>3.3405</v>
          </cell>
        </row>
        <row r="259">
          <cell r="O259">
            <v>7.6524132492113566</v>
          </cell>
        </row>
        <row r="260">
          <cell r="O260">
            <v>15.456861198738171</v>
          </cell>
        </row>
        <row r="261">
          <cell r="O261">
            <v>7.6524132492113566</v>
          </cell>
        </row>
        <row r="262">
          <cell r="O262">
            <v>3.8504999999999998</v>
          </cell>
        </row>
        <row r="263">
          <cell r="O263">
            <v>3.7995000000000005</v>
          </cell>
        </row>
        <row r="264">
          <cell r="O264">
            <v>3.8504999999999998</v>
          </cell>
        </row>
        <row r="265">
          <cell r="O265">
            <v>7.6524132492113566</v>
          </cell>
        </row>
        <row r="266">
          <cell r="O266">
            <v>7.6524132492113566</v>
          </cell>
        </row>
        <row r="267">
          <cell r="O267">
            <v>7.6524132492113566</v>
          </cell>
        </row>
        <row r="268">
          <cell r="O268">
            <v>3.8504999999999998</v>
          </cell>
        </row>
        <row r="269">
          <cell r="O269">
            <v>7.6524132492113566</v>
          </cell>
        </row>
        <row r="270">
          <cell r="O270">
            <v>7.6524132492113566</v>
          </cell>
        </row>
        <row r="271">
          <cell r="O271">
            <v>3.7995000000000005</v>
          </cell>
        </row>
        <row r="272">
          <cell r="O272">
            <v>23.215830945558739</v>
          </cell>
        </row>
        <row r="273">
          <cell r="O273">
            <v>23.06192307692308</v>
          </cell>
        </row>
        <row r="274">
          <cell r="O274">
            <v>4.1842307692307692</v>
          </cell>
        </row>
        <row r="275">
          <cell r="O275">
            <v>4.281538461538462</v>
          </cell>
        </row>
        <row r="276">
          <cell r="O276">
            <v>20.531923076923082</v>
          </cell>
        </row>
        <row r="277">
          <cell r="O277">
            <v>19.462273413897279</v>
          </cell>
        </row>
        <row r="278">
          <cell r="O278">
            <v>22.575384615384618</v>
          </cell>
        </row>
        <row r="279">
          <cell r="O279">
            <v>14.596153846153847</v>
          </cell>
        </row>
        <row r="280">
          <cell r="O280">
            <v>14.596153846153847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8.2711538461538474</v>
          </cell>
        </row>
        <row r="286">
          <cell r="O286">
            <v>12.909096385542169</v>
          </cell>
        </row>
        <row r="287">
          <cell r="O287">
            <v>5.254615384615386</v>
          </cell>
        </row>
        <row r="288">
          <cell r="O288">
            <v>5.0600000000000005</v>
          </cell>
        </row>
        <row r="289">
          <cell r="O289">
            <v>14.325838368580062</v>
          </cell>
        </row>
        <row r="290">
          <cell r="O290">
            <v>7.3114678899082577</v>
          </cell>
        </row>
        <row r="291">
          <cell r="O291">
            <v>5.8384615384615381</v>
          </cell>
        </row>
        <row r="292">
          <cell r="O292">
            <v>14.693461538461539</v>
          </cell>
        </row>
        <row r="293">
          <cell r="O293">
            <v>14.498846153846156</v>
          </cell>
        </row>
        <row r="294">
          <cell r="O294">
            <v>14.596153846153847</v>
          </cell>
        </row>
        <row r="295">
          <cell r="O295">
            <v>0</v>
          </cell>
        </row>
        <row r="296">
          <cell r="O296">
            <v>21.764096385542171</v>
          </cell>
        </row>
        <row r="297">
          <cell r="O297">
            <v>3.8407228915662652</v>
          </cell>
        </row>
        <row r="298">
          <cell r="O298">
            <v>3.8407228915662652</v>
          </cell>
        </row>
        <row r="299">
          <cell r="O299">
            <v>3.8407228915662652</v>
          </cell>
        </row>
        <row r="300">
          <cell r="O300">
            <v>18.258421450151058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14.109615384615385</v>
          </cell>
        </row>
        <row r="304">
          <cell r="O304">
            <v>11.597107250755286</v>
          </cell>
        </row>
        <row r="305">
          <cell r="O305">
            <v>15.10211356466877</v>
          </cell>
        </row>
        <row r="306">
          <cell r="O306">
            <v>0.39205643360194281</v>
          </cell>
        </row>
        <row r="307">
          <cell r="O307">
            <v>12.331031518624641</v>
          </cell>
        </row>
        <row r="308">
          <cell r="O308">
            <v>22.825502742230345</v>
          </cell>
        </row>
        <row r="309">
          <cell r="O309">
            <v>26.845898791540787</v>
          </cell>
        </row>
        <row r="310">
          <cell r="O310">
            <v>2.9293731117824771</v>
          </cell>
        </row>
        <row r="311">
          <cell r="O311">
            <v>19.692220183486238</v>
          </cell>
        </row>
        <row r="312">
          <cell r="O312">
            <v>95.166923076923069</v>
          </cell>
        </row>
        <row r="313">
          <cell r="O313">
            <v>102.36769230769231</v>
          </cell>
        </row>
        <row r="314">
          <cell r="O314">
            <v>49.973281535649001</v>
          </cell>
        </row>
        <row r="315">
          <cell r="O315">
            <v>53.421923076923079</v>
          </cell>
        </row>
        <row r="316">
          <cell r="O316">
            <v>48.167307692307695</v>
          </cell>
        </row>
        <row r="317">
          <cell r="O317">
            <v>53.519230769230774</v>
          </cell>
        </row>
        <row r="318">
          <cell r="O318">
            <v>48.264615384615389</v>
          </cell>
        </row>
        <row r="319">
          <cell r="O319">
            <v>53.616538461538468</v>
          </cell>
        </row>
        <row r="320">
          <cell r="O320">
            <v>4.1733534743202423</v>
          </cell>
        </row>
        <row r="321">
          <cell r="O321">
            <v>8.6152996845425864</v>
          </cell>
        </row>
        <row r="322">
          <cell r="O322">
            <v>13.915000000000001</v>
          </cell>
        </row>
        <row r="323">
          <cell r="O323">
            <v>4.335</v>
          </cell>
        </row>
        <row r="324">
          <cell r="O324">
            <v>0.78411286720388562</v>
          </cell>
        </row>
        <row r="325">
          <cell r="O325">
            <v>33.105929003021146</v>
          </cell>
        </row>
        <row r="326">
          <cell r="O326">
            <v>12.517523659305994</v>
          </cell>
        </row>
        <row r="327">
          <cell r="O327">
            <v>10.313470588235294</v>
          </cell>
        </row>
        <row r="328">
          <cell r="O328">
            <v>0.57128223181997384</v>
          </cell>
        </row>
        <row r="329">
          <cell r="O329">
            <v>18.751764705882355</v>
          </cell>
        </row>
        <row r="330">
          <cell r="O330">
            <v>0</v>
          </cell>
        </row>
        <row r="331">
          <cell r="O331">
            <v>104.50846153846155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19.169615384615387</v>
          </cell>
        </row>
        <row r="335">
          <cell r="O335">
            <v>0</v>
          </cell>
        </row>
        <row r="336">
          <cell r="O336">
            <v>5.1573076923076933</v>
          </cell>
        </row>
        <row r="337">
          <cell r="O337">
            <v>10.703846153846156</v>
          </cell>
        </row>
        <row r="338">
          <cell r="O338">
            <v>6.7816993957703922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18.99024096385542</v>
          </cell>
        </row>
        <row r="342">
          <cell r="O342">
            <v>2.4587309659871122</v>
          </cell>
        </row>
        <row r="343">
          <cell r="O343">
            <v>3.5206626506024103</v>
          </cell>
        </row>
        <row r="344">
          <cell r="O344">
            <v>3.5206626506024103</v>
          </cell>
        </row>
        <row r="345">
          <cell r="O345">
            <v>14.722771084337349</v>
          </cell>
        </row>
        <row r="346">
          <cell r="O346">
            <v>3.8504999999999998</v>
          </cell>
        </row>
        <row r="347">
          <cell r="O347">
            <v>0</v>
          </cell>
        </row>
        <row r="348">
          <cell r="O348">
            <v>3.3405</v>
          </cell>
        </row>
        <row r="349">
          <cell r="O349">
            <v>3.8504999999999998</v>
          </cell>
        </row>
        <row r="350">
          <cell r="O350">
            <v>7.6524132492113566</v>
          </cell>
        </row>
        <row r="351">
          <cell r="O351">
            <v>7.6524132492113566</v>
          </cell>
        </row>
        <row r="352">
          <cell r="O352">
            <v>7.6524132492113566</v>
          </cell>
        </row>
        <row r="353">
          <cell r="O353">
            <v>3.7995000000000005</v>
          </cell>
        </row>
        <row r="354">
          <cell r="O354">
            <v>7.6524132492113566</v>
          </cell>
        </row>
        <row r="355">
          <cell r="O355">
            <v>23.368065902578799</v>
          </cell>
        </row>
        <row r="356">
          <cell r="O356">
            <v>7.9564826498422718</v>
          </cell>
        </row>
        <row r="357">
          <cell r="O357">
            <v>3.6975000000000002</v>
          </cell>
        </row>
        <row r="358">
          <cell r="O358">
            <v>7.6524132492113566</v>
          </cell>
        </row>
        <row r="359">
          <cell r="O359">
            <v>7.6524132492113566</v>
          </cell>
        </row>
        <row r="360">
          <cell r="O360">
            <v>15.456861198738171</v>
          </cell>
        </row>
        <row r="361">
          <cell r="O361">
            <v>3.7995000000000005</v>
          </cell>
        </row>
        <row r="362">
          <cell r="O362">
            <v>16.736923076923077</v>
          </cell>
        </row>
        <row r="363">
          <cell r="O363">
            <v>13.817692307692308</v>
          </cell>
        </row>
        <row r="364">
          <cell r="O364">
            <v>14.012307692307694</v>
          </cell>
        </row>
        <row r="365">
          <cell r="O365">
            <v>13.80416918429003</v>
          </cell>
        </row>
        <row r="366">
          <cell r="O366">
            <v>28.121923076923078</v>
          </cell>
        </row>
        <row r="367">
          <cell r="O367">
            <v>6.3250000000000002</v>
          </cell>
        </row>
        <row r="368">
          <cell r="O368">
            <v>7.6873076923076935</v>
          </cell>
        </row>
        <row r="369">
          <cell r="O369">
            <v>10.801153846153847</v>
          </cell>
        </row>
        <row r="370">
          <cell r="O370">
            <v>8.6603846153846167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5.0205412844036701</v>
          </cell>
        </row>
        <row r="374">
          <cell r="O374">
            <v>22.351518126888219</v>
          </cell>
        </row>
        <row r="375">
          <cell r="O375">
            <v>12.909096385542169</v>
          </cell>
        </row>
        <row r="376">
          <cell r="O376">
            <v>0</v>
          </cell>
        </row>
        <row r="377">
          <cell r="O377">
            <v>1.254580587526217</v>
          </cell>
        </row>
        <row r="378">
          <cell r="O378">
            <v>10.89846153846154</v>
          </cell>
        </row>
        <row r="379">
          <cell r="O379">
            <v>10.89846153846154</v>
          </cell>
        </row>
        <row r="380">
          <cell r="O380">
            <v>16.011231117824771</v>
          </cell>
        </row>
        <row r="381">
          <cell r="O381">
            <v>0</v>
          </cell>
        </row>
        <row r="382">
          <cell r="O382">
            <v>7.7846153846153854</v>
          </cell>
        </row>
        <row r="383">
          <cell r="O383">
            <v>4.3788461538461547</v>
          </cell>
        </row>
        <row r="384">
          <cell r="O384">
            <v>16.323072289156627</v>
          </cell>
        </row>
        <row r="385">
          <cell r="O385">
            <v>0.24077039274924469</v>
          </cell>
        </row>
        <row r="386">
          <cell r="O386">
            <v>3.8407228915662652</v>
          </cell>
        </row>
        <row r="387">
          <cell r="O387">
            <v>3.8407228915662652</v>
          </cell>
        </row>
        <row r="388">
          <cell r="O388">
            <v>3.8407228915662652</v>
          </cell>
        </row>
        <row r="389">
          <cell r="O389">
            <v>4.3788461538461547</v>
          </cell>
        </row>
        <row r="390">
          <cell r="O390">
            <v>2.8491163141993958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14.109615384615385</v>
          </cell>
        </row>
        <row r="395">
          <cell r="O395">
            <v>14.165324773413897</v>
          </cell>
        </row>
        <row r="396">
          <cell r="O396">
            <v>32.680683453237414</v>
          </cell>
        </row>
        <row r="397">
          <cell r="O397">
            <v>29.289615384615388</v>
          </cell>
        </row>
        <row r="398">
          <cell r="O398">
            <v>11.190384615384618</v>
          </cell>
        </row>
        <row r="399">
          <cell r="O399">
            <v>35.030769230769238</v>
          </cell>
        </row>
        <row r="400">
          <cell r="O400">
            <v>0</v>
          </cell>
        </row>
        <row r="401">
          <cell r="O401">
            <v>6.1303846153846155</v>
          </cell>
        </row>
        <row r="402">
          <cell r="O402">
            <v>0</v>
          </cell>
        </row>
        <row r="403">
          <cell r="O403">
            <v>14.693461538461539</v>
          </cell>
        </row>
        <row r="404">
          <cell r="O404">
            <v>0</v>
          </cell>
        </row>
        <row r="405">
          <cell r="O405">
            <v>8.2711538461538474</v>
          </cell>
        </row>
        <row r="406">
          <cell r="O406">
            <v>15.671972477064221</v>
          </cell>
        </row>
        <row r="407">
          <cell r="O407">
            <v>7.6149082568807342</v>
          </cell>
        </row>
        <row r="408">
          <cell r="O408">
            <v>23.778165137614682</v>
          </cell>
        </row>
        <row r="409">
          <cell r="O409">
            <v>0</v>
          </cell>
        </row>
        <row r="410">
          <cell r="O410">
            <v>23.974678899082569</v>
          </cell>
        </row>
        <row r="411">
          <cell r="O411">
            <v>0</v>
          </cell>
        </row>
        <row r="412">
          <cell r="O412">
            <v>23.827293577981653</v>
          </cell>
        </row>
        <row r="413">
          <cell r="O413">
            <v>0</v>
          </cell>
        </row>
        <row r="414">
          <cell r="O414">
            <v>0</v>
          </cell>
        </row>
        <row r="415">
          <cell r="O415">
            <v>12.966828153564899</v>
          </cell>
        </row>
        <row r="416">
          <cell r="O416">
            <v>11.210917431192662</v>
          </cell>
        </row>
        <row r="417">
          <cell r="O417">
            <v>22.291288848263253</v>
          </cell>
        </row>
        <row r="418">
          <cell r="O418">
            <v>0</v>
          </cell>
        </row>
        <row r="419">
          <cell r="O419">
            <v>1.5597798165137617</v>
          </cell>
        </row>
        <row r="420">
          <cell r="O420">
            <v>23.159230769230771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177.00269230769231</v>
          </cell>
        </row>
        <row r="424">
          <cell r="O424">
            <v>0</v>
          </cell>
        </row>
        <row r="425">
          <cell r="O425">
            <v>0</v>
          </cell>
        </row>
        <row r="426">
          <cell r="O426">
            <v>4.1733534743202423</v>
          </cell>
        </row>
        <row r="427">
          <cell r="O427">
            <v>16.622460567823342</v>
          </cell>
        </row>
        <row r="428">
          <cell r="O428">
            <v>9.000775178681506</v>
          </cell>
        </row>
        <row r="429">
          <cell r="O429">
            <v>2.8305000000000002</v>
          </cell>
        </row>
        <row r="430">
          <cell r="O430">
            <v>3.1701435045317221</v>
          </cell>
        </row>
        <row r="431">
          <cell r="O431">
            <v>6.5865480845126383</v>
          </cell>
        </row>
        <row r="432">
          <cell r="O432">
            <v>3.3915000000000002</v>
          </cell>
        </row>
        <row r="433">
          <cell r="O433">
            <v>3.8407228915662652</v>
          </cell>
        </row>
        <row r="434">
          <cell r="O434">
            <v>3.5206626506024103</v>
          </cell>
        </row>
        <row r="435">
          <cell r="O435">
            <v>11.522168674698797</v>
          </cell>
        </row>
        <row r="436">
          <cell r="O436">
            <v>2.407703927492447</v>
          </cell>
        </row>
        <row r="437">
          <cell r="O437">
            <v>0</v>
          </cell>
        </row>
        <row r="438">
          <cell r="O438">
            <v>0.48154078549848939</v>
          </cell>
        </row>
        <row r="439">
          <cell r="O439">
            <v>3.621</v>
          </cell>
        </row>
        <row r="440">
          <cell r="O440">
            <v>3.5955000000000004</v>
          </cell>
        </row>
        <row r="441">
          <cell r="O441">
            <v>0</v>
          </cell>
        </row>
        <row r="442">
          <cell r="O442">
            <v>23.394856495468275</v>
          </cell>
        </row>
        <row r="443">
          <cell r="O443">
            <v>3.5955000000000004</v>
          </cell>
        </row>
        <row r="444">
          <cell r="O444">
            <v>3.5955000000000004</v>
          </cell>
        </row>
        <row r="445">
          <cell r="O445">
            <v>0</v>
          </cell>
        </row>
        <row r="446">
          <cell r="O446">
            <v>11.149211356466877</v>
          </cell>
        </row>
        <row r="447">
          <cell r="O447">
            <v>0</v>
          </cell>
        </row>
        <row r="448">
          <cell r="O448">
            <v>5.7629999999999999</v>
          </cell>
        </row>
        <row r="449">
          <cell r="O449">
            <v>3.4170000000000003</v>
          </cell>
        </row>
        <row r="450">
          <cell r="O450">
            <v>6.6211858006042297</v>
          </cell>
        </row>
        <row r="451">
          <cell r="O451">
            <v>0</v>
          </cell>
        </row>
        <row r="452">
          <cell r="O452">
            <v>18.99024096385542</v>
          </cell>
        </row>
        <row r="453">
          <cell r="O453">
            <v>17.283253012048196</v>
          </cell>
        </row>
        <row r="454">
          <cell r="O454">
            <v>14.402710843373496</v>
          </cell>
        </row>
        <row r="455">
          <cell r="O455">
            <v>3.5206626506024103</v>
          </cell>
        </row>
        <row r="456">
          <cell r="O456">
            <v>3.8407228915662652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9.6527956442456997</v>
          </cell>
        </row>
        <row r="460">
          <cell r="O460">
            <v>12.747307692307693</v>
          </cell>
        </row>
        <row r="461">
          <cell r="O461">
            <v>8.8807648429657533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25.604819277108437</v>
          </cell>
        </row>
        <row r="465">
          <cell r="O465">
            <v>4.1607831325301214</v>
          </cell>
        </row>
        <row r="466">
          <cell r="O466">
            <v>3.5206626506024103</v>
          </cell>
        </row>
        <row r="467">
          <cell r="O467">
            <v>27.525180722891566</v>
          </cell>
        </row>
        <row r="468">
          <cell r="O468">
            <v>28.087349570200573</v>
          </cell>
        </row>
        <row r="469">
          <cell r="O469">
            <v>0.98574189019917069</v>
          </cell>
        </row>
        <row r="470">
          <cell r="O470">
            <v>4.1607831325301214</v>
          </cell>
        </row>
        <row r="471">
          <cell r="O471">
            <v>3.8407228915662652</v>
          </cell>
        </row>
        <row r="472">
          <cell r="O472">
            <v>0</v>
          </cell>
        </row>
        <row r="473">
          <cell r="O473">
            <v>4.9469999999999992</v>
          </cell>
        </row>
        <row r="474">
          <cell r="O474">
            <v>6.7402050473186126</v>
          </cell>
        </row>
        <row r="475">
          <cell r="O475">
            <v>2.4734999999999996</v>
          </cell>
        </row>
        <row r="476">
          <cell r="O476">
            <v>44.593525179856115</v>
          </cell>
        </row>
        <row r="477">
          <cell r="O477">
            <v>1.8360000000000001</v>
          </cell>
        </row>
        <row r="478">
          <cell r="O478">
            <v>8.136143911439115</v>
          </cell>
        </row>
        <row r="479">
          <cell r="O479">
            <v>8.136143911439115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10.26227383863081</v>
          </cell>
        </row>
        <row r="484">
          <cell r="O484">
            <v>13.563398791540784</v>
          </cell>
        </row>
        <row r="485">
          <cell r="O485">
            <v>0.59368545659722771</v>
          </cell>
        </row>
        <row r="486">
          <cell r="O486">
            <v>3.9109583333333329</v>
          </cell>
        </row>
        <row r="487">
          <cell r="O487">
            <v>17.964820143884889</v>
          </cell>
        </row>
        <row r="488">
          <cell r="O488">
            <v>17.788059936908517</v>
          </cell>
        </row>
        <row r="489">
          <cell r="O489">
            <v>0</v>
          </cell>
        </row>
        <row r="490">
          <cell r="O490">
            <v>3.8250000000000002</v>
          </cell>
        </row>
        <row r="491">
          <cell r="O491">
            <v>3.7484999999999999</v>
          </cell>
        </row>
        <row r="492">
          <cell r="O492">
            <v>0</v>
          </cell>
        </row>
        <row r="493">
          <cell r="O493">
            <v>3.5955000000000004</v>
          </cell>
        </row>
        <row r="494">
          <cell r="O494">
            <v>3.8250000000000002</v>
          </cell>
        </row>
        <row r="495">
          <cell r="O495">
            <v>0</v>
          </cell>
        </row>
        <row r="496">
          <cell r="O496">
            <v>14.605848708487086</v>
          </cell>
        </row>
        <row r="497">
          <cell r="O497">
            <v>3.621</v>
          </cell>
        </row>
        <row r="498">
          <cell r="O498">
            <v>0</v>
          </cell>
        </row>
        <row r="499">
          <cell r="O499">
            <v>3.7995000000000005</v>
          </cell>
        </row>
        <row r="500">
          <cell r="O500">
            <v>7.5510567823343848</v>
          </cell>
        </row>
        <row r="501">
          <cell r="O501">
            <v>0</v>
          </cell>
        </row>
        <row r="502">
          <cell r="O502">
            <v>7.5510567823343848</v>
          </cell>
        </row>
        <row r="503">
          <cell r="O503">
            <v>3.7995000000000005</v>
          </cell>
        </row>
        <row r="504">
          <cell r="O504">
            <v>0</v>
          </cell>
        </row>
        <row r="505">
          <cell r="O505">
            <v>8.9612899109015515E-2</v>
          </cell>
        </row>
        <row r="506">
          <cell r="O506">
            <v>3.7995000000000005</v>
          </cell>
        </row>
        <row r="507">
          <cell r="O507">
            <v>7.5510567823343848</v>
          </cell>
        </row>
        <row r="508">
          <cell r="O508">
            <v>0</v>
          </cell>
        </row>
        <row r="509">
          <cell r="O509">
            <v>7.5510567823343848</v>
          </cell>
        </row>
        <row r="510">
          <cell r="O510">
            <v>7.5510567823343848</v>
          </cell>
        </row>
        <row r="511">
          <cell r="O511">
            <v>0</v>
          </cell>
        </row>
        <row r="512">
          <cell r="O512">
            <v>3.7995000000000005</v>
          </cell>
        </row>
        <row r="513">
          <cell r="O513">
            <v>7.5510567823343848</v>
          </cell>
        </row>
        <row r="514">
          <cell r="O514">
            <v>0</v>
          </cell>
        </row>
        <row r="515">
          <cell r="O515">
            <v>14.498846153846156</v>
          </cell>
        </row>
        <row r="516">
          <cell r="O516">
            <v>14.498846153846156</v>
          </cell>
        </row>
        <row r="517">
          <cell r="O517">
            <v>11.075438066465257</v>
          </cell>
        </row>
        <row r="518">
          <cell r="O518">
            <v>27.247182779456196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5.3370770392749254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258.06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4.1733534743202423</v>
          </cell>
        </row>
        <row r="528">
          <cell r="O528">
            <v>0</v>
          </cell>
        </row>
        <row r="529">
          <cell r="O529">
            <v>23.151024096385541</v>
          </cell>
        </row>
        <row r="530">
          <cell r="O530">
            <v>3.4109138972809667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4.4369999999999994</v>
          </cell>
        </row>
        <row r="535">
          <cell r="O535">
            <v>12.787736389684815</v>
          </cell>
        </row>
        <row r="536">
          <cell r="O536">
            <v>0.69449996809487013</v>
          </cell>
        </row>
        <row r="537">
          <cell r="O537">
            <v>6.5631176470588244</v>
          </cell>
        </row>
        <row r="538">
          <cell r="O538">
            <v>14.402710843373496</v>
          </cell>
        </row>
        <row r="539">
          <cell r="O539">
            <v>4.1607831325301214</v>
          </cell>
        </row>
        <row r="540">
          <cell r="O540">
            <v>4.1607831325301214</v>
          </cell>
        </row>
        <row r="541">
          <cell r="O541">
            <v>3.6516842900302113</v>
          </cell>
        </row>
        <row r="542">
          <cell r="O542">
            <v>5.0745000000000005</v>
          </cell>
        </row>
        <row r="543">
          <cell r="O543">
            <v>5.0999999999999996</v>
          </cell>
        </row>
        <row r="544">
          <cell r="O544">
            <v>25.006173594132033</v>
          </cell>
        </row>
        <row r="545">
          <cell r="O545">
            <v>13.015783132530119</v>
          </cell>
        </row>
        <row r="546">
          <cell r="O546">
            <v>10.478416666666666</v>
          </cell>
        </row>
        <row r="547">
          <cell r="O547">
            <v>1.5936219223990542</v>
          </cell>
        </row>
        <row r="548">
          <cell r="O548">
            <v>2.5682175226586104</v>
          </cell>
        </row>
        <row r="549">
          <cell r="O549">
            <v>19.923749999999998</v>
          </cell>
        </row>
        <row r="550">
          <cell r="O550">
            <v>23.391958333333331</v>
          </cell>
        </row>
        <row r="551">
          <cell r="O551">
            <v>6.5677306273062737</v>
          </cell>
        </row>
        <row r="552">
          <cell r="O552">
            <v>0</v>
          </cell>
        </row>
        <row r="553">
          <cell r="O553">
            <v>9.286332378223495</v>
          </cell>
        </row>
        <row r="554">
          <cell r="O554">
            <v>13.762590361445783</v>
          </cell>
        </row>
        <row r="555">
          <cell r="O555">
            <v>0</v>
          </cell>
        </row>
        <row r="556">
          <cell r="O556">
            <v>6.0811445783132534</v>
          </cell>
        </row>
        <row r="557">
          <cell r="O557">
            <v>23.684457831325304</v>
          </cell>
        </row>
        <row r="558">
          <cell r="O558">
            <v>9.5104305135951659</v>
          </cell>
        </row>
        <row r="559">
          <cell r="O559">
            <v>8.4269637462235636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14.703874538745389</v>
          </cell>
        </row>
        <row r="563">
          <cell r="O563">
            <v>7.6814457831325305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14.507822878228783</v>
          </cell>
        </row>
        <row r="567">
          <cell r="O567">
            <v>16.174261992619925</v>
          </cell>
        </row>
        <row r="568">
          <cell r="O568">
            <v>0</v>
          </cell>
        </row>
        <row r="569">
          <cell r="O569">
            <v>17.495981873111781</v>
          </cell>
        </row>
        <row r="570">
          <cell r="O570">
            <v>13.229156626506025</v>
          </cell>
        </row>
        <row r="571">
          <cell r="O571">
            <v>0</v>
          </cell>
        </row>
        <row r="572">
          <cell r="O572">
            <v>9.1164022140221412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21.271605166051661</v>
          </cell>
        </row>
        <row r="587">
          <cell r="O587">
            <v>17.335468277945619</v>
          </cell>
        </row>
        <row r="588">
          <cell r="O588">
            <v>10.393255287009064</v>
          </cell>
        </row>
        <row r="589">
          <cell r="O589">
            <v>16.958468634686348</v>
          </cell>
        </row>
        <row r="590">
          <cell r="O590">
            <v>26.645256797583084</v>
          </cell>
        </row>
        <row r="591">
          <cell r="O591">
            <v>16.958468634686348</v>
          </cell>
        </row>
        <row r="592">
          <cell r="O592">
            <v>26.645256797583084</v>
          </cell>
        </row>
        <row r="593">
          <cell r="O593">
            <v>13.76963325183374</v>
          </cell>
        </row>
        <row r="594">
          <cell r="O594">
            <v>19.80121771217712</v>
          </cell>
        </row>
        <row r="595">
          <cell r="O595">
            <v>6.4012048192771092</v>
          </cell>
        </row>
        <row r="596">
          <cell r="O596">
            <v>20.487398523985242</v>
          </cell>
        </row>
        <row r="597">
          <cell r="O597">
            <v>15.978210332103322</v>
          </cell>
        </row>
        <row r="598">
          <cell r="O598">
            <v>15.978210332103322</v>
          </cell>
        </row>
        <row r="599">
          <cell r="O599">
            <v>16.076236162361621</v>
          </cell>
        </row>
        <row r="600">
          <cell r="O600">
            <v>15.880184501845019</v>
          </cell>
        </row>
        <row r="601">
          <cell r="O601">
            <v>4.1565000000000003</v>
          </cell>
        </row>
        <row r="602">
          <cell r="O602">
            <v>15.978210332103322</v>
          </cell>
        </row>
        <row r="603">
          <cell r="O603">
            <v>15.978210332103322</v>
          </cell>
        </row>
        <row r="604">
          <cell r="O604">
            <v>15.390055350553506</v>
          </cell>
        </row>
        <row r="605">
          <cell r="O605">
            <v>24.558580060422962</v>
          </cell>
        </row>
        <row r="606">
          <cell r="O606">
            <v>10.994958333333333</v>
          </cell>
        </row>
        <row r="607">
          <cell r="O607">
            <v>33.473846153846154</v>
          </cell>
        </row>
        <row r="608">
          <cell r="O608">
            <v>10.314615384615387</v>
          </cell>
        </row>
        <row r="609">
          <cell r="O609">
            <v>29.227995110024452</v>
          </cell>
        </row>
        <row r="610">
          <cell r="O610">
            <v>8.2341697416974178</v>
          </cell>
        </row>
        <row r="611">
          <cell r="O611">
            <v>8.626273062730629</v>
          </cell>
        </row>
        <row r="612">
          <cell r="O612">
            <v>10.684815498154983</v>
          </cell>
        </row>
        <row r="613">
          <cell r="O613">
            <v>0.72231117824773416</v>
          </cell>
        </row>
        <row r="614">
          <cell r="O614">
            <v>13.229156626506025</v>
          </cell>
        </row>
        <row r="615">
          <cell r="O615">
            <v>10.938529411764707</v>
          </cell>
        </row>
        <row r="616">
          <cell r="O616">
            <v>5.4574622356495466</v>
          </cell>
        </row>
        <row r="617">
          <cell r="O617">
            <v>9.0579799426934109</v>
          </cell>
        </row>
        <row r="618">
          <cell r="O618">
            <v>3.0345000000000004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6.7205788000821904</v>
          </cell>
        </row>
        <row r="622">
          <cell r="O622">
            <v>12.765958333333332</v>
          </cell>
        </row>
        <row r="623">
          <cell r="O623">
            <v>36.396457703927496</v>
          </cell>
        </row>
        <row r="624">
          <cell r="O624">
            <v>19.680183374083132</v>
          </cell>
        </row>
        <row r="625">
          <cell r="O625">
            <v>3.3149999999999999</v>
          </cell>
        </row>
        <row r="626">
          <cell r="O626">
            <v>2.8815</v>
          </cell>
        </row>
        <row r="627">
          <cell r="O627">
            <v>3.8407228915662652</v>
          </cell>
        </row>
        <row r="628">
          <cell r="O628">
            <v>3.5206626506024103</v>
          </cell>
        </row>
        <row r="629">
          <cell r="O629">
            <v>0.31364514688155426</v>
          </cell>
        </row>
        <row r="630">
          <cell r="O630">
            <v>20.163795180722893</v>
          </cell>
        </row>
        <row r="631">
          <cell r="O631">
            <v>5.9505599999999994</v>
          </cell>
        </row>
        <row r="632">
          <cell r="O632">
            <v>10.241927710843374</v>
          </cell>
        </row>
        <row r="633">
          <cell r="O633">
            <v>4.4808433734939754</v>
          </cell>
        </row>
        <row r="634">
          <cell r="O634">
            <v>10.722018072289158</v>
          </cell>
        </row>
        <row r="635">
          <cell r="O635">
            <v>0</v>
          </cell>
        </row>
        <row r="636">
          <cell r="O636">
            <v>4.4808433734939754</v>
          </cell>
        </row>
        <row r="637">
          <cell r="O637">
            <v>0</v>
          </cell>
        </row>
        <row r="638">
          <cell r="O638">
            <v>9.5321470588235293</v>
          </cell>
        </row>
        <row r="639">
          <cell r="O639">
            <v>0</v>
          </cell>
        </row>
        <row r="640">
          <cell r="O640">
            <v>29.995904059040594</v>
          </cell>
        </row>
        <row r="641">
          <cell r="O641">
            <v>3.3238400095751701</v>
          </cell>
        </row>
        <row r="642">
          <cell r="O642">
            <v>5.6179758308157091</v>
          </cell>
        </row>
        <row r="643">
          <cell r="O643">
            <v>1.6452643504531721</v>
          </cell>
        </row>
        <row r="644">
          <cell r="O644">
            <v>14.311771217712177</v>
          </cell>
        </row>
        <row r="645">
          <cell r="O645">
            <v>13.229156626506025</v>
          </cell>
        </row>
        <row r="646">
          <cell r="O646">
            <v>12.162289156626507</v>
          </cell>
        </row>
        <row r="647">
          <cell r="O647">
            <v>4.4111623616236164</v>
          </cell>
        </row>
        <row r="648">
          <cell r="O648">
            <v>41.131608761329304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13.799041666666666</v>
          </cell>
        </row>
        <row r="656">
          <cell r="O656">
            <v>44.166748166259168</v>
          </cell>
        </row>
        <row r="657">
          <cell r="O657">
            <v>14.807379154078548</v>
          </cell>
        </row>
        <row r="658">
          <cell r="O658">
            <v>13.233487084870848</v>
          </cell>
        </row>
        <row r="659">
          <cell r="O659">
            <v>14.899926199261992</v>
          </cell>
        </row>
        <row r="660">
          <cell r="O660">
            <v>15.488081180811809</v>
          </cell>
        </row>
        <row r="661">
          <cell r="O661">
            <v>13.723616236162364</v>
          </cell>
        </row>
        <row r="662">
          <cell r="O662">
            <v>16.160516173721827</v>
          </cell>
        </row>
        <row r="663">
          <cell r="O663">
            <v>13.919667896678966</v>
          </cell>
        </row>
        <row r="664">
          <cell r="O664">
            <v>20.250523353490934</v>
          </cell>
        </row>
        <row r="665">
          <cell r="O665">
            <v>20.051010808136343</v>
          </cell>
        </row>
        <row r="666">
          <cell r="O666">
            <v>33.218838801539313</v>
          </cell>
        </row>
        <row r="667">
          <cell r="O667">
            <v>27.568209969788519</v>
          </cell>
        </row>
        <row r="668">
          <cell r="O668">
            <v>33.31859507421661</v>
          </cell>
        </row>
        <row r="669">
          <cell r="O669">
            <v>34.836153846153849</v>
          </cell>
        </row>
        <row r="670">
          <cell r="O670">
            <v>4.4808433734939754</v>
          </cell>
        </row>
        <row r="671">
          <cell r="O671">
            <v>5.4410240963855427</v>
          </cell>
        </row>
        <row r="672">
          <cell r="O672">
            <v>1.9201653714520546</v>
          </cell>
        </row>
        <row r="673">
          <cell r="O673">
            <v>13.016088825214901</v>
          </cell>
        </row>
        <row r="674">
          <cell r="O674">
            <v>61.69307692307693</v>
          </cell>
        </row>
        <row r="675">
          <cell r="O675">
            <v>13.919667896678966</v>
          </cell>
        </row>
        <row r="676">
          <cell r="O676">
            <v>13.723616236162364</v>
          </cell>
        </row>
        <row r="677">
          <cell r="O677">
            <v>15.390055350553506</v>
          </cell>
        </row>
        <row r="678">
          <cell r="O678">
            <v>4.1607831325301214</v>
          </cell>
        </row>
        <row r="679">
          <cell r="O679">
            <v>4.1607831325301214</v>
          </cell>
        </row>
        <row r="680">
          <cell r="O680">
            <v>15.362891566265061</v>
          </cell>
        </row>
        <row r="681">
          <cell r="O681">
            <v>13.122469879518071</v>
          </cell>
        </row>
        <row r="682">
          <cell r="O682">
            <v>0</v>
          </cell>
        </row>
        <row r="683">
          <cell r="O683">
            <v>14.801900369003691</v>
          </cell>
        </row>
        <row r="684">
          <cell r="O684">
            <v>0.56008061943134679</v>
          </cell>
        </row>
        <row r="685">
          <cell r="O685">
            <v>6.8756470588235299</v>
          </cell>
        </row>
        <row r="686">
          <cell r="O686">
            <v>5.9293533123028386</v>
          </cell>
        </row>
        <row r="687">
          <cell r="O687">
            <v>2.9325000000000001</v>
          </cell>
        </row>
        <row r="688">
          <cell r="O688">
            <v>1.2841087613293052</v>
          </cell>
        </row>
        <row r="689">
          <cell r="O689">
            <v>2.9834999999999998</v>
          </cell>
        </row>
        <row r="690">
          <cell r="O690">
            <v>2.9834999999999998</v>
          </cell>
        </row>
        <row r="691">
          <cell r="O691">
            <v>51.895929095354532</v>
          </cell>
        </row>
        <row r="692">
          <cell r="O692">
            <v>13.919667896678966</v>
          </cell>
        </row>
        <row r="693">
          <cell r="O693">
            <v>13.919667896678966</v>
          </cell>
        </row>
        <row r="694">
          <cell r="O694">
            <v>13.919667896678966</v>
          </cell>
        </row>
        <row r="695">
          <cell r="O695">
            <v>13.919667896678966</v>
          </cell>
        </row>
        <row r="696">
          <cell r="O696">
            <v>17.335468277945619</v>
          </cell>
        </row>
        <row r="697">
          <cell r="O697">
            <v>37.412375000000004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25.601918429003021</v>
          </cell>
        </row>
        <row r="701">
          <cell r="O701">
            <v>12.061419558359622</v>
          </cell>
        </row>
        <row r="702">
          <cell r="O702">
            <v>13.919667896678966</v>
          </cell>
        </row>
        <row r="703">
          <cell r="O703">
            <v>13.919667896678966</v>
          </cell>
        </row>
        <row r="704">
          <cell r="O704">
            <v>9.5085055350553507</v>
          </cell>
        </row>
        <row r="705">
          <cell r="O705">
            <v>15.313941176470591</v>
          </cell>
        </row>
        <row r="706">
          <cell r="O706">
            <v>5.4410240963855427</v>
          </cell>
        </row>
        <row r="707">
          <cell r="O707">
            <v>0.77404493373668337</v>
          </cell>
        </row>
        <row r="708">
          <cell r="O708">
            <v>10.978892988929889</v>
          </cell>
        </row>
        <row r="709">
          <cell r="O709">
            <v>2.9834999999999998</v>
          </cell>
        </row>
        <row r="710">
          <cell r="O710">
            <v>2.9834999999999998</v>
          </cell>
        </row>
        <row r="711">
          <cell r="O711">
            <v>2.9834999999999998</v>
          </cell>
        </row>
        <row r="712">
          <cell r="O712">
            <v>5.9293533123028386</v>
          </cell>
        </row>
        <row r="713">
          <cell r="O713">
            <v>11.356336858006042</v>
          </cell>
        </row>
        <row r="714">
          <cell r="O714">
            <v>14.311771217712177</v>
          </cell>
        </row>
        <row r="715">
          <cell r="O715">
            <v>13.123237410071944</v>
          </cell>
        </row>
        <row r="716">
          <cell r="O716">
            <v>15.390055350553506</v>
          </cell>
        </row>
        <row r="717">
          <cell r="O717">
            <v>3.5206626506024103</v>
          </cell>
        </row>
        <row r="718">
          <cell r="O718">
            <v>4.4808433734939754</v>
          </cell>
        </row>
        <row r="719">
          <cell r="O719">
            <v>21.444036144578316</v>
          </cell>
        </row>
        <row r="720">
          <cell r="O720">
            <v>13.919667896678966</v>
          </cell>
        </row>
        <row r="721">
          <cell r="O721">
            <v>13.919667896678966</v>
          </cell>
        </row>
        <row r="722">
          <cell r="O722">
            <v>7.5842673716012072</v>
          </cell>
        </row>
        <row r="723">
          <cell r="O723">
            <v>18.743083333333331</v>
          </cell>
        </row>
        <row r="724">
          <cell r="O724">
            <v>13.122469879518071</v>
          </cell>
        </row>
        <row r="725">
          <cell r="O725">
            <v>60.481937269372693</v>
          </cell>
        </row>
        <row r="726">
          <cell r="O726">
            <v>18.496547277936966</v>
          </cell>
        </row>
        <row r="727">
          <cell r="O727">
            <v>6.9935962145110411</v>
          </cell>
        </row>
        <row r="728">
          <cell r="O728">
            <v>6.7549144254278728</v>
          </cell>
        </row>
        <row r="729">
          <cell r="O729">
            <v>4.9012915129151287</v>
          </cell>
        </row>
        <row r="730">
          <cell r="O730">
            <v>0</v>
          </cell>
        </row>
        <row r="731">
          <cell r="O731">
            <v>0</v>
          </cell>
        </row>
        <row r="732">
          <cell r="O732">
            <v>6.7549144254278728</v>
          </cell>
        </row>
        <row r="733">
          <cell r="O733">
            <v>29.373987915407856</v>
          </cell>
        </row>
        <row r="734">
          <cell r="O734">
            <v>16.468339483394836</v>
          </cell>
        </row>
        <row r="735">
          <cell r="O735">
            <v>28.329464944649448</v>
          </cell>
        </row>
        <row r="736">
          <cell r="O736">
            <v>13.919667896678966</v>
          </cell>
        </row>
        <row r="737">
          <cell r="O737">
            <v>19.899243542435425</v>
          </cell>
        </row>
        <row r="738">
          <cell r="O738">
            <v>15.390055350553506</v>
          </cell>
        </row>
        <row r="739">
          <cell r="O739">
            <v>15.042831325301208</v>
          </cell>
        </row>
        <row r="740">
          <cell r="O740">
            <v>3.8407228915662652</v>
          </cell>
        </row>
        <row r="741">
          <cell r="O741">
            <v>3.8407228915662652</v>
          </cell>
        </row>
        <row r="742">
          <cell r="O742">
            <v>4.8879599999999996</v>
          </cell>
        </row>
        <row r="743">
          <cell r="O743">
            <v>15.390055350553506</v>
          </cell>
        </row>
        <row r="744">
          <cell r="O744">
            <v>9.8025830258302573</v>
          </cell>
        </row>
        <row r="745">
          <cell r="O745">
            <v>3.4935</v>
          </cell>
        </row>
        <row r="746">
          <cell r="O746">
            <v>13.655903614457833</v>
          </cell>
        </row>
        <row r="747">
          <cell r="O747">
            <v>3.0855000000000001</v>
          </cell>
        </row>
        <row r="748">
          <cell r="O748">
            <v>2.9834999999999998</v>
          </cell>
        </row>
        <row r="749">
          <cell r="O749">
            <v>12.399675226586101</v>
          </cell>
        </row>
        <row r="750">
          <cell r="O750">
            <v>13.821642066420663</v>
          </cell>
        </row>
        <row r="751">
          <cell r="O751">
            <v>7.2469873817034713</v>
          </cell>
        </row>
        <row r="752">
          <cell r="O752">
            <v>3.5955000000000004</v>
          </cell>
        </row>
        <row r="753">
          <cell r="O753">
            <v>5.9390030211480367</v>
          </cell>
        </row>
        <row r="754">
          <cell r="O754">
            <v>7.5003785488958998</v>
          </cell>
        </row>
        <row r="755">
          <cell r="O755">
            <v>7.6645241691842907</v>
          </cell>
        </row>
        <row r="756">
          <cell r="O756">
            <v>8.3868353474320241</v>
          </cell>
        </row>
        <row r="757">
          <cell r="O757">
            <v>2.9834999999999998</v>
          </cell>
        </row>
        <row r="758">
          <cell r="O758">
            <v>5.8279968454258677</v>
          </cell>
        </row>
        <row r="759">
          <cell r="O759">
            <v>1.2841087613293052</v>
          </cell>
        </row>
        <row r="760">
          <cell r="O760">
            <v>13.122469879518071</v>
          </cell>
        </row>
        <row r="761">
          <cell r="O761">
            <v>15.362891566265061</v>
          </cell>
        </row>
        <row r="762">
          <cell r="O762">
            <v>4.1607831325301214</v>
          </cell>
        </row>
        <row r="763">
          <cell r="O763">
            <v>4.1607831325301214</v>
          </cell>
        </row>
        <row r="764">
          <cell r="O764">
            <v>30.682084870848712</v>
          </cell>
        </row>
        <row r="765">
          <cell r="O765">
            <v>0</v>
          </cell>
        </row>
        <row r="766">
          <cell r="O766">
            <v>1.7656495468277946</v>
          </cell>
        </row>
        <row r="767">
          <cell r="O767">
            <v>2.2766027462843632</v>
          </cell>
        </row>
        <row r="768">
          <cell r="O768">
            <v>13.919667896678966</v>
          </cell>
        </row>
        <row r="769">
          <cell r="O769">
            <v>13.723616236162364</v>
          </cell>
        </row>
        <row r="770">
          <cell r="O770">
            <v>13.919667896678966</v>
          </cell>
        </row>
        <row r="771">
          <cell r="O771">
            <v>13.919667896678966</v>
          </cell>
        </row>
        <row r="772">
          <cell r="O772">
            <v>51.895929095354532</v>
          </cell>
        </row>
        <row r="773">
          <cell r="O773">
            <v>5.9293533123028386</v>
          </cell>
        </row>
        <row r="774">
          <cell r="O774">
            <v>2.9834999999999998</v>
          </cell>
        </row>
        <row r="775">
          <cell r="O775">
            <v>12.061419558359622</v>
          </cell>
        </row>
        <row r="776">
          <cell r="O776">
            <v>25.521661631419938</v>
          </cell>
        </row>
        <row r="777">
          <cell r="O777">
            <v>37.412375000000004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13.919667896678966</v>
          </cell>
        </row>
        <row r="781">
          <cell r="O781">
            <v>17.335468277945619</v>
          </cell>
        </row>
        <row r="782">
          <cell r="O782">
            <v>13.919667896678966</v>
          </cell>
        </row>
        <row r="783">
          <cell r="O783">
            <v>5.9293533123028386</v>
          </cell>
        </row>
        <row r="784">
          <cell r="O784">
            <v>5.9293533123028386</v>
          </cell>
        </row>
        <row r="785">
          <cell r="O785">
            <v>10.978892988929889</v>
          </cell>
        </row>
        <row r="786">
          <cell r="O786">
            <v>5.4410240963855427</v>
          </cell>
        </row>
        <row r="787">
          <cell r="O787">
            <v>5.4410240963855427</v>
          </cell>
        </row>
        <row r="788">
          <cell r="O788">
            <v>9.6065313653136553</v>
          </cell>
        </row>
        <row r="789">
          <cell r="O789">
            <v>9.5085055350553507</v>
          </cell>
        </row>
        <row r="790">
          <cell r="O790">
            <v>28.427490774907753</v>
          </cell>
        </row>
        <row r="791">
          <cell r="O791">
            <v>13.919667896678966</v>
          </cell>
        </row>
        <row r="792">
          <cell r="O792">
            <v>4.4629200000000004</v>
          </cell>
        </row>
        <row r="793">
          <cell r="O793">
            <v>0.50407255748821223</v>
          </cell>
        </row>
        <row r="794">
          <cell r="O794">
            <v>5.0916249999999996</v>
          </cell>
        </row>
        <row r="795">
          <cell r="O795">
            <v>8.9070882352941201</v>
          </cell>
        </row>
        <row r="796">
          <cell r="O796">
            <v>0.38085482121331588</v>
          </cell>
        </row>
        <row r="797">
          <cell r="O797">
            <v>14.311771217712177</v>
          </cell>
        </row>
        <row r="798">
          <cell r="O798">
            <v>15.390055350553506</v>
          </cell>
        </row>
        <row r="799">
          <cell r="O799">
            <v>21.764096385542171</v>
          </cell>
        </row>
        <row r="800">
          <cell r="O800">
            <v>4.8009036144578312</v>
          </cell>
        </row>
        <row r="801">
          <cell r="O801">
            <v>4.8009036144578312</v>
          </cell>
        </row>
        <row r="802">
          <cell r="O802">
            <v>23.330147601476018</v>
          </cell>
        </row>
        <row r="803">
          <cell r="O803">
            <v>6.3347791798107265</v>
          </cell>
        </row>
        <row r="804">
          <cell r="O804">
            <v>5.9293533123028386</v>
          </cell>
        </row>
        <row r="805">
          <cell r="O805">
            <v>11.436593655589123</v>
          </cell>
        </row>
        <row r="806">
          <cell r="O806">
            <v>15.390055350553506</v>
          </cell>
        </row>
        <row r="807">
          <cell r="O807">
            <v>14.801900369003691</v>
          </cell>
        </row>
        <row r="808">
          <cell r="O808">
            <v>24.604483394833952</v>
          </cell>
        </row>
        <row r="809">
          <cell r="O809">
            <v>14.311771217712177</v>
          </cell>
        </row>
        <row r="810">
          <cell r="O810">
            <v>29.407749077490777</v>
          </cell>
        </row>
        <row r="811">
          <cell r="O811">
            <v>7.5441389728096677</v>
          </cell>
        </row>
        <row r="812">
          <cell r="O812">
            <v>16.566365313653137</v>
          </cell>
        </row>
        <row r="813">
          <cell r="O813">
            <v>11.396465256797583</v>
          </cell>
        </row>
        <row r="814">
          <cell r="O814">
            <v>7.664229828850857</v>
          </cell>
        </row>
        <row r="815">
          <cell r="O815">
            <v>0.50407255748821223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6.689963325183375</v>
          </cell>
        </row>
        <row r="819">
          <cell r="O819">
            <v>18.659705438066467</v>
          </cell>
        </row>
        <row r="820">
          <cell r="O820">
            <v>7.0442744479495278</v>
          </cell>
        </row>
        <row r="821">
          <cell r="O821">
            <v>2.9834999999999998</v>
          </cell>
        </row>
        <row r="822">
          <cell r="O822">
            <v>2.9834999999999998</v>
          </cell>
        </row>
        <row r="823">
          <cell r="O823">
            <v>13.429538745387454</v>
          </cell>
        </row>
        <row r="824">
          <cell r="O824">
            <v>8.136143911439115</v>
          </cell>
        </row>
        <row r="825">
          <cell r="O825">
            <v>16.076236162361621</v>
          </cell>
        </row>
        <row r="826">
          <cell r="O826">
            <v>24.324578313253014</v>
          </cell>
        </row>
        <row r="827">
          <cell r="O827">
            <v>4.4808433734939754</v>
          </cell>
        </row>
        <row r="828">
          <cell r="O828">
            <v>4.1607831325301214</v>
          </cell>
        </row>
        <row r="829">
          <cell r="O829">
            <v>1.1873709131944554</v>
          </cell>
        </row>
        <row r="830">
          <cell r="O830">
            <v>7.3950000000000005</v>
          </cell>
        </row>
        <row r="831">
          <cell r="O831">
            <v>7.5225000000000009</v>
          </cell>
        </row>
        <row r="832">
          <cell r="O832">
            <v>7.5441389728096677</v>
          </cell>
        </row>
        <row r="833">
          <cell r="O833">
            <v>10.978892988929889</v>
          </cell>
        </row>
        <row r="834">
          <cell r="O834">
            <v>9.8025830258302573</v>
          </cell>
        </row>
        <row r="835">
          <cell r="O835">
            <v>9.0183763837638384</v>
          </cell>
        </row>
        <row r="836">
          <cell r="O836">
            <v>9.8715861027190339</v>
          </cell>
        </row>
        <row r="837">
          <cell r="O837">
            <v>3.0855000000000001</v>
          </cell>
        </row>
        <row r="838">
          <cell r="O838">
            <v>2.9834999999999998</v>
          </cell>
        </row>
        <row r="839">
          <cell r="O839">
            <v>11.436593655589123</v>
          </cell>
        </row>
        <row r="840">
          <cell r="O840">
            <v>32.548685140667416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3.7717534082093929</v>
          </cell>
        </row>
        <row r="845">
          <cell r="O845">
            <v>1.6395317220543806</v>
          </cell>
        </row>
        <row r="846">
          <cell r="O846">
            <v>7.6511480362537769</v>
          </cell>
        </row>
        <row r="847">
          <cell r="O847">
            <v>27.139906587301837</v>
          </cell>
        </row>
        <row r="848">
          <cell r="O848">
            <v>36.970977917981067</v>
          </cell>
        </row>
        <row r="849">
          <cell r="O849">
            <v>8.4333333333333336</v>
          </cell>
        </row>
        <row r="850">
          <cell r="O850">
            <v>3.9828571428571427</v>
          </cell>
        </row>
        <row r="851">
          <cell r="O851">
            <v>3.8857142857142857</v>
          </cell>
        </row>
        <row r="852">
          <cell r="O852">
            <v>4.6385714285714288</v>
          </cell>
        </row>
        <row r="853">
          <cell r="O853">
            <v>1.0454838229385142</v>
          </cell>
        </row>
        <row r="854">
          <cell r="O854">
            <v>4.3589156626506034</v>
          </cell>
        </row>
        <row r="855">
          <cell r="O855">
            <v>4.3589156626506034</v>
          </cell>
        </row>
        <row r="856">
          <cell r="O856">
            <v>5.3648192771084346</v>
          </cell>
        </row>
        <row r="857">
          <cell r="O857">
            <v>5.3648192771084346</v>
          </cell>
        </row>
        <row r="858">
          <cell r="O858">
            <v>13.915000000000001</v>
          </cell>
        </row>
        <row r="859">
          <cell r="O859">
            <v>12.631328413284134</v>
          </cell>
        </row>
        <row r="860">
          <cell r="O860">
            <v>12.631328413284134</v>
          </cell>
        </row>
        <row r="861">
          <cell r="O861">
            <v>13.555571955719557</v>
          </cell>
        </row>
        <row r="862">
          <cell r="O862">
            <v>8.9343542435424368</v>
          </cell>
        </row>
        <row r="863">
          <cell r="O863">
            <v>21.926666666666666</v>
          </cell>
        </row>
        <row r="864">
          <cell r="O864">
            <v>0</v>
          </cell>
        </row>
        <row r="865">
          <cell r="O865">
            <v>12.836715867158672</v>
          </cell>
        </row>
        <row r="866">
          <cell r="O866">
            <v>11.809778597785979</v>
          </cell>
        </row>
        <row r="867">
          <cell r="O867">
            <v>13.042103321033212</v>
          </cell>
        </row>
        <row r="868">
          <cell r="O868">
            <v>14.171734317343176</v>
          </cell>
        </row>
        <row r="869">
          <cell r="O869">
            <v>55.66</v>
          </cell>
        </row>
        <row r="870">
          <cell r="O870">
            <v>17.428888888888888</v>
          </cell>
        </row>
        <row r="871">
          <cell r="O871">
            <v>10.611944444444443</v>
          </cell>
        </row>
        <row r="872">
          <cell r="O872">
            <v>16.73907749077491</v>
          </cell>
        </row>
        <row r="873">
          <cell r="O873">
            <v>4.3589156626506034</v>
          </cell>
        </row>
        <row r="874">
          <cell r="O874">
            <v>4.3589156626506034</v>
          </cell>
        </row>
        <row r="875">
          <cell r="O875">
            <v>6.7119411764705887</v>
          </cell>
        </row>
        <row r="876">
          <cell r="O876">
            <v>11.400240963855422</v>
          </cell>
        </row>
        <row r="877">
          <cell r="O877">
            <v>4.3589156626506034</v>
          </cell>
        </row>
        <row r="878">
          <cell r="O878">
            <v>23.456782334384858</v>
          </cell>
        </row>
        <row r="879">
          <cell r="O879">
            <v>31.367146282973621</v>
          </cell>
        </row>
        <row r="880">
          <cell r="O880">
            <v>7.9033836858006046</v>
          </cell>
        </row>
        <row r="881">
          <cell r="O881">
            <v>17.868708487084874</v>
          </cell>
        </row>
        <row r="882">
          <cell r="O882">
            <v>7.7471428571428564</v>
          </cell>
        </row>
        <row r="883">
          <cell r="O883">
            <v>11.501697416974169</v>
          </cell>
        </row>
        <row r="884">
          <cell r="O884">
            <v>12.939409594095942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11.30856495468278</v>
          </cell>
        </row>
        <row r="888">
          <cell r="O888">
            <v>12.015166051660518</v>
          </cell>
        </row>
        <row r="889">
          <cell r="O889">
            <v>10.988228782287823</v>
          </cell>
        </row>
        <row r="890">
          <cell r="O890">
            <v>10.988228782287823</v>
          </cell>
        </row>
        <row r="891">
          <cell r="O891">
            <v>4.7504380664652572</v>
          </cell>
        </row>
        <row r="892">
          <cell r="O892">
            <v>4.0050553505535058</v>
          </cell>
        </row>
        <row r="893">
          <cell r="O893">
            <v>3.902361623616236</v>
          </cell>
        </row>
        <row r="894">
          <cell r="O894">
            <v>2.9977648392420662</v>
          </cell>
        </row>
        <row r="895">
          <cell r="O895">
            <v>11.912472324723248</v>
          </cell>
        </row>
        <row r="896">
          <cell r="O896">
            <v>27.761955990220049</v>
          </cell>
        </row>
        <row r="897">
          <cell r="O897">
            <v>10.714826498422713</v>
          </cell>
        </row>
        <row r="898">
          <cell r="O898">
            <v>14.171734317343176</v>
          </cell>
        </row>
        <row r="899">
          <cell r="O899">
            <v>2.9871428571428571</v>
          </cell>
        </row>
        <row r="900">
          <cell r="O900">
            <v>12.631328413284134</v>
          </cell>
        </row>
        <row r="901">
          <cell r="O901">
            <v>12.836715867158672</v>
          </cell>
        </row>
        <row r="902">
          <cell r="O902">
            <v>6.1296529968454259</v>
          </cell>
        </row>
        <row r="903">
          <cell r="O903">
            <v>22.018112449799197</v>
          </cell>
        </row>
        <row r="904">
          <cell r="O904">
            <v>32.202084592145013</v>
          </cell>
        </row>
        <row r="905">
          <cell r="O905">
            <v>24.141686746987954</v>
          </cell>
        </row>
        <row r="906">
          <cell r="O906">
            <v>4.6942168674698799</v>
          </cell>
        </row>
        <row r="907">
          <cell r="O907">
            <v>6.7060240963855433</v>
          </cell>
        </row>
        <row r="908">
          <cell r="O908">
            <v>5.3648192771084346</v>
          </cell>
        </row>
        <row r="909">
          <cell r="O909">
            <v>7.0413253012048207</v>
          </cell>
        </row>
        <row r="910">
          <cell r="O910">
            <v>4.3589156626506034</v>
          </cell>
        </row>
        <row r="911">
          <cell r="O911">
            <v>8.3825301204819294</v>
          </cell>
        </row>
        <row r="912">
          <cell r="O912">
            <v>4.3589156626506034</v>
          </cell>
        </row>
        <row r="913">
          <cell r="O913">
            <v>7.0413253012048207</v>
          </cell>
        </row>
        <row r="914">
          <cell r="O914">
            <v>0.3733870796208979</v>
          </cell>
        </row>
        <row r="915">
          <cell r="O915">
            <v>4.3589156626506034</v>
          </cell>
        </row>
        <row r="916">
          <cell r="O916">
            <v>85.667408312958443</v>
          </cell>
        </row>
        <row r="917">
          <cell r="O917">
            <v>16.689592145015109</v>
          </cell>
        </row>
        <row r="918">
          <cell r="O918">
            <v>27.559805825242716</v>
          </cell>
        </row>
        <row r="919">
          <cell r="O919">
            <v>108.73432762836188</v>
          </cell>
        </row>
        <row r="920">
          <cell r="O920">
            <v>15.404059040590408</v>
          </cell>
        </row>
        <row r="921">
          <cell r="O921">
            <v>5.6616905444126076</v>
          </cell>
        </row>
        <row r="922">
          <cell r="O922">
            <v>2.7737325914695274</v>
          </cell>
        </row>
        <row r="923">
          <cell r="O923">
            <v>28.71457212713937</v>
          </cell>
        </row>
        <row r="924">
          <cell r="O924">
            <v>16.020221402214023</v>
          </cell>
        </row>
        <row r="925">
          <cell r="O925">
            <v>12.836715867158672</v>
          </cell>
        </row>
        <row r="926">
          <cell r="O926">
            <v>12.425940959409596</v>
          </cell>
        </row>
        <row r="927">
          <cell r="O927">
            <v>12.836715867158672</v>
          </cell>
        </row>
        <row r="928">
          <cell r="O928">
            <v>16.636383763837639</v>
          </cell>
        </row>
        <row r="929">
          <cell r="O929">
            <v>16.841771217712175</v>
          </cell>
        </row>
        <row r="930">
          <cell r="O930">
            <v>48.723519637462239</v>
          </cell>
        </row>
        <row r="931">
          <cell r="O931">
            <v>9.5564668769716086</v>
          </cell>
        </row>
        <row r="932">
          <cell r="O932">
            <v>13.24749077490775</v>
          </cell>
        </row>
        <row r="933">
          <cell r="O933">
            <v>10.577453874538747</v>
          </cell>
        </row>
        <row r="934">
          <cell r="O934">
            <v>16.533690036900371</v>
          </cell>
        </row>
        <row r="935">
          <cell r="O935">
            <v>6.3793696275071641</v>
          </cell>
        </row>
        <row r="936">
          <cell r="O936">
            <v>6.5723985239852416</v>
          </cell>
        </row>
        <row r="937">
          <cell r="O937">
            <v>41.385571955719556</v>
          </cell>
        </row>
        <row r="938">
          <cell r="O938">
            <v>0.54407831601902268</v>
          </cell>
        </row>
        <row r="939">
          <cell r="O939">
            <v>0.41605988872042909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24.646494464944652</v>
          </cell>
        </row>
        <row r="943">
          <cell r="O943">
            <v>16.072239747634068</v>
          </cell>
        </row>
        <row r="944">
          <cell r="O944">
            <v>2.5151039863712961</v>
          </cell>
        </row>
        <row r="945">
          <cell r="O945">
            <v>0</v>
          </cell>
        </row>
        <row r="946">
          <cell r="O946">
            <v>22.968132530120485</v>
          </cell>
        </row>
        <row r="947">
          <cell r="O947">
            <v>4.67544</v>
          </cell>
        </row>
        <row r="948">
          <cell r="O948">
            <v>18.080095923261393</v>
          </cell>
        </row>
        <row r="949">
          <cell r="O949">
            <v>160.30488264058681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14.629667673716012</v>
          </cell>
        </row>
        <row r="955">
          <cell r="O955">
            <v>21.68281124497992</v>
          </cell>
        </row>
        <row r="956">
          <cell r="O956">
            <v>4.3589156626506034</v>
          </cell>
        </row>
        <row r="957">
          <cell r="O957">
            <v>4.023614457831326</v>
          </cell>
        </row>
        <row r="958">
          <cell r="O958">
            <v>4.3589156626506034</v>
          </cell>
        </row>
        <row r="959">
          <cell r="O959">
            <v>4.023614457831326</v>
          </cell>
        </row>
        <row r="960">
          <cell r="O960">
            <v>5.5454612546125466</v>
          </cell>
        </row>
        <row r="961">
          <cell r="O961">
            <v>4.023614457831326</v>
          </cell>
        </row>
        <row r="962">
          <cell r="O962">
            <v>4.023614457831326</v>
          </cell>
        </row>
        <row r="963">
          <cell r="O963">
            <v>14.417951807228917</v>
          </cell>
        </row>
        <row r="964">
          <cell r="O964">
            <v>4.023614457831326</v>
          </cell>
        </row>
        <row r="965">
          <cell r="O965">
            <v>4.023614457831326</v>
          </cell>
        </row>
        <row r="966">
          <cell r="O966">
            <v>7.0413253012048207</v>
          </cell>
        </row>
        <row r="967">
          <cell r="O967">
            <v>4.023614457831326</v>
          </cell>
        </row>
        <row r="968">
          <cell r="O968">
            <v>8.7178313253012067</v>
          </cell>
        </row>
        <row r="969">
          <cell r="O969">
            <v>4.023614457831326</v>
          </cell>
        </row>
        <row r="970">
          <cell r="O970">
            <v>17.100361445783133</v>
          </cell>
        </row>
        <row r="971">
          <cell r="O971">
            <v>2.1128571428571425</v>
          </cell>
        </row>
        <row r="972">
          <cell r="O972">
            <v>9.7951510574018137</v>
          </cell>
        </row>
        <row r="973">
          <cell r="O973">
            <v>2.5257142857142858</v>
          </cell>
        </row>
        <row r="974">
          <cell r="O974">
            <v>7.8189274447949524</v>
          </cell>
        </row>
        <row r="975">
          <cell r="O975">
            <v>17.007222222222222</v>
          </cell>
        </row>
        <row r="976">
          <cell r="O976">
            <v>12.528634686346864</v>
          </cell>
        </row>
        <row r="977">
          <cell r="O977">
            <v>10.16667896678967</v>
          </cell>
        </row>
        <row r="978">
          <cell r="O978">
            <v>17.355239852398523</v>
          </cell>
        </row>
        <row r="979">
          <cell r="O979">
            <v>27.898044009779955</v>
          </cell>
        </row>
        <row r="980">
          <cell r="O980">
            <v>16.020221402214023</v>
          </cell>
        </row>
        <row r="981">
          <cell r="O981">
            <v>12.734022140221404</v>
          </cell>
        </row>
        <row r="982">
          <cell r="O982">
            <v>16.841771217712175</v>
          </cell>
        </row>
        <row r="983">
          <cell r="O983">
            <v>14.171734317343176</v>
          </cell>
        </row>
        <row r="984">
          <cell r="O984">
            <v>12.425940959409596</v>
          </cell>
        </row>
        <row r="985">
          <cell r="O985">
            <v>12.836715867158672</v>
          </cell>
        </row>
        <row r="986">
          <cell r="O986">
            <v>20.744132841328412</v>
          </cell>
        </row>
        <row r="987">
          <cell r="O987">
            <v>6.0331230283911674</v>
          </cell>
        </row>
        <row r="988">
          <cell r="O988">
            <v>2.9871428571428571</v>
          </cell>
        </row>
        <row r="989">
          <cell r="O989">
            <v>22.112658610271907</v>
          </cell>
        </row>
        <row r="990">
          <cell r="O990">
            <v>13.658265682656829</v>
          </cell>
        </row>
        <row r="991">
          <cell r="O991">
            <v>13.555571955719557</v>
          </cell>
        </row>
        <row r="992">
          <cell r="O992">
            <v>13.350184501845019</v>
          </cell>
        </row>
        <row r="993">
          <cell r="O993">
            <v>13.452878228782289</v>
          </cell>
        </row>
        <row r="994">
          <cell r="O994">
            <v>12.452365930599369</v>
          </cell>
        </row>
        <row r="995">
          <cell r="O995">
            <v>0.30937786597160111</v>
          </cell>
        </row>
        <row r="996">
          <cell r="O996">
            <v>9.0575867158671599</v>
          </cell>
        </row>
        <row r="997">
          <cell r="O997">
            <v>16.016963746223567</v>
          </cell>
        </row>
        <row r="998">
          <cell r="O998">
            <v>4.7782334384858043</v>
          </cell>
        </row>
        <row r="999">
          <cell r="O999">
            <v>3.688313253012049</v>
          </cell>
        </row>
        <row r="1000">
          <cell r="O1000">
            <v>3.688313253012049</v>
          </cell>
        </row>
        <row r="1001">
          <cell r="O1001">
            <v>17.99111111111111</v>
          </cell>
        </row>
        <row r="1002">
          <cell r="O1002">
            <v>5.6952681388012625</v>
          </cell>
        </row>
        <row r="1003">
          <cell r="O1003">
            <v>12.117859778597786</v>
          </cell>
        </row>
        <row r="1004">
          <cell r="O1004">
            <v>12.220553505535056</v>
          </cell>
        </row>
        <row r="1005">
          <cell r="O1005">
            <v>11.912472324723248</v>
          </cell>
        </row>
        <row r="1006">
          <cell r="O1006">
            <v>12.220553505535056</v>
          </cell>
        </row>
        <row r="1007">
          <cell r="O1007">
            <v>13.658265682656829</v>
          </cell>
        </row>
        <row r="1008">
          <cell r="O1008">
            <v>13.452878228782289</v>
          </cell>
        </row>
        <row r="1009">
          <cell r="O1009">
            <v>12.015166051660518</v>
          </cell>
        </row>
        <row r="1010">
          <cell r="O1010">
            <v>11.809778597785979</v>
          </cell>
        </row>
        <row r="1011">
          <cell r="O1011">
            <v>12.015166051660518</v>
          </cell>
        </row>
        <row r="1012">
          <cell r="O1012">
            <v>12.015166051660518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16.944464944649447</v>
          </cell>
        </row>
        <row r="1016">
          <cell r="O1016">
            <v>5.1207200000000004</v>
          </cell>
        </row>
        <row r="1017">
          <cell r="O1017">
            <v>0</v>
          </cell>
        </row>
        <row r="1018">
          <cell r="O1018">
            <v>4.6942168674698799</v>
          </cell>
        </row>
        <row r="1019">
          <cell r="O1019">
            <v>4.6942168674698799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16.899788519637465</v>
          </cell>
        </row>
        <row r="1023">
          <cell r="O1023">
            <v>27.19941087613293</v>
          </cell>
        </row>
        <row r="1024">
          <cell r="O1024">
            <v>0</v>
          </cell>
        </row>
        <row r="1025">
          <cell r="O1025">
            <v>18.587564575645761</v>
          </cell>
        </row>
        <row r="1026">
          <cell r="O1026">
            <v>14.529718875502008</v>
          </cell>
        </row>
        <row r="1027">
          <cell r="O1027">
            <v>15.680649546827794</v>
          </cell>
        </row>
        <row r="1028">
          <cell r="O1028">
            <v>11.680126182965299</v>
          </cell>
        </row>
        <row r="1029">
          <cell r="O1029">
            <v>17.560627306273066</v>
          </cell>
        </row>
        <row r="1030">
          <cell r="O1030">
            <v>17.560627306273066</v>
          </cell>
        </row>
        <row r="1031">
          <cell r="O1031">
            <v>4.2459667673716011</v>
          </cell>
        </row>
        <row r="1032">
          <cell r="O1032">
            <v>17.230599369085176</v>
          </cell>
        </row>
        <row r="1033">
          <cell r="O1033">
            <v>17.560627306273066</v>
          </cell>
        </row>
        <row r="1034">
          <cell r="O1034">
            <v>14.592808022922638</v>
          </cell>
        </row>
        <row r="1035">
          <cell r="O1035">
            <v>11.707084870848711</v>
          </cell>
        </row>
        <row r="1036">
          <cell r="O1036">
            <v>17.560627306273066</v>
          </cell>
        </row>
        <row r="1037">
          <cell r="O1037">
            <v>15.301365313653138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23.722250922509229</v>
          </cell>
        </row>
        <row r="1041">
          <cell r="O1041">
            <v>15.404059040590408</v>
          </cell>
        </row>
        <row r="1042">
          <cell r="O1042">
            <v>3.06</v>
          </cell>
        </row>
        <row r="1043">
          <cell r="O1043">
            <v>17.560627306273066</v>
          </cell>
        </row>
        <row r="1044">
          <cell r="O1044">
            <v>10.678177458033574</v>
          </cell>
        </row>
        <row r="1045">
          <cell r="O1045">
            <v>17.147090464547681</v>
          </cell>
        </row>
        <row r="1046">
          <cell r="O1046">
            <v>16.225608856088563</v>
          </cell>
        </row>
        <row r="1047">
          <cell r="O1047">
            <v>12.836715867158672</v>
          </cell>
        </row>
        <row r="1048">
          <cell r="O1048">
            <v>46.621555891238678</v>
          </cell>
        </row>
        <row r="1049">
          <cell r="O1049">
            <v>16.944464944649447</v>
          </cell>
        </row>
        <row r="1050">
          <cell r="O1050">
            <v>16.944464944649447</v>
          </cell>
        </row>
        <row r="1051">
          <cell r="O1051">
            <v>11.384999999999998</v>
          </cell>
        </row>
        <row r="1052">
          <cell r="O1052">
            <v>4.0778096676737157</v>
          </cell>
        </row>
        <row r="1053">
          <cell r="O1053">
            <v>2.7993690851735016</v>
          </cell>
        </row>
        <row r="1054">
          <cell r="O1054">
            <v>6.7060240963855433</v>
          </cell>
        </row>
        <row r="1055">
          <cell r="O1055">
            <v>7.0413253012048207</v>
          </cell>
        </row>
        <row r="1056">
          <cell r="O1056">
            <v>4.6942168674698799</v>
          </cell>
        </row>
        <row r="1057">
          <cell r="O1057">
            <v>5.3648192771084346</v>
          </cell>
        </row>
        <row r="1058">
          <cell r="O1058">
            <v>8.3825301204819294</v>
          </cell>
        </row>
        <row r="1059">
          <cell r="O1059">
            <v>4.3589156626506034</v>
          </cell>
        </row>
        <row r="1060">
          <cell r="O1060">
            <v>24.141686746987954</v>
          </cell>
        </row>
        <row r="1061">
          <cell r="O1061">
            <v>4.3589156626506034</v>
          </cell>
        </row>
        <row r="1062">
          <cell r="O1062">
            <v>7.0413253012048207</v>
          </cell>
        </row>
        <row r="1063">
          <cell r="O1063">
            <v>25.594658634538153</v>
          </cell>
        </row>
        <row r="1064">
          <cell r="O1064">
            <v>0</v>
          </cell>
        </row>
        <row r="1065">
          <cell r="O1065">
            <v>1.8242625890049584</v>
          </cell>
        </row>
        <row r="1066">
          <cell r="O1066">
            <v>2.5742857142857143</v>
          </cell>
        </row>
        <row r="1067">
          <cell r="O1067">
            <v>14.406944444444443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3.7646687697160881</v>
          </cell>
        </row>
        <row r="1071">
          <cell r="O1071">
            <v>17.079046454767727</v>
          </cell>
        </row>
        <row r="1072">
          <cell r="O1072">
            <v>12.860833333333332</v>
          </cell>
        </row>
        <row r="1073">
          <cell r="O1073">
            <v>14.336666666666664</v>
          </cell>
        </row>
        <row r="1074">
          <cell r="O1074">
            <v>12.860833333333332</v>
          </cell>
        </row>
        <row r="1075">
          <cell r="O1075">
            <v>8.644166666666667</v>
          </cell>
        </row>
        <row r="1076">
          <cell r="O1076">
            <v>16.636383763837639</v>
          </cell>
        </row>
        <row r="1077">
          <cell r="O1077">
            <v>12.734022140221404</v>
          </cell>
        </row>
        <row r="1078">
          <cell r="O1078">
            <v>14.171734317343176</v>
          </cell>
        </row>
        <row r="1079">
          <cell r="O1079">
            <v>42.627824773413899</v>
          </cell>
        </row>
        <row r="1080">
          <cell r="O1080">
            <v>10.686634656593281</v>
          </cell>
        </row>
        <row r="1081">
          <cell r="O1081">
            <v>0.50447129909365562</v>
          </cell>
        </row>
        <row r="1082">
          <cell r="O1082">
            <v>0.50447129909365562</v>
          </cell>
        </row>
        <row r="1083">
          <cell r="O1083">
            <v>12.734022140221404</v>
          </cell>
        </row>
        <row r="1084">
          <cell r="O1084">
            <v>15.609446494464944</v>
          </cell>
        </row>
        <row r="1085">
          <cell r="O1085">
            <v>14.069040590405905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2.7442857142857142</v>
          </cell>
        </row>
        <row r="1089">
          <cell r="O1089">
            <v>0.51207370919437423</v>
          </cell>
        </row>
        <row r="1090">
          <cell r="O1090">
            <v>0</v>
          </cell>
        </row>
        <row r="1091">
          <cell r="O1091">
            <v>15.037726161369196</v>
          </cell>
        </row>
        <row r="1092">
          <cell r="O1092">
            <v>15.386374622356495</v>
          </cell>
        </row>
        <row r="1093">
          <cell r="O1093">
            <v>2.9258924205378976</v>
          </cell>
        </row>
        <row r="1094">
          <cell r="O1094">
            <v>0</v>
          </cell>
        </row>
        <row r="1095">
          <cell r="O1095">
            <v>5.4427675276752767</v>
          </cell>
        </row>
        <row r="1096">
          <cell r="O1096">
            <v>5.4427675276752767</v>
          </cell>
        </row>
        <row r="1097">
          <cell r="O1097">
            <v>5.4427675276752767</v>
          </cell>
        </row>
        <row r="1098">
          <cell r="O1098">
            <v>5.2373800738007379</v>
          </cell>
        </row>
        <row r="1099">
          <cell r="O1099">
            <v>5.2373800738007379</v>
          </cell>
        </row>
        <row r="1100">
          <cell r="O1100">
            <v>5.2373800738007379</v>
          </cell>
        </row>
        <row r="1101">
          <cell r="O1101">
            <v>5.2373800738007379</v>
          </cell>
        </row>
        <row r="1102">
          <cell r="O1102">
            <v>48.014395604395617</v>
          </cell>
        </row>
        <row r="1103">
          <cell r="O1103">
            <v>6.8300732600732612</v>
          </cell>
        </row>
        <row r="1104">
          <cell r="O1104">
            <v>9.7237349397590371</v>
          </cell>
        </row>
        <row r="1105">
          <cell r="O1105">
            <v>10.059036144578315</v>
          </cell>
        </row>
        <row r="1106">
          <cell r="O1106">
            <v>10.059036144578315</v>
          </cell>
        </row>
        <row r="1107">
          <cell r="O1107">
            <v>16.094457831325304</v>
          </cell>
        </row>
        <row r="1108">
          <cell r="O1108">
            <v>3.2790634441087612</v>
          </cell>
        </row>
        <row r="1109">
          <cell r="O1109">
            <v>0.7681105637915614</v>
          </cell>
        </row>
        <row r="1110">
          <cell r="O1110">
            <v>7.2912546125461253</v>
          </cell>
        </row>
        <row r="1111">
          <cell r="O1111">
            <v>15.19867158671587</v>
          </cell>
        </row>
        <row r="1112">
          <cell r="O1112">
            <v>20.641439114391147</v>
          </cell>
        </row>
        <row r="1113">
          <cell r="O1113">
            <v>11.912472324723248</v>
          </cell>
        </row>
        <row r="1114">
          <cell r="O1114">
            <v>13.350184501845019</v>
          </cell>
        </row>
        <row r="1115">
          <cell r="O1115">
            <v>17.21513447432763</v>
          </cell>
        </row>
        <row r="1116">
          <cell r="O1116">
            <v>18.260945558739255</v>
          </cell>
        </row>
        <row r="1117">
          <cell r="O1117">
            <v>5.7435331230283913</v>
          </cell>
        </row>
        <row r="1118">
          <cell r="O1118">
            <v>2.9871428571428571</v>
          </cell>
        </row>
        <row r="1119">
          <cell r="O1119">
            <v>6.419242902208202</v>
          </cell>
        </row>
        <row r="1120">
          <cell r="O1120">
            <v>2.6714285714285713</v>
          </cell>
        </row>
        <row r="1121">
          <cell r="O1121">
            <v>10.47877750611247</v>
          </cell>
        </row>
        <row r="1122">
          <cell r="O1122">
            <v>15.46111111111111</v>
          </cell>
        </row>
        <row r="1123">
          <cell r="O1123">
            <v>7.3362776025236593</v>
          </cell>
        </row>
        <row r="1124">
          <cell r="O1124">
            <v>41.166625916870423</v>
          </cell>
        </row>
        <row r="1125">
          <cell r="O1125">
            <v>25.770075528700907</v>
          </cell>
        </row>
        <row r="1126">
          <cell r="O1126">
            <v>33.547341389728096</v>
          </cell>
        </row>
        <row r="1127">
          <cell r="O1127">
            <v>8.3825301204819294</v>
          </cell>
        </row>
        <row r="1128">
          <cell r="O1128">
            <v>4.3589156626506034</v>
          </cell>
        </row>
        <row r="1129">
          <cell r="O1129">
            <v>4.6942168674698799</v>
          </cell>
        </row>
        <row r="1130">
          <cell r="O1130">
            <v>6.7060240963855433</v>
          </cell>
        </row>
        <row r="1131">
          <cell r="O1131">
            <v>5.3648192771084346</v>
          </cell>
        </row>
        <row r="1132">
          <cell r="O1132">
            <v>7.0413253012048207</v>
          </cell>
        </row>
        <row r="1133">
          <cell r="O1133">
            <v>24.141686746987954</v>
          </cell>
        </row>
        <row r="1134">
          <cell r="O1134">
            <v>4.3589156626506034</v>
          </cell>
        </row>
        <row r="1135">
          <cell r="O1135">
            <v>7.0413253012048207</v>
          </cell>
        </row>
        <row r="1136">
          <cell r="O1136">
            <v>25.594658634538153</v>
          </cell>
        </row>
        <row r="1137">
          <cell r="O1137">
            <v>10.682222222222221</v>
          </cell>
        </row>
        <row r="1138">
          <cell r="O1138">
            <v>24.631931540342304</v>
          </cell>
        </row>
        <row r="1139">
          <cell r="O1139">
            <v>7.3362776025236593</v>
          </cell>
        </row>
        <row r="1140">
          <cell r="O1140">
            <v>16.841771217712175</v>
          </cell>
        </row>
        <row r="1141">
          <cell r="O1141">
            <v>17.047158671586718</v>
          </cell>
        </row>
        <row r="1142">
          <cell r="O1142">
            <v>16.841771217712175</v>
          </cell>
        </row>
        <row r="1143">
          <cell r="O1143">
            <v>17.047158671586718</v>
          </cell>
        </row>
        <row r="1144">
          <cell r="O1144">
            <v>16.841771217712175</v>
          </cell>
        </row>
        <row r="1145">
          <cell r="O1145">
            <v>20.004938875305623</v>
          </cell>
        </row>
        <row r="1146">
          <cell r="O1146">
            <v>62.218126888217519</v>
          </cell>
        </row>
        <row r="1147">
          <cell r="O1147">
            <v>29.259335347432025</v>
          </cell>
        </row>
        <row r="1148">
          <cell r="O1148">
            <v>10.401111111111112</v>
          </cell>
        </row>
        <row r="1149">
          <cell r="O1149">
            <v>0.54407831601902268</v>
          </cell>
        </row>
        <row r="1150">
          <cell r="O1150">
            <v>6.9501577287066247</v>
          </cell>
        </row>
        <row r="1151">
          <cell r="O1151">
            <v>15.609446494464944</v>
          </cell>
        </row>
        <row r="1152">
          <cell r="O1152">
            <v>7.0949526813880119</v>
          </cell>
        </row>
        <row r="1153">
          <cell r="O1153">
            <v>26.084206642066423</v>
          </cell>
        </row>
        <row r="1154">
          <cell r="O1154">
            <v>9.2066012084592135</v>
          </cell>
        </row>
        <row r="1155">
          <cell r="O1155">
            <v>0</v>
          </cell>
        </row>
        <row r="1156">
          <cell r="O1156">
            <v>10.328706624605678</v>
          </cell>
        </row>
        <row r="1157">
          <cell r="O1157">
            <v>13.914999999999999</v>
          </cell>
        </row>
        <row r="1158">
          <cell r="O1158">
            <v>12.821978851963745</v>
          </cell>
        </row>
        <row r="1159">
          <cell r="O1159">
            <v>15.917527675276755</v>
          </cell>
        </row>
        <row r="1160">
          <cell r="O1160">
            <v>16.944464944649447</v>
          </cell>
        </row>
        <row r="1161">
          <cell r="O1161">
            <v>16.636383763837639</v>
          </cell>
        </row>
        <row r="1162">
          <cell r="O1162">
            <v>0.51207370919437423</v>
          </cell>
        </row>
        <row r="1163">
          <cell r="O1163">
            <v>25.057269372693728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5.7508487084870845</v>
          </cell>
        </row>
        <row r="1167">
          <cell r="O1167">
            <v>6.0813880126182962</v>
          </cell>
        </row>
        <row r="1168">
          <cell r="O1168">
            <v>18.693042168674701</v>
          </cell>
        </row>
        <row r="1169">
          <cell r="O1169">
            <v>4.3589156626506034</v>
          </cell>
        </row>
        <row r="1170">
          <cell r="O1170">
            <v>6.7060240963855433</v>
          </cell>
        </row>
        <row r="1171">
          <cell r="O1171">
            <v>4.6942168674698799</v>
          </cell>
        </row>
        <row r="1172">
          <cell r="O1172">
            <v>7.7119277108433737</v>
          </cell>
        </row>
        <row r="1173">
          <cell r="O1173">
            <v>10.313470588235294</v>
          </cell>
        </row>
        <row r="1174">
          <cell r="O1174">
            <v>4.4528000000000008</v>
          </cell>
        </row>
        <row r="1175">
          <cell r="O1175">
            <v>5.3648192771084346</v>
          </cell>
        </row>
        <row r="1176">
          <cell r="O1176">
            <v>1.0930211480362539</v>
          </cell>
        </row>
        <row r="1177">
          <cell r="O1177">
            <v>0.71466767371601214</v>
          </cell>
        </row>
        <row r="1178">
          <cell r="O1178">
            <v>1.4250301204819278</v>
          </cell>
        </row>
        <row r="1179">
          <cell r="O1179">
            <v>10.401111111111112</v>
          </cell>
        </row>
        <row r="1180">
          <cell r="O1180">
            <v>0.52274191146925708</v>
          </cell>
        </row>
        <row r="1181">
          <cell r="O1181">
            <v>17.5432664756447</v>
          </cell>
        </row>
        <row r="1182">
          <cell r="O1182">
            <v>12.211041009463722</v>
          </cell>
        </row>
        <row r="1183">
          <cell r="O1183">
            <v>16.636383763837639</v>
          </cell>
        </row>
        <row r="1184">
          <cell r="O1184">
            <v>16.944464944649447</v>
          </cell>
        </row>
        <row r="1185">
          <cell r="O1185">
            <v>16.020221402214023</v>
          </cell>
        </row>
        <row r="1186">
          <cell r="O1186">
            <v>20.95755501222494</v>
          </cell>
        </row>
        <row r="1187">
          <cell r="O1187">
            <v>19.464184290030211</v>
          </cell>
        </row>
        <row r="1188">
          <cell r="O1188">
            <v>15.19867158671587</v>
          </cell>
        </row>
        <row r="1189">
          <cell r="O1189">
            <v>12.57972222222222</v>
          </cell>
        </row>
        <row r="1190">
          <cell r="O1190">
            <v>16.841771217712175</v>
          </cell>
        </row>
        <row r="1191">
          <cell r="O1191">
            <v>0.96013820473945177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18.587564575645761</v>
          </cell>
        </row>
        <row r="1195">
          <cell r="O1195">
            <v>16.841771217712175</v>
          </cell>
        </row>
        <row r="1196">
          <cell r="O1196">
            <v>7.7706624605678236</v>
          </cell>
        </row>
        <row r="1197">
          <cell r="O1197">
            <v>7.722397476340694</v>
          </cell>
        </row>
        <row r="1198">
          <cell r="O1198">
            <v>20.846826568265683</v>
          </cell>
        </row>
        <row r="1199">
          <cell r="O1199">
            <v>16.841771217712175</v>
          </cell>
        </row>
        <row r="1200">
          <cell r="O1200">
            <v>12.57972222222222</v>
          </cell>
        </row>
        <row r="1201">
          <cell r="O1201">
            <v>6.9501577287066247</v>
          </cell>
        </row>
        <row r="1202">
          <cell r="O1202">
            <v>3.4971428571428573</v>
          </cell>
        </row>
        <row r="1203">
          <cell r="O1203">
            <v>14.685202952029522</v>
          </cell>
        </row>
        <row r="1204">
          <cell r="O1204">
            <v>16.841771217712175</v>
          </cell>
        </row>
        <row r="1205">
          <cell r="O1205">
            <v>14.017066014669929</v>
          </cell>
        </row>
        <row r="1206">
          <cell r="O1206">
            <v>14.479815498154982</v>
          </cell>
        </row>
        <row r="1207">
          <cell r="O1207">
            <v>26.442703927492449</v>
          </cell>
        </row>
        <row r="1208">
          <cell r="O1208">
            <v>16.841771217712175</v>
          </cell>
        </row>
        <row r="1209">
          <cell r="O1209">
            <v>16.841771217712175</v>
          </cell>
        </row>
        <row r="1210">
          <cell r="O1210">
            <v>21.360295202952035</v>
          </cell>
        </row>
        <row r="1211">
          <cell r="O1211">
            <v>5.6222222222222218</v>
          </cell>
        </row>
        <row r="1212">
          <cell r="O1212">
            <v>16.636383763837639</v>
          </cell>
        </row>
        <row r="1213">
          <cell r="O1213">
            <v>5.8106593406593419</v>
          </cell>
        </row>
        <row r="1214">
          <cell r="O1214">
            <v>0.93880180018968629</v>
          </cell>
        </row>
        <row r="1215">
          <cell r="O1215">
            <v>5.5048351648351659</v>
          </cell>
        </row>
        <row r="1216">
          <cell r="O1216">
            <v>23.311476014760149</v>
          </cell>
        </row>
        <row r="1217">
          <cell r="O1217">
            <v>20.744132841328412</v>
          </cell>
        </row>
        <row r="1218">
          <cell r="O1218">
            <v>14.069040590405905</v>
          </cell>
        </row>
        <row r="1219">
          <cell r="O1219">
            <v>6.0354216867469885</v>
          </cell>
        </row>
        <row r="1220">
          <cell r="O1220">
            <v>0.14935483184835915</v>
          </cell>
        </row>
        <row r="1221">
          <cell r="O1221">
            <v>0.92813359791480332</v>
          </cell>
        </row>
        <row r="1222">
          <cell r="O1222">
            <v>14.069040590405905</v>
          </cell>
        </row>
        <row r="1223">
          <cell r="O1223">
            <v>14.377121771217714</v>
          </cell>
        </row>
        <row r="1224">
          <cell r="O1224">
            <v>29.343413897280968</v>
          </cell>
        </row>
        <row r="1225">
          <cell r="O1225">
            <v>1.9513737825294539</v>
          </cell>
        </row>
        <row r="1226">
          <cell r="O1226">
            <v>4.2301599999999997</v>
          </cell>
        </row>
        <row r="1227">
          <cell r="O1227">
            <v>0</v>
          </cell>
        </row>
        <row r="1228">
          <cell r="O1228">
            <v>0</v>
          </cell>
        </row>
        <row r="1229">
          <cell r="O1229">
            <v>0</v>
          </cell>
        </row>
        <row r="1230">
          <cell r="O1230">
            <v>0</v>
          </cell>
        </row>
        <row r="1231">
          <cell r="O1231">
            <v>51.860332103321035</v>
          </cell>
        </row>
        <row r="1232">
          <cell r="O1232">
            <v>7.1885608856088572</v>
          </cell>
        </row>
        <row r="1233">
          <cell r="O1233">
            <v>127.5151749019608</v>
          </cell>
        </row>
        <row r="1234">
          <cell r="O1234">
            <v>6.3058912386706947</v>
          </cell>
        </row>
        <row r="1235">
          <cell r="O1235">
            <v>127.5151749019608</v>
          </cell>
        </row>
        <row r="1236">
          <cell r="O1236">
            <v>0</v>
          </cell>
        </row>
        <row r="1237">
          <cell r="O1237">
            <v>87.300464547677279</v>
          </cell>
        </row>
        <row r="1238">
          <cell r="O1238">
            <v>43.762885196374619</v>
          </cell>
        </row>
        <row r="1239">
          <cell r="O1239">
            <v>19.223935742971886</v>
          </cell>
        </row>
        <row r="1240">
          <cell r="O1240">
            <v>46.075045317220543</v>
          </cell>
        </row>
        <row r="1241">
          <cell r="O1241">
            <v>7.8711111111111096</v>
          </cell>
        </row>
        <row r="1242">
          <cell r="O1242">
            <v>20.744132841328412</v>
          </cell>
        </row>
        <row r="1243">
          <cell r="O1243">
            <v>2.9871428571428571</v>
          </cell>
        </row>
        <row r="1244">
          <cell r="O1244">
            <v>20.744132841328412</v>
          </cell>
        </row>
        <row r="1245">
          <cell r="O1245">
            <v>12.836715867158672</v>
          </cell>
        </row>
        <row r="1246">
          <cell r="O1246">
            <v>16.020221402214023</v>
          </cell>
        </row>
        <row r="1247">
          <cell r="O1247">
            <v>27.761955990220049</v>
          </cell>
        </row>
        <row r="1248">
          <cell r="O1248">
            <v>0</v>
          </cell>
        </row>
        <row r="1249">
          <cell r="O1249">
            <v>31.554722222222217</v>
          </cell>
        </row>
        <row r="1250">
          <cell r="O1250">
            <v>15.917527675276755</v>
          </cell>
        </row>
        <row r="1251">
          <cell r="O1251">
            <v>4.0071428571428571</v>
          </cell>
        </row>
        <row r="1252">
          <cell r="O1252">
            <v>16.636383763837639</v>
          </cell>
        </row>
        <row r="1253">
          <cell r="O1253">
            <v>0</v>
          </cell>
        </row>
        <row r="1254">
          <cell r="O1254">
            <v>0</v>
          </cell>
        </row>
        <row r="1255">
          <cell r="O1255">
            <v>3.9585714285714286</v>
          </cell>
        </row>
        <row r="1256">
          <cell r="O1256">
            <v>11.098368580060423</v>
          </cell>
        </row>
        <row r="1257">
          <cell r="O1257">
            <v>1.7779183351935024</v>
          </cell>
        </row>
        <row r="1258">
          <cell r="O1258">
            <v>9.5429154078549843</v>
          </cell>
        </row>
        <row r="1259">
          <cell r="O1259">
            <v>20.846826568265683</v>
          </cell>
        </row>
        <row r="1260">
          <cell r="O1260">
            <v>22.079151291512918</v>
          </cell>
        </row>
        <row r="1261">
          <cell r="O1261">
            <v>14.209274924471298</v>
          </cell>
        </row>
        <row r="1262">
          <cell r="O1262">
            <v>6.2862556803489884</v>
          </cell>
        </row>
        <row r="1263">
          <cell r="O1263">
            <v>9.8880229226361056</v>
          </cell>
        </row>
        <row r="1264">
          <cell r="O1264">
            <v>13.760959409594099</v>
          </cell>
        </row>
        <row r="1265">
          <cell r="O1265">
            <v>8.1852941176470591</v>
          </cell>
        </row>
        <row r="1266">
          <cell r="O1266">
            <v>1.4828801162087089</v>
          </cell>
        </row>
        <row r="1267">
          <cell r="O1267">
            <v>8.3825301204819294</v>
          </cell>
        </row>
        <row r="1268">
          <cell r="O1268">
            <v>4.3589156626506034</v>
          </cell>
        </row>
        <row r="1269">
          <cell r="O1269">
            <v>6.7060240963855433</v>
          </cell>
        </row>
        <row r="1270">
          <cell r="O1270">
            <v>4.6942168674698799</v>
          </cell>
        </row>
        <row r="1271">
          <cell r="O1271">
            <v>7.0413253012048207</v>
          </cell>
        </row>
        <row r="1272">
          <cell r="O1272">
            <v>5.3648192771084346</v>
          </cell>
        </row>
        <row r="1273">
          <cell r="O1273">
            <v>24.141686746987954</v>
          </cell>
        </row>
        <row r="1274">
          <cell r="O1274">
            <v>7.0413253012048207</v>
          </cell>
        </row>
        <row r="1275">
          <cell r="O1275">
            <v>4.3589156626506034</v>
          </cell>
        </row>
        <row r="1276">
          <cell r="O1276">
            <v>25.594658634538153</v>
          </cell>
        </row>
        <row r="1277">
          <cell r="O1277">
            <v>59.384722222222216</v>
          </cell>
        </row>
        <row r="1278">
          <cell r="O1278">
            <v>7.7475457875457883</v>
          </cell>
        </row>
        <row r="1279">
          <cell r="O1279">
            <v>14.171734317343176</v>
          </cell>
        </row>
        <row r="1280">
          <cell r="O1280">
            <v>15.917527675276755</v>
          </cell>
        </row>
        <row r="1281">
          <cell r="O1281">
            <v>15.814833948339485</v>
          </cell>
        </row>
        <row r="1282">
          <cell r="O1282">
            <v>0.54407831601902268</v>
          </cell>
        </row>
        <row r="1283">
          <cell r="O1283">
            <v>0.54407831601902268</v>
          </cell>
        </row>
        <row r="1284">
          <cell r="O1284">
            <v>3.6671428571428568</v>
          </cell>
        </row>
        <row r="1285">
          <cell r="O1285">
            <v>6.3479305135951662</v>
          </cell>
        </row>
        <row r="1286">
          <cell r="O1286">
            <v>24.631931540342304</v>
          </cell>
        </row>
        <row r="1287">
          <cell r="O1287">
            <v>14.171734317343176</v>
          </cell>
        </row>
        <row r="1288">
          <cell r="O1288">
            <v>8.1522222222222211</v>
          </cell>
        </row>
        <row r="1289">
          <cell r="O1289">
            <v>25.981512915129155</v>
          </cell>
        </row>
        <row r="1290">
          <cell r="O1290">
            <v>24.133025830258305</v>
          </cell>
        </row>
        <row r="1291">
          <cell r="O1291">
            <v>33.883655589123862</v>
          </cell>
        </row>
        <row r="1292">
          <cell r="O1292">
            <v>20.744132841328412</v>
          </cell>
        </row>
        <row r="1293">
          <cell r="O1293">
            <v>23.619557195571957</v>
          </cell>
        </row>
        <row r="1294">
          <cell r="O1294">
            <v>16.841771217712175</v>
          </cell>
        </row>
        <row r="1295">
          <cell r="O1295">
            <v>17.971402214022142</v>
          </cell>
        </row>
        <row r="1296">
          <cell r="O1296">
            <v>23.208782287822881</v>
          </cell>
        </row>
        <row r="1297">
          <cell r="O1297">
            <v>2.4536865232230434</v>
          </cell>
        </row>
        <row r="1298">
          <cell r="O1298">
            <v>18.279483394833949</v>
          </cell>
        </row>
        <row r="1299">
          <cell r="O1299">
            <v>10.16667896678967</v>
          </cell>
        </row>
        <row r="1300">
          <cell r="O1300">
            <v>10.474760147601476</v>
          </cell>
        </row>
        <row r="1301">
          <cell r="O1301">
            <v>9.1361111111111111</v>
          </cell>
        </row>
        <row r="1302">
          <cell r="O1302">
            <v>0</v>
          </cell>
        </row>
        <row r="1303">
          <cell r="O1303">
            <v>0</v>
          </cell>
        </row>
        <row r="1304">
          <cell r="O1304">
            <v>48.632222222222218</v>
          </cell>
        </row>
        <row r="1305">
          <cell r="O1305">
            <v>2.2585714285714289</v>
          </cell>
        </row>
        <row r="1306">
          <cell r="O1306">
            <v>61.419380664652572</v>
          </cell>
        </row>
        <row r="1307">
          <cell r="O1307">
            <v>9.7531117824773403</v>
          </cell>
        </row>
        <row r="1308">
          <cell r="O1308">
            <v>4.2955835962145112</v>
          </cell>
        </row>
        <row r="1309">
          <cell r="O1309">
            <v>153.87648509803924</v>
          </cell>
        </row>
        <row r="1310">
          <cell r="O1310">
            <v>153.87648509803924</v>
          </cell>
        </row>
        <row r="1311">
          <cell r="O1311">
            <v>15.470453172205438</v>
          </cell>
        </row>
        <row r="1312">
          <cell r="O1312">
            <v>14.171734317343176</v>
          </cell>
        </row>
        <row r="1313">
          <cell r="O1313">
            <v>11.384999999999998</v>
          </cell>
        </row>
        <row r="1314">
          <cell r="O1314">
            <v>11.056329305135954</v>
          </cell>
        </row>
        <row r="1315">
          <cell r="O1315">
            <v>6.3961369193154045</v>
          </cell>
        </row>
        <row r="1316">
          <cell r="O1316">
            <v>17.100361445783133</v>
          </cell>
        </row>
        <row r="1317">
          <cell r="O1317">
            <v>4.023614457831326</v>
          </cell>
        </row>
        <row r="1318">
          <cell r="O1318">
            <v>4.023614457831326</v>
          </cell>
        </row>
        <row r="1319">
          <cell r="O1319">
            <v>9.0531325301204841</v>
          </cell>
        </row>
        <row r="1320">
          <cell r="O1320">
            <v>3.688313253012049</v>
          </cell>
        </row>
        <row r="1321">
          <cell r="O1321">
            <v>14.417951807228917</v>
          </cell>
        </row>
        <row r="1322">
          <cell r="O1322">
            <v>4.023614457831326</v>
          </cell>
        </row>
        <row r="1323">
          <cell r="O1323">
            <v>4.023614457831326</v>
          </cell>
        </row>
        <row r="1324">
          <cell r="O1324">
            <v>7.3766265060240981</v>
          </cell>
        </row>
        <row r="1325">
          <cell r="O1325">
            <v>3.688313253012049</v>
          </cell>
        </row>
        <row r="1326">
          <cell r="O1326">
            <v>25.594658634538153</v>
          </cell>
        </row>
        <row r="1327">
          <cell r="O1327">
            <v>19.506223564954681</v>
          </cell>
        </row>
        <row r="1328">
          <cell r="O1328">
            <v>13.966346863468635</v>
          </cell>
        </row>
        <row r="1329">
          <cell r="O1329">
            <v>36.448051359516619</v>
          </cell>
        </row>
        <row r="1330">
          <cell r="O1330">
            <v>7.3362776025236593</v>
          </cell>
        </row>
        <row r="1331">
          <cell r="O1331">
            <v>70.207499999999996</v>
          </cell>
        </row>
        <row r="1332">
          <cell r="O1332">
            <v>10.682222222222221</v>
          </cell>
        </row>
        <row r="1333">
          <cell r="O1333">
            <v>12.653821752265861</v>
          </cell>
        </row>
        <row r="1334">
          <cell r="O1334">
            <v>16.841771217712175</v>
          </cell>
        </row>
        <row r="1335">
          <cell r="O1335">
            <v>16.841771217712175</v>
          </cell>
        </row>
        <row r="1336">
          <cell r="O1336">
            <v>16.841771217712175</v>
          </cell>
        </row>
        <row r="1337">
          <cell r="O1337">
            <v>16.841771217712175</v>
          </cell>
        </row>
        <row r="1338">
          <cell r="O1338">
            <v>22.798007380073805</v>
          </cell>
        </row>
        <row r="1339">
          <cell r="O1339">
            <v>25.856723716381421</v>
          </cell>
        </row>
        <row r="1340">
          <cell r="O1340">
            <v>11.981193353474319</v>
          </cell>
        </row>
        <row r="1341">
          <cell r="O1341">
            <v>16.020221402214023</v>
          </cell>
        </row>
        <row r="1342">
          <cell r="O1342">
            <v>16.944464944649447</v>
          </cell>
        </row>
        <row r="1343">
          <cell r="O1343">
            <v>5.936593059936909</v>
          </cell>
        </row>
        <row r="1344">
          <cell r="O1344">
            <v>18.826176470588241</v>
          </cell>
        </row>
        <row r="1345">
          <cell r="O1345">
            <v>16.430996309963103</v>
          </cell>
        </row>
        <row r="1346">
          <cell r="O1346">
            <v>0.56541472056878828</v>
          </cell>
        </row>
        <row r="1347">
          <cell r="O1347">
            <v>14.733529411764707</v>
          </cell>
        </row>
        <row r="1348">
          <cell r="O1348">
            <v>0</v>
          </cell>
        </row>
        <row r="1349">
          <cell r="O1349">
            <v>0</v>
          </cell>
        </row>
        <row r="1350">
          <cell r="O1350">
            <v>16.68465227817746</v>
          </cell>
        </row>
        <row r="1351">
          <cell r="O1351">
            <v>14.274428044280445</v>
          </cell>
        </row>
        <row r="1352">
          <cell r="O1352">
            <v>36.86704797047971</v>
          </cell>
        </row>
        <row r="1353">
          <cell r="O1353">
            <v>4.6942168674698799</v>
          </cell>
        </row>
        <row r="1354">
          <cell r="O1354">
            <v>15.609446494464944</v>
          </cell>
        </row>
        <row r="1355">
          <cell r="O1355">
            <v>26.289594095940966</v>
          </cell>
        </row>
        <row r="1356">
          <cell r="O1356">
            <v>14.787896678966792</v>
          </cell>
        </row>
        <row r="1357">
          <cell r="O1357">
            <v>6.7060240963855433</v>
          </cell>
        </row>
        <row r="1358">
          <cell r="O1358">
            <v>26.186900369003695</v>
          </cell>
        </row>
        <row r="1359">
          <cell r="O1359">
            <v>9.6983333333333324</v>
          </cell>
        </row>
        <row r="1360">
          <cell r="O1360">
            <v>8.1522222222222211</v>
          </cell>
        </row>
        <row r="1361">
          <cell r="O1361">
            <v>10.963333333333333</v>
          </cell>
        </row>
        <row r="1362">
          <cell r="O1362">
            <v>25.040195599022006</v>
          </cell>
        </row>
        <row r="1363">
          <cell r="O1363">
            <v>6.9574999999999996</v>
          </cell>
        </row>
        <row r="1364">
          <cell r="O1364">
            <v>20.661666666666665</v>
          </cell>
        </row>
        <row r="1365">
          <cell r="O1365">
            <v>16.841771217712175</v>
          </cell>
        </row>
        <row r="1366">
          <cell r="O1366">
            <v>16.841771217712175</v>
          </cell>
        </row>
        <row r="1367">
          <cell r="O1367">
            <v>16.841771217712175</v>
          </cell>
        </row>
        <row r="1368">
          <cell r="O1368">
            <v>16.841771217712175</v>
          </cell>
        </row>
        <row r="1369">
          <cell r="O1369">
            <v>7.9154574132492108</v>
          </cell>
        </row>
        <row r="1370">
          <cell r="O1370">
            <v>7.9154574132492108</v>
          </cell>
        </row>
        <row r="1371">
          <cell r="O1371">
            <v>0.20269584322277315</v>
          </cell>
        </row>
        <row r="1372">
          <cell r="O1372">
            <v>5.7001204819277111</v>
          </cell>
        </row>
        <row r="1373">
          <cell r="O1373">
            <v>7.0413253012048207</v>
          </cell>
        </row>
        <row r="1374">
          <cell r="O1374">
            <v>3.2057142857142855</v>
          </cell>
        </row>
        <row r="1375">
          <cell r="O1375">
            <v>11.961318051575931</v>
          </cell>
        </row>
        <row r="1376">
          <cell r="O1376">
            <v>7.0949526813880119</v>
          </cell>
        </row>
        <row r="1377">
          <cell r="O1377">
            <v>3.57</v>
          </cell>
        </row>
        <row r="1378">
          <cell r="O1378">
            <v>7.4328075709779178</v>
          </cell>
        </row>
        <row r="1379">
          <cell r="O1379">
            <v>16.597409638554222</v>
          </cell>
        </row>
        <row r="1380">
          <cell r="O1380">
            <v>0</v>
          </cell>
        </row>
        <row r="1381">
          <cell r="O1381">
            <v>4.4528000000000008</v>
          </cell>
        </row>
        <row r="1382">
          <cell r="O1382">
            <v>10.885535055350553</v>
          </cell>
        </row>
        <row r="1383">
          <cell r="O1383">
            <v>10.885535055350553</v>
          </cell>
        </row>
        <row r="1384">
          <cell r="O1384">
            <v>16.636383763837639</v>
          </cell>
        </row>
        <row r="1385">
          <cell r="O1385">
            <v>22.284538745387454</v>
          </cell>
        </row>
        <row r="1386">
          <cell r="O1386">
            <v>14.969166666666666</v>
          </cell>
        </row>
        <row r="1387">
          <cell r="O1387">
            <v>0</v>
          </cell>
        </row>
        <row r="1388">
          <cell r="O1388">
            <v>0</v>
          </cell>
        </row>
        <row r="1389">
          <cell r="O1389">
            <v>25.057269372693728</v>
          </cell>
        </row>
        <row r="1390">
          <cell r="O1390">
            <v>18.834444444444443</v>
          </cell>
        </row>
        <row r="1391">
          <cell r="O1391">
            <v>15.301365313653138</v>
          </cell>
        </row>
        <row r="1392">
          <cell r="O1392">
            <v>13.24749077490775</v>
          </cell>
        </row>
        <row r="1393">
          <cell r="O1393">
            <v>13.24749077490775</v>
          </cell>
        </row>
        <row r="1394">
          <cell r="O1394">
            <v>23.794229607250756</v>
          </cell>
        </row>
        <row r="1395">
          <cell r="O1395">
            <v>17.320181268882177</v>
          </cell>
        </row>
        <row r="1396">
          <cell r="O1396">
            <v>4.1618882175226588</v>
          </cell>
        </row>
        <row r="1397">
          <cell r="O1397">
            <v>4.6942168674698799</v>
          </cell>
        </row>
        <row r="1398">
          <cell r="O1398">
            <v>4.3589156626506034</v>
          </cell>
        </row>
        <row r="1399">
          <cell r="O1399">
            <v>6.7060240963855433</v>
          </cell>
        </row>
        <row r="1400">
          <cell r="O1400">
            <v>4.023614457831326</v>
          </cell>
        </row>
        <row r="1401">
          <cell r="O1401">
            <v>10.988228782287823</v>
          </cell>
        </row>
        <row r="1402">
          <cell r="O1402">
            <v>0</v>
          </cell>
        </row>
        <row r="1403">
          <cell r="O1403">
            <v>0</v>
          </cell>
        </row>
        <row r="1404">
          <cell r="O1404">
            <v>0</v>
          </cell>
        </row>
        <row r="1405">
          <cell r="O1405">
            <v>0</v>
          </cell>
        </row>
        <row r="1406">
          <cell r="O1406">
            <v>0</v>
          </cell>
        </row>
        <row r="1407">
          <cell r="O1407">
            <v>0</v>
          </cell>
        </row>
        <row r="1408">
          <cell r="O1408">
            <v>0</v>
          </cell>
        </row>
        <row r="1409">
          <cell r="O1409">
            <v>0</v>
          </cell>
        </row>
        <row r="1410">
          <cell r="O1410">
            <v>0</v>
          </cell>
        </row>
        <row r="1411">
          <cell r="O1411">
            <v>0</v>
          </cell>
        </row>
        <row r="1412">
          <cell r="O1412">
            <v>0</v>
          </cell>
        </row>
        <row r="1413">
          <cell r="O1413">
            <v>0</v>
          </cell>
        </row>
        <row r="1414">
          <cell r="O1414">
            <v>0</v>
          </cell>
        </row>
        <row r="1415">
          <cell r="O1415">
            <v>0</v>
          </cell>
        </row>
        <row r="1416">
          <cell r="O1416">
            <v>0</v>
          </cell>
        </row>
        <row r="1417">
          <cell r="O1417">
            <v>0</v>
          </cell>
        </row>
        <row r="1418">
          <cell r="O1418">
            <v>0</v>
          </cell>
        </row>
        <row r="1419">
          <cell r="O1419">
            <v>0</v>
          </cell>
        </row>
        <row r="1420">
          <cell r="O1420">
            <v>0</v>
          </cell>
        </row>
        <row r="1421">
          <cell r="O1421">
            <v>0</v>
          </cell>
        </row>
        <row r="1422">
          <cell r="O1422">
            <v>0</v>
          </cell>
        </row>
        <row r="1423">
          <cell r="O1423">
            <v>0</v>
          </cell>
        </row>
        <row r="1424">
          <cell r="O1424">
            <v>25.594658634538153</v>
          </cell>
        </row>
        <row r="1425">
          <cell r="O1425">
            <v>0</v>
          </cell>
        </row>
        <row r="1426">
          <cell r="O1426">
            <v>0</v>
          </cell>
        </row>
        <row r="1427">
          <cell r="O1427">
            <v>0</v>
          </cell>
        </row>
        <row r="1428">
          <cell r="O1428">
            <v>19.335702811244985</v>
          </cell>
        </row>
        <row r="1429">
          <cell r="O1429">
            <v>0</v>
          </cell>
        </row>
        <row r="1430">
          <cell r="O1430">
            <v>0</v>
          </cell>
        </row>
        <row r="1431">
          <cell r="O1431">
            <v>0</v>
          </cell>
        </row>
        <row r="1432">
          <cell r="O1432">
            <v>25.594658634538153</v>
          </cell>
        </row>
        <row r="1433">
          <cell r="O1433">
            <v>0</v>
          </cell>
        </row>
        <row r="1434">
          <cell r="O1434">
            <v>0</v>
          </cell>
        </row>
        <row r="1435">
          <cell r="O1435">
            <v>0</v>
          </cell>
        </row>
        <row r="1436">
          <cell r="O1436">
            <v>0</v>
          </cell>
        </row>
        <row r="1437">
          <cell r="O1437">
            <v>0</v>
          </cell>
        </row>
        <row r="1438">
          <cell r="O1438">
            <v>0</v>
          </cell>
        </row>
        <row r="1439">
          <cell r="O1439">
            <v>0</v>
          </cell>
        </row>
        <row r="1440">
          <cell r="O1440">
            <v>0</v>
          </cell>
        </row>
        <row r="1441">
          <cell r="O1441">
            <v>0</v>
          </cell>
        </row>
        <row r="1442">
          <cell r="O1442">
            <v>0</v>
          </cell>
        </row>
        <row r="1443">
          <cell r="O1443">
            <v>0</v>
          </cell>
        </row>
        <row r="1444">
          <cell r="O1444">
            <v>0</v>
          </cell>
        </row>
        <row r="1445">
          <cell r="O1445">
            <v>0</v>
          </cell>
        </row>
        <row r="1446">
          <cell r="O1446">
            <v>0</v>
          </cell>
        </row>
        <row r="1447">
          <cell r="O1447">
            <v>0</v>
          </cell>
        </row>
        <row r="1448">
          <cell r="O1448">
            <v>0</v>
          </cell>
        </row>
        <row r="1449">
          <cell r="O1449">
            <v>0</v>
          </cell>
        </row>
        <row r="1450">
          <cell r="O1450">
            <v>0</v>
          </cell>
        </row>
        <row r="1451">
          <cell r="O1451">
            <v>0</v>
          </cell>
        </row>
        <row r="1452">
          <cell r="O1452">
            <v>0</v>
          </cell>
        </row>
        <row r="1453">
          <cell r="O1453">
            <v>0</v>
          </cell>
        </row>
        <row r="1454">
          <cell r="O1454">
            <v>0</v>
          </cell>
        </row>
        <row r="1455">
          <cell r="O1455">
            <v>2.8119578313253011</v>
          </cell>
        </row>
        <row r="1456">
          <cell r="O1456">
            <v>3.9417399999999994</v>
          </cell>
        </row>
        <row r="1457">
          <cell r="O1457">
            <v>1.1360158610271902</v>
          </cell>
        </row>
        <row r="1458">
          <cell r="O1458">
            <v>2.6969799999999999</v>
          </cell>
        </row>
        <row r="1459">
          <cell r="O1459">
            <v>5.3114759036144576</v>
          </cell>
        </row>
        <row r="1460">
          <cell r="O1460">
            <v>3.4368373493975906</v>
          </cell>
        </row>
        <row r="1461">
          <cell r="O1461">
            <v>4.0617168674698796</v>
          </cell>
        </row>
        <row r="1462">
          <cell r="O1462">
            <v>0</v>
          </cell>
        </row>
        <row r="1463">
          <cell r="O1463">
            <v>6.7548543689320386</v>
          </cell>
        </row>
        <row r="1464">
          <cell r="O1464">
            <v>6.5092233009708726</v>
          </cell>
        </row>
        <row r="1465">
          <cell r="O1465">
            <v>4.0617168674698796</v>
          </cell>
        </row>
        <row r="1466">
          <cell r="O1466">
            <v>4.0617168674698796</v>
          </cell>
        </row>
        <row r="1467">
          <cell r="O1467">
            <v>25.266559667673711</v>
          </cell>
        </row>
        <row r="1468">
          <cell r="O1468">
            <v>11.143684738955821</v>
          </cell>
        </row>
        <row r="1469">
          <cell r="O1469">
            <v>15.94339501510574</v>
          </cell>
        </row>
        <row r="1470">
          <cell r="O1470">
            <v>6.5092233009708726</v>
          </cell>
        </row>
        <row r="1471">
          <cell r="O1471">
            <v>0</v>
          </cell>
        </row>
        <row r="1472">
          <cell r="O1472">
            <v>9.3731927710843372</v>
          </cell>
        </row>
        <row r="1473">
          <cell r="O1473">
            <v>8.4358734939759028</v>
          </cell>
        </row>
        <row r="1474">
          <cell r="O1474">
            <v>0</v>
          </cell>
        </row>
        <row r="1475">
          <cell r="O1475">
            <v>0</v>
          </cell>
        </row>
        <row r="1476">
          <cell r="O1476">
            <v>0</v>
          </cell>
        </row>
        <row r="1477">
          <cell r="O1477">
            <v>23.699641238670694</v>
          </cell>
        </row>
        <row r="1478">
          <cell r="O1478">
            <v>16.452643504531718</v>
          </cell>
        </row>
        <row r="1479">
          <cell r="O1479">
            <v>0</v>
          </cell>
        </row>
        <row r="1480">
          <cell r="O1480">
            <v>0</v>
          </cell>
        </row>
        <row r="1481">
          <cell r="O1481">
            <v>0</v>
          </cell>
        </row>
        <row r="1482">
          <cell r="O1482">
            <v>0</v>
          </cell>
        </row>
        <row r="1483">
          <cell r="O1483">
            <v>0</v>
          </cell>
        </row>
        <row r="1484">
          <cell r="O1484">
            <v>0</v>
          </cell>
        </row>
        <row r="1485">
          <cell r="O1485">
            <v>0</v>
          </cell>
        </row>
        <row r="1486">
          <cell r="O1486">
            <v>0</v>
          </cell>
        </row>
        <row r="1487">
          <cell r="O1487">
            <v>0</v>
          </cell>
        </row>
        <row r="1488">
          <cell r="O1488">
            <v>0</v>
          </cell>
        </row>
        <row r="1489">
          <cell r="O1489">
            <v>0</v>
          </cell>
        </row>
        <row r="1490">
          <cell r="O1490">
            <v>7.2461165048543688</v>
          </cell>
        </row>
        <row r="1491">
          <cell r="O1491">
            <v>3.6844660194174752</v>
          </cell>
        </row>
        <row r="1492">
          <cell r="O1492">
            <v>15.517841365461846</v>
          </cell>
        </row>
        <row r="1493">
          <cell r="O1493">
            <v>22.211068731117823</v>
          </cell>
        </row>
        <row r="1494">
          <cell r="O1494">
            <v>9.2056457703927475</v>
          </cell>
        </row>
        <row r="1495">
          <cell r="O1495">
            <v>25.384078549848937</v>
          </cell>
        </row>
        <row r="1496">
          <cell r="O1496">
            <v>1.8411291540785497</v>
          </cell>
        </row>
        <row r="1497">
          <cell r="O1497">
            <v>7.7562462235649541</v>
          </cell>
        </row>
        <row r="1498">
          <cell r="O1498">
            <v>5.9014285714285712</v>
          </cell>
        </row>
        <row r="1499">
          <cell r="O1499">
            <v>2.7812802114803623</v>
          </cell>
        </row>
        <row r="1500">
          <cell r="O1500">
            <v>0.73610595696691306</v>
          </cell>
        </row>
        <row r="1501">
          <cell r="O1501">
            <v>4.9542857142857137</v>
          </cell>
        </row>
        <row r="1502">
          <cell r="O1502">
            <v>10.763091482649843</v>
          </cell>
        </row>
        <row r="1503">
          <cell r="O1503">
            <v>3.2542857142857144</v>
          </cell>
        </row>
        <row r="1504">
          <cell r="O1504">
            <v>22.078481012658226</v>
          </cell>
        </row>
        <row r="1505">
          <cell r="O1505">
            <v>3.1814285714285715</v>
          </cell>
        </row>
        <row r="1506">
          <cell r="O1506">
            <v>21.356354916067147</v>
          </cell>
        </row>
        <row r="1507">
          <cell r="O1507">
            <v>2.9142857142857141</v>
          </cell>
        </row>
        <row r="1508">
          <cell r="O1508">
            <v>2.9385714285714286</v>
          </cell>
        </row>
        <row r="1509">
          <cell r="O1509">
            <v>3.6428571428571428</v>
          </cell>
        </row>
        <row r="1510">
          <cell r="O1510">
            <v>3.6914285714285713</v>
          </cell>
        </row>
        <row r="1511">
          <cell r="O1511">
            <v>4.0557142857142852</v>
          </cell>
        </row>
        <row r="1512">
          <cell r="O1512">
            <v>3.4971428571428573</v>
          </cell>
        </row>
        <row r="1513">
          <cell r="O1513">
            <v>37.87341772151899</v>
          </cell>
        </row>
        <row r="1514">
          <cell r="O1514">
            <v>4.5440634441087608</v>
          </cell>
        </row>
        <row r="1515">
          <cell r="O1515">
            <v>8.3924050632911396</v>
          </cell>
        </row>
        <row r="1516">
          <cell r="O1516">
            <v>4.0886075949367093</v>
          </cell>
        </row>
        <row r="1517">
          <cell r="O1517">
            <v>2.79746835443038</v>
          </cell>
        </row>
        <row r="1518">
          <cell r="O1518">
            <v>4.6050632911392402</v>
          </cell>
        </row>
        <row r="1519">
          <cell r="O1519">
            <v>3.7885714285714283</v>
          </cell>
        </row>
        <row r="1520">
          <cell r="O1520">
            <v>60.830496987951818</v>
          </cell>
        </row>
        <row r="1521">
          <cell r="O1521">
            <v>176.82661172161173</v>
          </cell>
        </row>
        <row r="1522">
          <cell r="O1522">
            <v>363.564706959707</v>
          </cell>
        </row>
        <row r="1523">
          <cell r="O1523">
            <v>9.3151419558359621</v>
          </cell>
        </row>
        <row r="1524">
          <cell r="O1524">
            <v>10.666561514195584</v>
          </cell>
        </row>
        <row r="1525">
          <cell r="O1525">
            <v>15.34826498422713</v>
          </cell>
        </row>
        <row r="1526">
          <cell r="O1526">
            <v>9.3151419558359621</v>
          </cell>
        </row>
        <row r="1527">
          <cell r="O1527">
            <v>3.327142857142857</v>
          </cell>
        </row>
        <row r="1528">
          <cell r="O1528">
            <v>3.6914285714285713</v>
          </cell>
        </row>
        <row r="1529">
          <cell r="O1529">
            <v>3.327142857142857</v>
          </cell>
        </row>
        <row r="1530">
          <cell r="O1530">
            <v>4.5171428571428578</v>
          </cell>
        </row>
        <row r="1531">
          <cell r="O1531">
            <v>0</v>
          </cell>
        </row>
        <row r="1532">
          <cell r="O1532">
            <v>0</v>
          </cell>
        </row>
        <row r="1533">
          <cell r="O1533">
            <v>0</v>
          </cell>
        </row>
        <row r="1534">
          <cell r="O1534">
            <v>4.6615823262839875</v>
          </cell>
        </row>
        <row r="1535">
          <cell r="O1535">
            <v>0</v>
          </cell>
        </row>
        <row r="1536">
          <cell r="O1536">
            <v>8.4534797297297288</v>
          </cell>
        </row>
        <row r="1537">
          <cell r="O1537">
            <v>3.7717534082093924</v>
          </cell>
        </row>
        <row r="1538">
          <cell r="O1538">
            <v>3.5457142857142854</v>
          </cell>
        </row>
        <row r="1539">
          <cell r="O1539">
            <v>3.2785714285714285</v>
          </cell>
        </row>
        <row r="1540">
          <cell r="O1540">
            <v>4.3741566265060232</v>
          </cell>
        </row>
        <row r="1541">
          <cell r="O1541">
            <v>5.3114759036144576</v>
          </cell>
        </row>
        <row r="1542">
          <cell r="O1542">
            <v>2.1336404549765593</v>
          </cell>
        </row>
        <row r="1543">
          <cell r="O1543">
            <v>18.893670886075949</v>
          </cell>
        </row>
        <row r="1544">
          <cell r="O1544">
            <v>1.7282487685310131</v>
          </cell>
        </row>
        <row r="1545">
          <cell r="O1545">
            <v>5.5088607594936718</v>
          </cell>
        </row>
        <row r="1546">
          <cell r="O1546">
            <v>8.5645569620253159</v>
          </cell>
        </row>
        <row r="1547">
          <cell r="O1547">
            <v>5.9889908256880737</v>
          </cell>
        </row>
        <row r="1548">
          <cell r="O1548">
            <v>45.688278388278384</v>
          </cell>
        </row>
        <row r="1549">
          <cell r="O1549">
            <v>18.4348623853211</v>
          </cell>
        </row>
        <row r="1550">
          <cell r="O1550">
            <v>6.1293577981651381</v>
          </cell>
        </row>
        <row r="1551">
          <cell r="O1551">
            <v>8.047706422018349</v>
          </cell>
        </row>
        <row r="1552">
          <cell r="O1552">
            <v>2.4798165137614681</v>
          </cell>
        </row>
        <row r="1553">
          <cell r="O1553">
            <v>14.622151898734177</v>
          </cell>
        </row>
        <row r="1554">
          <cell r="O1554">
            <v>15.49367088607595</v>
          </cell>
        </row>
        <row r="1555">
          <cell r="O1555">
            <v>4.9057142857142857</v>
          </cell>
        </row>
        <row r="1556">
          <cell r="O1556">
            <v>0.62942393421808507</v>
          </cell>
        </row>
        <row r="1557">
          <cell r="O1557">
            <v>0</v>
          </cell>
        </row>
        <row r="1558">
          <cell r="O1558">
            <v>71.247765567765569</v>
          </cell>
        </row>
        <row r="1559">
          <cell r="O1559">
            <v>0.94015105740181248</v>
          </cell>
        </row>
        <row r="1560">
          <cell r="O1560">
            <v>16.871746987951806</v>
          </cell>
        </row>
        <row r="1561">
          <cell r="O1561">
            <v>36.629395604395604</v>
          </cell>
        </row>
        <row r="1562">
          <cell r="O1562">
            <v>15.800915750915753</v>
          </cell>
        </row>
        <row r="1563">
          <cell r="O1563">
            <v>3.3688746223564952</v>
          </cell>
        </row>
        <row r="1564">
          <cell r="O1564">
            <v>0</v>
          </cell>
        </row>
        <row r="1565">
          <cell r="O1565">
            <v>0</v>
          </cell>
        </row>
        <row r="1566">
          <cell r="O1566">
            <v>0</v>
          </cell>
        </row>
        <row r="1567">
          <cell r="O1567">
            <v>0</v>
          </cell>
        </row>
        <row r="1568">
          <cell r="O1568">
            <v>0</v>
          </cell>
        </row>
        <row r="1569">
          <cell r="O1569">
            <v>3.1243975903614456</v>
          </cell>
        </row>
        <row r="1570">
          <cell r="O1570">
            <v>3.1243975903614456</v>
          </cell>
        </row>
        <row r="1571">
          <cell r="O1571">
            <v>3.1243975903614456</v>
          </cell>
        </row>
        <row r="1572">
          <cell r="O1572">
            <v>3.1243975903614456</v>
          </cell>
        </row>
        <row r="1573">
          <cell r="O1573">
            <v>0</v>
          </cell>
        </row>
        <row r="1574">
          <cell r="O1574">
            <v>3.1243975903614456</v>
          </cell>
        </row>
        <row r="1575">
          <cell r="O1575">
            <v>3.1243975903614456</v>
          </cell>
        </row>
        <row r="1576">
          <cell r="O1576">
            <v>3.1243975903614456</v>
          </cell>
        </row>
        <row r="1577">
          <cell r="O1577">
            <v>0</v>
          </cell>
        </row>
        <row r="1578">
          <cell r="O1578">
            <v>5.3666956193353466</v>
          </cell>
        </row>
        <row r="1579">
          <cell r="O1579">
            <v>110.03639705882352</v>
          </cell>
        </row>
        <row r="1580">
          <cell r="O1580">
            <v>0</v>
          </cell>
        </row>
        <row r="1581">
          <cell r="O1581">
            <v>3.2513557401812689</v>
          </cell>
        </row>
        <row r="1582">
          <cell r="O1582">
            <v>0</v>
          </cell>
        </row>
        <row r="1583">
          <cell r="O1583">
            <v>14.476375502008031</v>
          </cell>
        </row>
        <row r="1584">
          <cell r="O1584">
            <v>238.99550669216057</v>
          </cell>
        </row>
        <row r="1585">
          <cell r="O1585">
            <v>0</v>
          </cell>
        </row>
        <row r="1586">
          <cell r="O1586">
            <v>37.492771084337349</v>
          </cell>
        </row>
        <row r="1587">
          <cell r="O1587">
            <v>36.867891566265058</v>
          </cell>
        </row>
        <row r="1588">
          <cell r="O1588">
            <v>0</v>
          </cell>
        </row>
        <row r="1589">
          <cell r="O1589">
            <v>22.183222891566263</v>
          </cell>
        </row>
        <row r="1590">
          <cell r="O1590">
            <v>2.3503776435045314</v>
          </cell>
        </row>
        <row r="1591">
          <cell r="O1591">
            <v>0</v>
          </cell>
        </row>
        <row r="1592">
          <cell r="O1592">
            <v>21.817017208412999</v>
          </cell>
        </row>
        <row r="1593">
          <cell r="O1593">
            <v>31.730098187311174</v>
          </cell>
        </row>
        <row r="1594">
          <cell r="O1594">
            <v>0</v>
          </cell>
        </row>
        <row r="1595">
          <cell r="O1595">
            <v>0</v>
          </cell>
        </row>
        <row r="1596">
          <cell r="O1596">
            <v>0</v>
          </cell>
        </row>
        <row r="1597">
          <cell r="O1597">
            <v>0</v>
          </cell>
        </row>
        <row r="1598">
          <cell r="O1598">
            <v>0</v>
          </cell>
        </row>
        <row r="1599">
          <cell r="O1599">
            <v>0</v>
          </cell>
        </row>
        <row r="1600">
          <cell r="O1600">
            <v>14.997108433734939</v>
          </cell>
        </row>
        <row r="1601">
          <cell r="O1601">
            <v>0</v>
          </cell>
        </row>
        <row r="1602">
          <cell r="O1602">
            <v>125.84889705882352</v>
          </cell>
        </row>
        <row r="1603">
          <cell r="O1603">
            <v>131.56930147058824</v>
          </cell>
        </row>
        <row r="1604">
          <cell r="O1604">
            <v>142.43806985294117</v>
          </cell>
        </row>
        <row r="1605">
          <cell r="O1605">
            <v>0</v>
          </cell>
        </row>
        <row r="1606">
          <cell r="O1606">
            <v>104.76095565749233</v>
          </cell>
        </row>
        <row r="1607">
          <cell r="O1607">
            <v>0</v>
          </cell>
        </row>
        <row r="1608">
          <cell r="O1608">
            <v>0</v>
          </cell>
        </row>
        <row r="1609">
          <cell r="O1609">
            <v>0</v>
          </cell>
        </row>
        <row r="1610">
          <cell r="O1610">
            <v>35.614148681055156</v>
          </cell>
        </row>
        <row r="1611">
          <cell r="O1611">
            <v>14.817350157728706</v>
          </cell>
        </row>
        <row r="1612">
          <cell r="O1612">
            <v>7.2128571428571426</v>
          </cell>
        </row>
        <row r="1613">
          <cell r="O1613">
            <v>5.9985714285714282</v>
          </cell>
        </row>
        <row r="1614">
          <cell r="O1614">
            <v>25.773501577287064</v>
          </cell>
        </row>
        <row r="1615">
          <cell r="O1615">
            <v>29.7321336996337</v>
          </cell>
        </row>
        <row r="1616">
          <cell r="O1616">
            <v>81.407152014652013</v>
          </cell>
        </row>
        <row r="1617">
          <cell r="O1617">
            <v>81.407152014652013</v>
          </cell>
        </row>
        <row r="1618">
          <cell r="O1618">
            <v>40.466098901098903</v>
          </cell>
        </row>
        <row r="1619">
          <cell r="O1619">
            <v>6.4949771480804381</v>
          </cell>
        </row>
        <row r="1620">
          <cell r="O1620">
            <v>5.5233874622356494</v>
          </cell>
        </row>
        <row r="1621">
          <cell r="O1621">
            <v>30.310410094637223</v>
          </cell>
        </row>
        <row r="1622">
          <cell r="O1622">
            <v>3.2542857142857144</v>
          </cell>
        </row>
        <row r="1623">
          <cell r="O1623">
            <v>3.0554909365558909</v>
          </cell>
        </row>
        <row r="1624">
          <cell r="O1624">
            <v>14.219784743202414</v>
          </cell>
        </row>
        <row r="1625">
          <cell r="O1625">
            <v>1.0454838229385142</v>
          </cell>
        </row>
        <row r="1626">
          <cell r="O1626">
            <v>0</v>
          </cell>
        </row>
        <row r="1627">
          <cell r="O1627">
            <v>0</v>
          </cell>
        </row>
        <row r="1628">
          <cell r="O1628">
            <v>12.041782449725774</v>
          </cell>
        </row>
        <row r="1629">
          <cell r="O1629">
            <v>16.335124622356496</v>
          </cell>
        </row>
        <row r="1630">
          <cell r="O1630">
            <v>23.704296160877508</v>
          </cell>
        </row>
        <row r="1631">
          <cell r="O1631">
            <v>7.5042765567765564</v>
          </cell>
        </row>
        <row r="1632">
          <cell r="O1632">
            <v>7.5042765567765564</v>
          </cell>
        </row>
        <row r="1633">
          <cell r="O1633">
            <v>12.790555555555555</v>
          </cell>
        </row>
        <row r="1634">
          <cell r="O1634">
            <v>15.198534798534798</v>
          </cell>
        </row>
        <row r="1635">
          <cell r="O1635">
            <v>16.433415750915753</v>
          </cell>
        </row>
        <row r="1636">
          <cell r="O1636">
            <v>1.5669184290030209</v>
          </cell>
        </row>
        <row r="1637">
          <cell r="O1637">
            <v>2.0369939577039275</v>
          </cell>
        </row>
        <row r="1638">
          <cell r="O1638">
            <v>10.302488670694864</v>
          </cell>
        </row>
        <row r="1639">
          <cell r="O1639">
            <v>1.5468893298580055</v>
          </cell>
        </row>
        <row r="1640">
          <cell r="O1640">
            <v>8.8007579524885831</v>
          </cell>
        </row>
        <row r="1641">
          <cell r="O1641">
            <v>4.3741566265060232</v>
          </cell>
        </row>
        <row r="1642">
          <cell r="O1642">
            <v>6.5612349397590366</v>
          </cell>
        </row>
        <row r="1643">
          <cell r="O1643">
            <v>19.586480362537763</v>
          </cell>
        </row>
        <row r="1644">
          <cell r="O1644">
            <v>7.4494444444444436</v>
          </cell>
        </row>
        <row r="1645">
          <cell r="O1645">
            <v>0</v>
          </cell>
        </row>
        <row r="1646">
          <cell r="O1646">
            <v>0</v>
          </cell>
        </row>
        <row r="1647">
          <cell r="O1647">
            <v>0</v>
          </cell>
        </row>
        <row r="1648">
          <cell r="O1648">
            <v>0</v>
          </cell>
        </row>
        <row r="1649">
          <cell r="O1649">
            <v>0</v>
          </cell>
        </row>
        <row r="1650">
          <cell r="O1650">
            <v>0</v>
          </cell>
        </row>
        <row r="1651">
          <cell r="O1651">
            <v>0</v>
          </cell>
        </row>
        <row r="1652">
          <cell r="O1652">
            <v>27.029342900302112</v>
          </cell>
        </row>
        <row r="1653">
          <cell r="O1653">
            <v>16.142720883534135</v>
          </cell>
        </row>
        <row r="1654">
          <cell r="O1654">
            <v>0</v>
          </cell>
        </row>
        <row r="1655">
          <cell r="O1655">
            <v>0</v>
          </cell>
        </row>
        <row r="1656">
          <cell r="O1656">
            <v>0</v>
          </cell>
        </row>
        <row r="1657">
          <cell r="O1657">
            <v>0</v>
          </cell>
        </row>
        <row r="1658">
          <cell r="O1658">
            <v>21.558343373493976</v>
          </cell>
        </row>
        <row r="1659">
          <cell r="O1659">
            <v>14.997108433734939</v>
          </cell>
        </row>
        <row r="1660">
          <cell r="O1660">
            <v>14.059789156626504</v>
          </cell>
        </row>
        <row r="1661">
          <cell r="O1661">
            <v>33.336189577039264</v>
          </cell>
        </row>
        <row r="1662">
          <cell r="O1662">
            <v>18.121506024096384</v>
          </cell>
        </row>
        <row r="1663">
          <cell r="O1663">
            <v>7.9129380664652551</v>
          </cell>
        </row>
        <row r="1664">
          <cell r="O1664">
            <v>0</v>
          </cell>
        </row>
        <row r="1665">
          <cell r="O1665">
            <v>0</v>
          </cell>
        </row>
        <row r="1666">
          <cell r="O1666">
            <v>0</v>
          </cell>
        </row>
        <row r="1667">
          <cell r="O1667">
            <v>0</v>
          </cell>
        </row>
        <row r="1668">
          <cell r="O1668">
            <v>39.407998489425971</v>
          </cell>
        </row>
        <row r="1669">
          <cell r="O1669">
            <v>21.245903614457831</v>
          </cell>
        </row>
        <row r="1670">
          <cell r="O1670">
            <v>12.104444864048336</v>
          </cell>
        </row>
        <row r="1671">
          <cell r="O1671">
            <v>0</v>
          </cell>
        </row>
        <row r="1672">
          <cell r="O1672">
            <v>1.7236102719033231</v>
          </cell>
        </row>
        <row r="1673">
          <cell r="O1673">
            <v>0</v>
          </cell>
        </row>
        <row r="1674">
          <cell r="O1674">
            <v>0</v>
          </cell>
        </row>
        <row r="1675">
          <cell r="O1675">
            <v>17.496626506024093</v>
          </cell>
        </row>
        <row r="1676">
          <cell r="O1676">
            <v>24.682740963855423</v>
          </cell>
        </row>
        <row r="1677">
          <cell r="O1677">
            <v>8.7355702416918408</v>
          </cell>
        </row>
        <row r="1678">
          <cell r="O1678">
            <v>6.3460196374622342</v>
          </cell>
        </row>
        <row r="1679">
          <cell r="O1679">
            <v>6.1109818731117818</v>
          </cell>
        </row>
        <row r="1680">
          <cell r="O1680">
            <v>35.177318731117822</v>
          </cell>
        </row>
        <row r="1681">
          <cell r="O1681">
            <v>0</v>
          </cell>
        </row>
        <row r="1682">
          <cell r="O1682">
            <v>0</v>
          </cell>
        </row>
        <row r="1683">
          <cell r="O1683">
            <v>0</v>
          </cell>
        </row>
        <row r="1684">
          <cell r="O1684">
            <v>0</v>
          </cell>
        </row>
        <row r="1685">
          <cell r="O1685">
            <v>0</v>
          </cell>
        </row>
        <row r="1686">
          <cell r="O1686">
            <v>0</v>
          </cell>
        </row>
        <row r="1687">
          <cell r="O1687">
            <v>0</v>
          </cell>
        </row>
        <row r="1688">
          <cell r="O1688">
            <v>0</v>
          </cell>
        </row>
        <row r="1689">
          <cell r="O1689">
            <v>14.997108433734939</v>
          </cell>
        </row>
        <row r="1690">
          <cell r="O1690">
            <v>10.145796827794561</v>
          </cell>
        </row>
        <row r="1691">
          <cell r="O1691">
            <v>9.4015105740181255</v>
          </cell>
        </row>
        <row r="1692">
          <cell r="O1692">
            <v>9.2056457703927475</v>
          </cell>
        </row>
        <row r="1693">
          <cell r="O1693">
            <v>6.8160951661631408</v>
          </cell>
        </row>
        <row r="1694">
          <cell r="O1694">
            <v>7.2861706948640474</v>
          </cell>
        </row>
        <row r="1695">
          <cell r="O1695">
            <v>4.1523338368580047</v>
          </cell>
        </row>
        <row r="1696">
          <cell r="O1696">
            <v>3.7642857142857142</v>
          </cell>
        </row>
        <row r="1697">
          <cell r="O1697">
            <v>10.618296529968454</v>
          </cell>
        </row>
        <row r="1698">
          <cell r="O1698">
            <v>53.054564220183487</v>
          </cell>
        </row>
        <row r="1699">
          <cell r="O1699">
            <v>15.251735015772871</v>
          </cell>
        </row>
        <row r="1700">
          <cell r="O1700">
            <v>35.686926605504581</v>
          </cell>
        </row>
        <row r="1701">
          <cell r="O1701">
            <v>20.078233438485803</v>
          </cell>
        </row>
        <row r="1702">
          <cell r="O1702">
            <v>3.8371428571428572</v>
          </cell>
        </row>
        <row r="1703">
          <cell r="O1703">
            <v>9.0255520504731859</v>
          </cell>
        </row>
        <row r="1704">
          <cell r="O1704">
            <v>7.7957142857142863</v>
          </cell>
        </row>
        <row r="1705">
          <cell r="O1705">
            <v>11.342271293375394</v>
          </cell>
        </row>
        <row r="1706">
          <cell r="O1706">
            <v>11.315260224628178</v>
          </cell>
        </row>
        <row r="1707">
          <cell r="O1707">
            <v>11.103888888888889</v>
          </cell>
        </row>
        <row r="1708">
          <cell r="O1708">
            <v>17.037539432176654</v>
          </cell>
        </row>
        <row r="1709">
          <cell r="O1709">
            <v>3.8371428571428572</v>
          </cell>
        </row>
        <row r="1710">
          <cell r="O1710">
            <v>0.68276494559249912</v>
          </cell>
        </row>
        <row r="1711">
          <cell r="O1711">
            <v>3.8371428571428572</v>
          </cell>
        </row>
        <row r="1712">
          <cell r="O1712">
            <v>19.59558359621451</v>
          </cell>
        </row>
        <row r="1713">
          <cell r="O1713">
            <v>3.7642857142857142</v>
          </cell>
        </row>
        <row r="1714">
          <cell r="O1714">
            <v>3.7642857142857142</v>
          </cell>
        </row>
        <row r="1715">
          <cell r="O1715">
            <v>7.4810725552050474</v>
          </cell>
        </row>
        <row r="1716">
          <cell r="O1716">
            <v>7.4810725552050474</v>
          </cell>
        </row>
        <row r="1717">
          <cell r="O1717">
            <v>7.6258675078864355</v>
          </cell>
        </row>
        <row r="1718">
          <cell r="O1718">
            <v>7.6258675078864355</v>
          </cell>
        </row>
        <row r="1719">
          <cell r="O1719">
            <v>3.8371428571428572</v>
          </cell>
        </row>
        <row r="1720">
          <cell r="O1720">
            <v>7.6258675078864355</v>
          </cell>
        </row>
        <row r="1721">
          <cell r="O1721">
            <v>35.315970394736837</v>
          </cell>
        </row>
        <row r="1722">
          <cell r="O1722">
            <v>3.7642857142857142</v>
          </cell>
        </row>
        <row r="1723">
          <cell r="O1723">
            <v>1.1094930365878111</v>
          </cell>
        </row>
        <row r="1724">
          <cell r="O1724">
            <v>5.1242857142857146</v>
          </cell>
        </row>
        <row r="1725">
          <cell r="O1725">
            <v>12.645425867507885</v>
          </cell>
        </row>
        <row r="1726">
          <cell r="O1726">
            <v>3.0842857142857141</v>
          </cell>
        </row>
        <row r="1727">
          <cell r="O1727">
            <v>1.2588478684361701</v>
          </cell>
        </row>
        <row r="1728">
          <cell r="O1728">
            <v>5.95</v>
          </cell>
        </row>
        <row r="1729">
          <cell r="O1729">
            <v>18.195899053627762</v>
          </cell>
        </row>
        <row r="1730">
          <cell r="O1730">
            <v>4.8814285714285717</v>
          </cell>
        </row>
        <row r="1731">
          <cell r="O1731">
            <v>8.977287066246058</v>
          </cell>
        </row>
        <row r="1732">
          <cell r="O1732">
            <v>11.873186119873818</v>
          </cell>
        </row>
        <row r="1733">
          <cell r="O1733">
            <v>3.4485714285714284</v>
          </cell>
        </row>
        <row r="1734">
          <cell r="O1734">
            <v>9.6529968454258679</v>
          </cell>
        </row>
        <row r="1735">
          <cell r="O1735">
            <v>8.8007579524885831</v>
          </cell>
        </row>
        <row r="1736">
          <cell r="O1736">
            <v>41.759498567335243</v>
          </cell>
        </row>
        <row r="1737">
          <cell r="O1737">
            <v>5.7071428571428573</v>
          </cell>
        </row>
        <row r="1738">
          <cell r="O1738">
            <v>4.8328571428571427</v>
          </cell>
        </row>
        <row r="1739">
          <cell r="O1739">
            <v>10.328706624605678</v>
          </cell>
        </row>
        <row r="1740">
          <cell r="O1740">
            <v>8.0602523659305998</v>
          </cell>
        </row>
        <row r="1741">
          <cell r="O1741">
            <v>9.3634069400630899</v>
          </cell>
        </row>
        <row r="1742">
          <cell r="O1742">
            <v>12.307570977917981</v>
          </cell>
        </row>
        <row r="1743">
          <cell r="O1743">
            <v>12.534369287020109</v>
          </cell>
        </row>
        <row r="1744">
          <cell r="O1744">
            <v>53.194871794871794</v>
          </cell>
        </row>
        <row r="1745">
          <cell r="O1745">
            <v>27.520109689213893</v>
          </cell>
        </row>
        <row r="1746">
          <cell r="O1746">
            <v>10.101465201465203</v>
          </cell>
        </row>
        <row r="1747">
          <cell r="O1747">
            <v>15.291208791208792</v>
          </cell>
        </row>
        <row r="1748">
          <cell r="O1748">
            <v>71.729670329670341</v>
          </cell>
        </row>
        <row r="1749">
          <cell r="O1749">
            <v>18.130895795246801</v>
          </cell>
        </row>
        <row r="1750">
          <cell r="O1750">
            <v>0</v>
          </cell>
        </row>
        <row r="1751">
          <cell r="O1751">
            <v>38.089010989010994</v>
          </cell>
        </row>
        <row r="1752">
          <cell r="O1752">
            <v>5.0043956043956053</v>
          </cell>
        </row>
        <row r="1753">
          <cell r="O1753">
            <v>38.089010989010994</v>
          </cell>
        </row>
        <row r="1754">
          <cell r="O1754">
            <v>16.333791208791208</v>
          </cell>
        </row>
        <row r="1755">
          <cell r="O1755">
            <v>5.3750915750915755</v>
          </cell>
        </row>
        <row r="1756">
          <cell r="O1756">
            <v>55.789743589743594</v>
          </cell>
        </row>
        <row r="1757">
          <cell r="O1757">
            <v>8.0626373626373624</v>
          </cell>
        </row>
        <row r="1758">
          <cell r="O1758">
            <v>47.495421245421248</v>
          </cell>
        </row>
        <row r="1759">
          <cell r="O1759">
            <v>18.388073394495411</v>
          </cell>
        </row>
        <row r="1760">
          <cell r="O1760">
            <v>9.3772477064220183</v>
          </cell>
        </row>
        <row r="1761">
          <cell r="O1761">
            <v>9.4513761467889914</v>
          </cell>
        </row>
        <row r="1762">
          <cell r="O1762">
            <v>2.3895506042296066</v>
          </cell>
        </row>
        <row r="1763">
          <cell r="O1763">
            <v>6.4290676416819013</v>
          </cell>
        </row>
        <row r="1764">
          <cell r="O1764">
            <v>17.265137614678899</v>
          </cell>
        </row>
        <row r="1765">
          <cell r="O1765">
            <v>9.3429616087751359</v>
          </cell>
        </row>
        <row r="1766">
          <cell r="O1766">
            <v>1.2695160707110529</v>
          </cell>
        </row>
        <row r="1767">
          <cell r="O1767">
            <v>17.714625228519193</v>
          </cell>
        </row>
        <row r="1768">
          <cell r="O1768">
            <v>11.954945054945055</v>
          </cell>
        </row>
        <row r="1769">
          <cell r="O1769">
            <v>90.635164835164829</v>
          </cell>
        </row>
        <row r="1770">
          <cell r="O1770">
            <v>0</v>
          </cell>
        </row>
        <row r="1771">
          <cell r="O1771">
            <v>3.4368373493975906</v>
          </cell>
        </row>
        <row r="1772">
          <cell r="O1772">
            <v>3.1243975903614456</v>
          </cell>
        </row>
        <row r="1773">
          <cell r="O1773">
            <v>3.1243975903614456</v>
          </cell>
        </row>
        <row r="1774">
          <cell r="O1774">
            <v>3.1243975903614456</v>
          </cell>
        </row>
        <row r="1775">
          <cell r="O1775">
            <v>3.1243975903614456</v>
          </cell>
        </row>
        <row r="1776">
          <cell r="O1776">
            <v>0</v>
          </cell>
        </row>
        <row r="1777">
          <cell r="O1777">
            <v>0.97080640701433452</v>
          </cell>
        </row>
        <row r="1778">
          <cell r="O1778">
            <v>0</v>
          </cell>
        </row>
        <row r="1779">
          <cell r="O1779">
            <v>0</v>
          </cell>
        </row>
        <row r="1780">
          <cell r="O1780">
            <v>0</v>
          </cell>
        </row>
        <row r="1781">
          <cell r="O1781">
            <v>3.4368373493975906</v>
          </cell>
        </row>
        <row r="1782">
          <cell r="O1782">
            <v>3.1243975903614456</v>
          </cell>
        </row>
        <row r="1783">
          <cell r="O1783">
            <v>3.1243975903614456</v>
          </cell>
        </row>
        <row r="1784">
          <cell r="O1784">
            <v>0</v>
          </cell>
        </row>
        <row r="1785">
          <cell r="O1785">
            <v>3.1243975903614456</v>
          </cell>
        </row>
        <row r="1786">
          <cell r="O1786">
            <v>2.8119578313253011</v>
          </cell>
        </row>
        <row r="1787">
          <cell r="O1787">
            <v>0</v>
          </cell>
        </row>
        <row r="1788">
          <cell r="O1788">
            <v>0</v>
          </cell>
        </row>
        <row r="1789">
          <cell r="O1789">
            <v>0</v>
          </cell>
        </row>
        <row r="1790">
          <cell r="O1790">
            <v>1.0348156206636312</v>
          </cell>
        </row>
        <row r="1791">
          <cell r="O1791">
            <v>0</v>
          </cell>
        </row>
        <row r="1792">
          <cell r="O1792">
            <v>22.994527945619335</v>
          </cell>
        </row>
        <row r="1793">
          <cell r="O1793">
            <v>16.142720883534135</v>
          </cell>
        </row>
        <row r="1794">
          <cell r="O1794">
            <v>0</v>
          </cell>
        </row>
        <row r="1795">
          <cell r="O1795">
            <v>0</v>
          </cell>
        </row>
        <row r="1796">
          <cell r="O1796">
            <v>0</v>
          </cell>
        </row>
        <row r="1797">
          <cell r="O1797">
            <v>0</v>
          </cell>
        </row>
        <row r="1798">
          <cell r="O1798">
            <v>21.245903614457831</v>
          </cell>
        </row>
        <row r="1799">
          <cell r="O1799">
            <v>14.997108433734939</v>
          </cell>
        </row>
        <row r="1800">
          <cell r="O1800">
            <v>14.059789156626504</v>
          </cell>
        </row>
        <row r="1801">
          <cell r="O1801">
            <v>35.843259063444101</v>
          </cell>
        </row>
        <row r="1802">
          <cell r="O1802">
            <v>8.1088028700906332</v>
          </cell>
        </row>
        <row r="1803">
          <cell r="O1803">
            <v>5.4677655677655679</v>
          </cell>
        </row>
        <row r="1804">
          <cell r="O1804">
            <v>0</v>
          </cell>
        </row>
        <row r="1805">
          <cell r="O1805">
            <v>0</v>
          </cell>
        </row>
        <row r="1806">
          <cell r="O1806">
            <v>0</v>
          </cell>
        </row>
        <row r="1807">
          <cell r="O1807">
            <v>39.055441842900301</v>
          </cell>
        </row>
        <row r="1808">
          <cell r="O1808">
            <v>21.454196787148593</v>
          </cell>
        </row>
        <row r="1809">
          <cell r="O1809">
            <v>12.221963746223564</v>
          </cell>
        </row>
        <row r="1810">
          <cell r="O1810">
            <v>0</v>
          </cell>
        </row>
        <row r="1811">
          <cell r="O1811">
            <v>1.7627832326283988</v>
          </cell>
        </row>
        <row r="1812">
          <cell r="O1812">
            <v>0</v>
          </cell>
        </row>
        <row r="1813">
          <cell r="O1813">
            <v>0</v>
          </cell>
        </row>
        <row r="1814">
          <cell r="O1814">
            <v>0</v>
          </cell>
        </row>
        <row r="1815">
          <cell r="O1815">
            <v>17.496626506024093</v>
          </cell>
        </row>
        <row r="1816">
          <cell r="O1816">
            <v>24.682740963855423</v>
          </cell>
        </row>
        <row r="1817">
          <cell r="O1817">
            <v>8.7355702416918408</v>
          </cell>
        </row>
        <row r="1818">
          <cell r="O1818">
            <v>6.0326359516616304</v>
          </cell>
        </row>
        <row r="1819">
          <cell r="O1819">
            <v>6.150154833836857</v>
          </cell>
        </row>
        <row r="1820">
          <cell r="O1820">
            <v>35.882432024169177</v>
          </cell>
        </row>
        <row r="1821">
          <cell r="O1821">
            <v>0</v>
          </cell>
        </row>
        <row r="1822">
          <cell r="O1822">
            <v>0</v>
          </cell>
        </row>
        <row r="1823">
          <cell r="O1823">
            <v>0</v>
          </cell>
        </row>
        <row r="1824">
          <cell r="O1824">
            <v>0</v>
          </cell>
        </row>
        <row r="1825">
          <cell r="O1825">
            <v>0</v>
          </cell>
        </row>
        <row r="1826">
          <cell r="O1826">
            <v>0</v>
          </cell>
        </row>
        <row r="1827">
          <cell r="O1827">
            <v>0</v>
          </cell>
        </row>
        <row r="1828">
          <cell r="O1828">
            <v>14.997108433734939</v>
          </cell>
        </row>
        <row r="1829">
          <cell r="O1829">
            <v>0</v>
          </cell>
        </row>
        <row r="1830">
          <cell r="O1830">
            <v>10.145796827794561</v>
          </cell>
        </row>
        <row r="1831">
          <cell r="O1831">
            <v>7.1686518126888208</v>
          </cell>
        </row>
        <row r="1832">
          <cell r="O1832">
            <v>6.5418844410876122</v>
          </cell>
        </row>
        <row r="1833">
          <cell r="O1833">
            <v>9.3623376132930485</v>
          </cell>
        </row>
        <row r="1834">
          <cell r="O1834">
            <v>9.7540672205438046</v>
          </cell>
        </row>
        <row r="1835">
          <cell r="O1835">
            <v>0</v>
          </cell>
        </row>
        <row r="1836">
          <cell r="O1836">
            <v>9.3742857142857137</v>
          </cell>
        </row>
        <row r="1837">
          <cell r="O1837">
            <v>13.900315457413249</v>
          </cell>
        </row>
        <row r="1838">
          <cell r="O1838">
            <v>7.3342857142857136</v>
          </cell>
        </row>
        <row r="1839">
          <cell r="O1839">
            <v>83.269495412844023</v>
          </cell>
        </row>
        <row r="1840">
          <cell r="O1840">
            <v>25.239328537170266</v>
          </cell>
        </row>
        <row r="1841">
          <cell r="O1841">
            <v>7.6258675078864355</v>
          </cell>
        </row>
        <row r="1842">
          <cell r="O1842">
            <v>5.0999999999999996</v>
          </cell>
        </row>
        <row r="1843">
          <cell r="O1843">
            <v>3.8371428571428572</v>
          </cell>
        </row>
        <row r="1844">
          <cell r="O1844">
            <v>0.68276494559249912</v>
          </cell>
        </row>
        <row r="1845">
          <cell r="O1845">
            <v>15.541324921135647</v>
          </cell>
        </row>
        <row r="1846">
          <cell r="O1846">
            <v>5.3671428571428574</v>
          </cell>
        </row>
        <row r="1847">
          <cell r="O1847">
            <v>0</v>
          </cell>
        </row>
        <row r="1848">
          <cell r="O1848">
            <v>1.6855759594314821</v>
          </cell>
        </row>
        <row r="1849">
          <cell r="O1849">
            <v>0.22403224777253875</v>
          </cell>
        </row>
        <row r="1850">
          <cell r="O1850">
            <v>7.6258675078864355</v>
          </cell>
        </row>
        <row r="1851">
          <cell r="O1851">
            <v>4.8328571428571427</v>
          </cell>
        </row>
        <row r="1852">
          <cell r="O1852">
            <v>15.203470031545741</v>
          </cell>
        </row>
        <row r="1853">
          <cell r="O1853">
            <v>10.127142857142857</v>
          </cell>
        </row>
        <row r="1854">
          <cell r="O1854">
            <v>5.2457142857142864</v>
          </cell>
        </row>
        <row r="1855">
          <cell r="O1855">
            <v>15.203470031545741</v>
          </cell>
        </row>
        <row r="1856">
          <cell r="O1856">
            <v>15.541324921135647</v>
          </cell>
        </row>
        <row r="1857">
          <cell r="O1857">
            <v>3.8371428571428572</v>
          </cell>
        </row>
        <row r="1858">
          <cell r="O1858">
            <v>3.8371428571428572</v>
          </cell>
        </row>
        <row r="1859">
          <cell r="O1859">
            <v>10.078571428571429</v>
          </cell>
        </row>
        <row r="1860">
          <cell r="O1860">
            <v>3.7642857142857142</v>
          </cell>
        </row>
        <row r="1861">
          <cell r="O1861">
            <v>2.5014285714285718</v>
          </cell>
        </row>
        <row r="1862">
          <cell r="O1862">
            <v>5.3914285714285715</v>
          </cell>
        </row>
        <row r="1863">
          <cell r="O1863">
            <v>5.0028571428571436</v>
          </cell>
        </row>
        <row r="1864">
          <cell r="O1864">
            <v>15.895923261390887</v>
          </cell>
        </row>
        <row r="1865">
          <cell r="O1865">
            <v>3.132857142857143</v>
          </cell>
        </row>
        <row r="1866">
          <cell r="O1866">
            <v>24.229022082018929</v>
          </cell>
        </row>
        <row r="1867">
          <cell r="O1867">
            <v>11.921451104100946</v>
          </cell>
        </row>
        <row r="1868">
          <cell r="O1868">
            <v>9.7977917981072551</v>
          </cell>
        </row>
        <row r="1869">
          <cell r="O1869">
            <v>8.8807570977917969</v>
          </cell>
        </row>
        <row r="1870">
          <cell r="O1870">
            <v>12.597160883280758</v>
          </cell>
        </row>
        <row r="1871">
          <cell r="O1871">
            <v>16.168769716088327</v>
          </cell>
        </row>
        <row r="1872">
          <cell r="O1872">
            <v>8.8007579524885831</v>
          </cell>
        </row>
        <row r="1873">
          <cell r="O1873">
            <v>45.697671919770769</v>
          </cell>
        </row>
        <row r="1874">
          <cell r="O1874">
            <v>11.969716088328076</v>
          </cell>
        </row>
        <row r="1875">
          <cell r="O1875">
            <v>10.8596214511041</v>
          </cell>
        </row>
        <row r="1876">
          <cell r="O1876">
            <v>9.5082018927444789</v>
          </cell>
        </row>
        <row r="1877">
          <cell r="O1877">
            <v>8.9290220820189266</v>
          </cell>
        </row>
        <row r="1878">
          <cell r="O1878">
            <v>5.8042857142857143</v>
          </cell>
        </row>
        <row r="1879">
          <cell r="O1879">
            <v>5.1242857142857146</v>
          </cell>
        </row>
        <row r="1880">
          <cell r="O1880">
            <v>55.511721611721612</v>
          </cell>
        </row>
        <row r="1881">
          <cell r="O1881">
            <v>67.466666666666669</v>
          </cell>
        </row>
        <row r="1882">
          <cell r="O1882">
            <v>2.7630643891946445</v>
          </cell>
        </row>
        <row r="1883">
          <cell r="O1883">
            <v>77.012087912087907</v>
          </cell>
        </row>
        <row r="1884">
          <cell r="O1884">
            <v>10.101465201465203</v>
          </cell>
        </row>
        <row r="1885">
          <cell r="O1885">
            <v>17.25210237659963</v>
          </cell>
        </row>
        <row r="1886">
          <cell r="O1886">
            <v>57.179853479853485</v>
          </cell>
        </row>
        <row r="1887">
          <cell r="O1887">
            <v>7.1358974358974363</v>
          </cell>
        </row>
        <row r="1888">
          <cell r="O1888">
            <v>16.327056672760509</v>
          </cell>
        </row>
        <row r="1889">
          <cell r="O1889">
            <v>2.6826325411334548</v>
          </cell>
        </row>
        <row r="1890">
          <cell r="O1890">
            <v>55.789743589743594</v>
          </cell>
        </row>
        <row r="1891">
          <cell r="O1891">
            <v>6.8578754578754584</v>
          </cell>
        </row>
        <row r="1892">
          <cell r="O1892">
            <v>15.661904761904761</v>
          </cell>
        </row>
        <row r="1893">
          <cell r="O1893">
            <v>9.7307692307692317</v>
          </cell>
        </row>
        <row r="1894">
          <cell r="O1894">
            <v>37.996336996337</v>
          </cell>
        </row>
        <row r="1895">
          <cell r="O1895">
            <v>2.4287235649546828</v>
          </cell>
        </row>
        <row r="1896">
          <cell r="O1896">
            <v>4.3014625228519199</v>
          </cell>
        </row>
        <row r="1897">
          <cell r="O1897">
            <v>99.253846153846155</v>
          </cell>
        </row>
        <row r="1898">
          <cell r="O1898">
            <v>14.642490842490844</v>
          </cell>
        </row>
        <row r="1899">
          <cell r="O1899">
            <v>25.022486288848263</v>
          </cell>
        </row>
        <row r="1900">
          <cell r="O1900">
            <v>27.103839122486288</v>
          </cell>
        </row>
        <row r="1901">
          <cell r="O1901">
            <v>5.9665447897623398</v>
          </cell>
        </row>
        <row r="1902">
          <cell r="O1902">
            <v>0</v>
          </cell>
        </row>
        <row r="1903">
          <cell r="O1903">
            <v>0</v>
          </cell>
        </row>
        <row r="1904">
          <cell r="O1904">
            <v>3.4368373493975906</v>
          </cell>
        </row>
        <row r="1905">
          <cell r="O1905">
            <v>3.1243975903614456</v>
          </cell>
        </row>
        <row r="1906">
          <cell r="O1906">
            <v>3.1243975903614456</v>
          </cell>
        </row>
        <row r="1907">
          <cell r="O1907">
            <v>3.1243975903614456</v>
          </cell>
        </row>
        <row r="1908">
          <cell r="O1908">
            <v>3.1243975903614456</v>
          </cell>
        </row>
        <row r="1909">
          <cell r="O1909">
            <v>0</v>
          </cell>
        </row>
        <row r="1910">
          <cell r="O1910">
            <v>0.96013820473945177</v>
          </cell>
        </row>
        <row r="1911">
          <cell r="O1911">
            <v>0</v>
          </cell>
        </row>
        <row r="1912">
          <cell r="O1912">
            <v>0</v>
          </cell>
        </row>
        <row r="1913">
          <cell r="O1913">
            <v>0</v>
          </cell>
        </row>
        <row r="1914">
          <cell r="O1914">
            <v>3.4368373493975906</v>
          </cell>
        </row>
        <row r="1915">
          <cell r="O1915">
            <v>3.4368373493975906</v>
          </cell>
        </row>
        <row r="1916">
          <cell r="O1916">
            <v>3.4368373493975906</v>
          </cell>
        </row>
        <row r="1917">
          <cell r="O1917">
            <v>0</v>
          </cell>
        </row>
        <row r="1918">
          <cell r="O1918">
            <v>2.8119578313253011</v>
          </cell>
        </row>
        <row r="1919">
          <cell r="O1919">
            <v>3.1243975903614456</v>
          </cell>
        </row>
        <row r="1920">
          <cell r="O1920">
            <v>0</v>
          </cell>
        </row>
        <row r="1921">
          <cell r="O1921">
            <v>0</v>
          </cell>
        </row>
        <row r="1922">
          <cell r="O1922">
            <v>1.0184969788519638</v>
          </cell>
        </row>
        <row r="1923">
          <cell r="O1923">
            <v>2.2106796116504852</v>
          </cell>
        </row>
        <row r="1924">
          <cell r="O1924">
            <v>22.837836102719031</v>
          </cell>
        </row>
        <row r="1925">
          <cell r="O1925">
            <v>16.142720883534135</v>
          </cell>
        </row>
        <row r="1926">
          <cell r="O1926">
            <v>0</v>
          </cell>
        </row>
        <row r="1927">
          <cell r="O1927">
            <v>0</v>
          </cell>
        </row>
        <row r="1928">
          <cell r="O1928">
            <v>0</v>
          </cell>
        </row>
        <row r="1929">
          <cell r="O1929">
            <v>21.245903614457831</v>
          </cell>
        </row>
        <row r="1930">
          <cell r="O1930">
            <v>14.997108433734939</v>
          </cell>
        </row>
        <row r="1931">
          <cell r="O1931">
            <v>14.059789156626504</v>
          </cell>
        </row>
        <row r="1932">
          <cell r="O1932">
            <v>34.550551359516618</v>
          </cell>
        </row>
        <row r="1933">
          <cell r="O1933">
            <v>8.1088028700906332</v>
          </cell>
        </row>
        <row r="1934">
          <cell r="O1934">
            <v>0</v>
          </cell>
        </row>
        <row r="1935">
          <cell r="O1935">
            <v>0</v>
          </cell>
        </row>
        <row r="1936">
          <cell r="O1936">
            <v>0</v>
          </cell>
        </row>
        <row r="1937">
          <cell r="O1937">
            <v>12.221963746223564</v>
          </cell>
        </row>
        <row r="1938">
          <cell r="O1938">
            <v>49.044546827794555</v>
          </cell>
        </row>
        <row r="1939">
          <cell r="O1939">
            <v>21.454196787148593</v>
          </cell>
        </row>
        <row r="1940">
          <cell r="O1940">
            <v>0</v>
          </cell>
        </row>
        <row r="1941">
          <cell r="O1941">
            <v>1.6452643504531721</v>
          </cell>
        </row>
        <row r="1942">
          <cell r="O1942">
            <v>0</v>
          </cell>
        </row>
        <row r="1943">
          <cell r="O1943">
            <v>0</v>
          </cell>
        </row>
        <row r="1944">
          <cell r="O1944">
            <v>17.496626506024093</v>
          </cell>
        </row>
        <row r="1945">
          <cell r="O1945">
            <v>24.682740963855423</v>
          </cell>
        </row>
        <row r="1946">
          <cell r="O1946">
            <v>9.5582024169184265</v>
          </cell>
        </row>
        <row r="1947">
          <cell r="O1947">
            <v>6.3460196374622342</v>
          </cell>
        </row>
        <row r="1948">
          <cell r="O1948">
            <v>6.6202303625377628</v>
          </cell>
        </row>
        <row r="1949">
          <cell r="O1949">
            <v>34.433032477341385</v>
          </cell>
        </row>
        <row r="1950">
          <cell r="O1950">
            <v>0</v>
          </cell>
        </row>
        <row r="1951">
          <cell r="O1951">
            <v>0</v>
          </cell>
        </row>
        <row r="1952">
          <cell r="O1952">
            <v>0</v>
          </cell>
        </row>
        <row r="1953">
          <cell r="O1953">
            <v>0</v>
          </cell>
        </row>
        <row r="1954">
          <cell r="O1954">
            <v>0</v>
          </cell>
        </row>
        <row r="1955">
          <cell r="O1955">
            <v>0</v>
          </cell>
        </row>
        <row r="1956">
          <cell r="O1956">
            <v>0</v>
          </cell>
        </row>
        <row r="1957">
          <cell r="O1957">
            <v>0</v>
          </cell>
        </row>
        <row r="1958">
          <cell r="O1958">
            <v>14.997108433734939</v>
          </cell>
        </row>
        <row r="1959">
          <cell r="O1959">
            <v>10.576699395770392</v>
          </cell>
        </row>
        <row r="1960">
          <cell r="O1960">
            <v>5.7584252265861009</v>
          </cell>
        </row>
        <row r="1961">
          <cell r="O1961">
            <v>0</v>
          </cell>
        </row>
        <row r="1962">
          <cell r="O1962">
            <v>10.618296529968454</v>
          </cell>
        </row>
        <row r="1963">
          <cell r="O1963">
            <v>2.234285714285714</v>
          </cell>
        </row>
        <row r="1964">
          <cell r="O1964">
            <v>0.54407831601902268</v>
          </cell>
        </row>
        <row r="1965">
          <cell r="O1965">
            <v>10.666561514195584</v>
          </cell>
        </row>
        <row r="1966">
          <cell r="O1966">
            <v>3.7642857142857142</v>
          </cell>
        </row>
        <row r="1967">
          <cell r="O1967">
            <v>29.748351648351651</v>
          </cell>
        </row>
        <row r="1968">
          <cell r="O1968">
            <v>7.4810725552050474</v>
          </cell>
        </row>
        <row r="1969">
          <cell r="O1969">
            <v>8.5260073260073259</v>
          </cell>
        </row>
        <row r="1970">
          <cell r="O1970">
            <v>6.0957142857142861</v>
          </cell>
        </row>
        <row r="1971">
          <cell r="O1971">
            <v>59.542384868421045</v>
          </cell>
        </row>
        <row r="1972">
          <cell r="O1972">
            <v>7.6258675078864355</v>
          </cell>
        </row>
        <row r="1973">
          <cell r="O1973">
            <v>20.302417763157894</v>
          </cell>
        </row>
        <row r="1974">
          <cell r="O1974">
            <v>7.6258675078864355</v>
          </cell>
        </row>
        <row r="1975">
          <cell r="O1975">
            <v>7.6258675078864355</v>
          </cell>
        </row>
        <row r="1976">
          <cell r="O1976">
            <v>4.4657175226586094</v>
          </cell>
        </row>
        <row r="1977">
          <cell r="O1977">
            <v>7.6258675078864355</v>
          </cell>
        </row>
        <row r="1978">
          <cell r="O1978">
            <v>12.19496402877698</v>
          </cell>
        </row>
        <row r="1979">
          <cell r="O1979">
            <v>3.8371428571428572</v>
          </cell>
        </row>
        <row r="1980">
          <cell r="O1980">
            <v>2.3895506042296066</v>
          </cell>
        </row>
        <row r="1981">
          <cell r="O1981">
            <v>7.6258675078864355</v>
          </cell>
        </row>
        <row r="1982">
          <cell r="O1982">
            <v>0</v>
          </cell>
        </row>
        <row r="1983">
          <cell r="O1983">
            <v>3.8371428571428572</v>
          </cell>
        </row>
        <row r="1984">
          <cell r="O1984">
            <v>36.922712933753942</v>
          </cell>
        </row>
        <row r="1985">
          <cell r="O1985">
            <v>7.4810725552050474</v>
          </cell>
        </row>
        <row r="1986">
          <cell r="O1986">
            <v>7.4810725552050474</v>
          </cell>
        </row>
        <row r="1987">
          <cell r="O1987">
            <v>7.4810725552050474</v>
          </cell>
        </row>
        <row r="1988">
          <cell r="O1988">
            <v>7.4810725552050474</v>
          </cell>
        </row>
        <row r="1989">
          <cell r="O1989">
            <v>3.8371428571428572</v>
          </cell>
        </row>
        <row r="1990">
          <cell r="O1990">
            <v>3.8371428571428572</v>
          </cell>
        </row>
        <row r="1991">
          <cell r="O1991">
            <v>3.8371428571428572</v>
          </cell>
        </row>
        <row r="1992">
          <cell r="O1992">
            <v>3.8371428571428572</v>
          </cell>
        </row>
        <row r="1993">
          <cell r="O1993">
            <v>35.401274671052633</v>
          </cell>
        </row>
        <row r="1994">
          <cell r="O1994">
            <v>12.645425867507885</v>
          </cell>
        </row>
        <row r="1995">
          <cell r="O1995">
            <v>8.6963972809667656</v>
          </cell>
        </row>
        <row r="1996">
          <cell r="O1996">
            <v>5.5857142857142854</v>
          </cell>
        </row>
        <row r="1997">
          <cell r="O1997">
            <v>2.8657142857142857</v>
          </cell>
        </row>
        <row r="1998">
          <cell r="O1998">
            <v>3.1085714285714285</v>
          </cell>
        </row>
        <row r="1999">
          <cell r="O1999">
            <v>16.265299684542587</v>
          </cell>
        </row>
        <row r="2000">
          <cell r="O2000">
            <v>7.6742857142857144</v>
          </cell>
        </row>
        <row r="2001">
          <cell r="O2001">
            <v>5.7071428571428573</v>
          </cell>
        </row>
        <row r="2002">
          <cell r="O2002">
            <v>4.8814285714285717</v>
          </cell>
        </row>
        <row r="2003">
          <cell r="O2003">
            <v>7.4557142857142855</v>
          </cell>
        </row>
        <row r="2004">
          <cell r="O2004">
            <v>6.1928571428571431</v>
          </cell>
        </row>
        <row r="2005">
          <cell r="O2005">
            <v>6.0957142857142861</v>
          </cell>
        </row>
        <row r="2006">
          <cell r="O2006">
            <v>4.0071428571428571</v>
          </cell>
        </row>
        <row r="2007">
          <cell r="O2007">
            <v>7.9637223974763405</v>
          </cell>
        </row>
        <row r="2008">
          <cell r="O2008">
            <v>10.763091482649843</v>
          </cell>
        </row>
        <row r="2009">
          <cell r="O2009">
            <v>4.1042857142857141</v>
          </cell>
        </row>
        <row r="2010">
          <cell r="O2010">
            <v>4.7600000000000007</v>
          </cell>
        </row>
        <row r="2011">
          <cell r="O2011">
            <v>16.217948717948719</v>
          </cell>
        </row>
        <row r="2012">
          <cell r="O2012">
            <v>83.313919413919422</v>
          </cell>
        </row>
        <row r="2013">
          <cell r="O2013">
            <v>11.979341864716634</v>
          </cell>
        </row>
        <row r="2014">
          <cell r="O2014">
            <v>18.720146520146521</v>
          </cell>
        </row>
        <row r="2015">
          <cell r="O2015">
            <v>0</v>
          </cell>
        </row>
        <row r="2016">
          <cell r="O2016">
            <v>18.720146520146521</v>
          </cell>
        </row>
        <row r="2017">
          <cell r="O2017">
            <v>10.101465201465203</v>
          </cell>
        </row>
        <row r="2018">
          <cell r="O2018">
            <v>9.3429616087751359</v>
          </cell>
        </row>
        <row r="2019">
          <cell r="O2019">
            <v>0</v>
          </cell>
        </row>
        <row r="2020">
          <cell r="O2020">
            <v>9.3892138939670922</v>
          </cell>
        </row>
        <row r="2021">
          <cell r="O2021">
            <v>48.468498168498165</v>
          </cell>
        </row>
        <row r="2022">
          <cell r="O2022">
            <v>18.720146520146521</v>
          </cell>
        </row>
        <row r="2023">
          <cell r="O2023">
            <v>4.5410256410256418</v>
          </cell>
        </row>
        <row r="2024">
          <cell r="O2024">
            <v>8.7273394495412848</v>
          </cell>
        </row>
        <row r="2025">
          <cell r="O2025">
            <v>7.3212454212454219</v>
          </cell>
        </row>
        <row r="2026">
          <cell r="O2026">
            <v>9.4513761467889914</v>
          </cell>
        </row>
        <row r="2027">
          <cell r="O2027">
            <v>9.4513761467889914</v>
          </cell>
        </row>
        <row r="2028">
          <cell r="O2028">
            <v>9.4513761467889914</v>
          </cell>
        </row>
        <row r="2029">
          <cell r="O2029">
            <v>7.691941391941393</v>
          </cell>
        </row>
        <row r="2030">
          <cell r="O2030">
            <v>9.4513761467889914</v>
          </cell>
        </row>
        <row r="2031">
          <cell r="O2031">
            <v>8.4220183486238529</v>
          </cell>
        </row>
        <row r="2032">
          <cell r="O2032">
            <v>18.627472527472531</v>
          </cell>
        </row>
        <row r="2033">
          <cell r="O2033">
            <v>17.886080586080588</v>
          </cell>
        </row>
        <row r="2034">
          <cell r="O2034">
            <v>2.1549768595263248</v>
          </cell>
        </row>
        <row r="2035">
          <cell r="O2035">
            <v>11.213553113553115</v>
          </cell>
        </row>
        <row r="2036">
          <cell r="O2036">
            <v>9.9161172161172164</v>
          </cell>
        </row>
        <row r="2037">
          <cell r="O2037">
            <v>1.1414976434124593</v>
          </cell>
        </row>
        <row r="2038">
          <cell r="O2038">
            <v>68.208058608058607</v>
          </cell>
        </row>
        <row r="2039">
          <cell r="O2039">
            <v>14.364468864468865</v>
          </cell>
        </row>
        <row r="2040">
          <cell r="O2040">
            <v>4.3741566265060232</v>
          </cell>
        </row>
        <row r="2041">
          <cell r="O2041">
            <v>4.9990361445783131</v>
          </cell>
        </row>
        <row r="2042">
          <cell r="O2042">
            <v>4.9990361445783131</v>
          </cell>
        </row>
        <row r="2043">
          <cell r="O2043">
            <v>16.246867469879518</v>
          </cell>
        </row>
        <row r="2044">
          <cell r="O2044">
            <v>18.720146520146521</v>
          </cell>
        </row>
        <row r="2045">
          <cell r="O2045">
            <v>18.720146520146521</v>
          </cell>
        </row>
        <row r="2046">
          <cell r="O2046">
            <v>18.720146520146521</v>
          </cell>
        </row>
        <row r="2047">
          <cell r="O2047">
            <v>40.869230769230775</v>
          </cell>
        </row>
        <row r="2048">
          <cell r="O2048">
            <v>0</v>
          </cell>
        </row>
        <row r="2049">
          <cell r="O2049">
            <v>0</v>
          </cell>
        </row>
        <row r="2050">
          <cell r="O2050">
            <v>0</v>
          </cell>
        </row>
        <row r="2051">
          <cell r="O2051">
            <v>3.4368373493975906</v>
          </cell>
        </row>
        <row r="2052">
          <cell r="O2052">
            <v>3.1243975903614456</v>
          </cell>
        </row>
        <row r="2053">
          <cell r="O2053">
            <v>3.1243975903614456</v>
          </cell>
        </row>
        <row r="2054">
          <cell r="O2054">
            <v>3.1243975903614456</v>
          </cell>
        </row>
        <row r="2055">
          <cell r="O2055">
            <v>3.1243975903614456</v>
          </cell>
        </row>
        <row r="2056">
          <cell r="O2056">
            <v>0.98147460928921726</v>
          </cell>
        </row>
        <row r="2057">
          <cell r="O2057">
            <v>0</v>
          </cell>
        </row>
        <row r="2058">
          <cell r="O2058">
            <v>0</v>
          </cell>
        </row>
        <row r="2059">
          <cell r="O2059">
            <v>0</v>
          </cell>
        </row>
        <row r="2060">
          <cell r="O2060">
            <v>3.4368373493975906</v>
          </cell>
        </row>
        <row r="2061">
          <cell r="O2061">
            <v>3.4368373493975906</v>
          </cell>
        </row>
        <row r="2062">
          <cell r="O2062">
            <v>3.4368373493975906</v>
          </cell>
        </row>
        <row r="2063">
          <cell r="O2063">
            <v>0</v>
          </cell>
        </row>
        <row r="2064">
          <cell r="O2064">
            <v>3.1243975903614456</v>
          </cell>
        </row>
        <row r="2065">
          <cell r="O2065">
            <v>2.8119578313253011</v>
          </cell>
        </row>
        <row r="2066">
          <cell r="O2066">
            <v>6.7377492447129903</v>
          </cell>
        </row>
        <row r="2067">
          <cell r="O2067">
            <v>12.809558157099698</v>
          </cell>
        </row>
        <row r="2068">
          <cell r="O2068">
            <v>0</v>
          </cell>
        </row>
        <row r="2069">
          <cell r="O2069">
            <v>52.830967048710598</v>
          </cell>
        </row>
        <row r="2070">
          <cell r="O2070">
            <v>3.058241758241758</v>
          </cell>
        </row>
        <row r="2071">
          <cell r="O2071">
            <v>6.8578754578754584</v>
          </cell>
        </row>
        <row r="2072">
          <cell r="O2072">
            <v>6.5798534798534796</v>
          </cell>
        </row>
        <row r="2073">
          <cell r="O2073">
            <v>0.12801842729859356</v>
          </cell>
        </row>
        <row r="2074">
          <cell r="O2074">
            <v>14.827838827838828</v>
          </cell>
        </row>
        <row r="2075">
          <cell r="O2075">
            <v>8.7113553113553124</v>
          </cell>
        </row>
        <row r="2076">
          <cell r="O2076">
            <v>3.7492771084337346</v>
          </cell>
        </row>
        <row r="2077">
          <cell r="O2077">
            <v>4.3741566265060232</v>
          </cell>
        </row>
        <row r="2078">
          <cell r="O2078">
            <v>3.1243975903614456</v>
          </cell>
        </row>
        <row r="2079">
          <cell r="O2079">
            <v>23.072873867069482</v>
          </cell>
        </row>
        <row r="2080">
          <cell r="O2080">
            <v>16.142720883534135</v>
          </cell>
        </row>
        <row r="2081">
          <cell r="O2081">
            <v>0</v>
          </cell>
        </row>
        <row r="2082">
          <cell r="O2082">
            <v>0</v>
          </cell>
        </row>
        <row r="2083">
          <cell r="O2083">
            <v>0</v>
          </cell>
        </row>
        <row r="2084">
          <cell r="O2084">
            <v>0</v>
          </cell>
        </row>
        <row r="2085">
          <cell r="O2085">
            <v>0</v>
          </cell>
        </row>
        <row r="2086">
          <cell r="O2086">
            <v>0</v>
          </cell>
        </row>
        <row r="2087">
          <cell r="O2087">
            <v>21.245903614457831</v>
          </cell>
        </row>
        <row r="2088">
          <cell r="O2088">
            <v>3.4368373493975906</v>
          </cell>
        </row>
        <row r="2089">
          <cell r="O2089">
            <v>3.1243975903614456</v>
          </cell>
        </row>
        <row r="2090">
          <cell r="O2090">
            <v>14.997108433734939</v>
          </cell>
        </row>
        <row r="2091">
          <cell r="O2091">
            <v>3.1243975903614456</v>
          </cell>
        </row>
        <row r="2092">
          <cell r="O2092">
            <v>3.1243975903614456</v>
          </cell>
        </row>
        <row r="2093">
          <cell r="O2093">
            <v>3.1243975903614456</v>
          </cell>
        </row>
        <row r="2094">
          <cell r="O2094">
            <v>14.059789156626504</v>
          </cell>
        </row>
        <row r="2095">
          <cell r="O2095">
            <v>26.990169939577036</v>
          </cell>
        </row>
        <row r="2096">
          <cell r="O2096">
            <v>0</v>
          </cell>
        </row>
        <row r="2097">
          <cell r="O2097">
            <v>0</v>
          </cell>
        </row>
        <row r="2098">
          <cell r="O2098">
            <v>0</v>
          </cell>
        </row>
        <row r="2099">
          <cell r="O2099">
            <v>0</v>
          </cell>
        </row>
        <row r="2100">
          <cell r="O2100">
            <v>0</v>
          </cell>
        </row>
        <row r="2101">
          <cell r="O2101">
            <v>58.015154833836853</v>
          </cell>
        </row>
        <row r="2102">
          <cell r="O2102">
            <v>0</v>
          </cell>
        </row>
        <row r="2103">
          <cell r="O2103">
            <v>8.1088028700906332</v>
          </cell>
        </row>
        <row r="2104">
          <cell r="O2104">
            <v>21.454196787148593</v>
          </cell>
        </row>
        <row r="2105">
          <cell r="O2105">
            <v>12.221963746223564</v>
          </cell>
        </row>
        <row r="2106">
          <cell r="O2106">
            <v>0.90679719336503772</v>
          </cell>
        </row>
        <row r="2107">
          <cell r="O2107">
            <v>0</v>
          </cell>
        </row>
        <row r="2108">
          <cell r="O2108">
            <v>0</v>
          </cell>
        </row>
        <row r="2109">
          <cell r="O2109">
            <v>0</v>
          </cell>
        </row>
        <row r="2110">
          <cell r="O2110">
            <v>0</v>
          </cell>
        </row>
        <row r="2111">
          <cell r="O2111">
            <v>1.6452643504531721</v>
          </cell>
        </row>
        <row r="2112">
          <cell r="O2112">
            <v>0</v>
          </cell>
        </row>
        <row r="2113">
          <cell r="O2113">
            <v>0</v>
          </cell>
        </row>
        <row r="2114">
          <cell r="O2114">
            <v>17.496626506024093</v>
          </cell>
        </row>
        <row r="2115">
          <cell r="O2115">
            <v>3.4368373493975906</v>
          </cell>
        </row>
        <row r="2116">
          <cell r="O2116">
            <v>3.4368373493975906</v>
          </cell>
        </row>
        <row r="2117">
          <cell r="O2117">
            <v>3.4368373493975906</v>
          </cell>
        </row>
        <row r="2118">
          <cell r="O2118">
            <v>24.682740963855423</v>
          </cell>
        </row>
        <row r="2119">
          <cell r="O2119">
            <v>2.8119578313253011</v>
          </cell>
        </row>
        <row r="2120">
          <cell r="O2120">
            <v>3.1243975903614456</v>
          </cell>
        </row>
        <row r="2121">
          <cell r="O2121">
            <v>0</v>
          </cell>
        </row>
        <row r="2122">
          <cell r="O2122">
            <v>0</v>
          </cell>
        </row>
        <row r="2123">
          <cell r="O2123">
            <v>6.4243655589123856</v>
          </cell>
        </row>
        <row r="2124">
          <cell r="O2124">
            <v>6.0718089123867056</v>
          </cell>
        </row>
        <row r="2125">
          <cell r="O2125">
            <v>13.279633685800603</v>
          </cell>
        </row>
        <row r="2126">
          <cell r="O2126">
            <v>1.7236102719033231</v>
          </cell>
        </row>
        <row r="2127">
          <cell r="O2127">
            <v>0.3627188773460151</v>
          </cell>
        </row>
        <row r="2128">
          <cell r="O2128">
            <v>0</v>
          </cell>
        </row>
        <row r="2129">
          <cell r="O2129">
            <v>0</v>
          </cell>
        </row>
        <row r="2130">
          <cell r="O2130">
            <v>0</v>
          </cell>
        </row>
        <row r="2131">
          <cell r="O2131">
            <v>0</v>
          </cell>
        </row>
        <row r="2132">
          <cell r="O2132">
            <v>0</v>
          </cell>
        </row>
        <row r="2133">
          <cell r="O2133">
            <v>0</v>
          </cell>
        </row>
        <row r="2134">
          <cell r="O2134">
            <v>0</v>
          </cell>
        </row>
        <row r="2135">
          <cell r="O2135">
            <v>0</v>
          </cell>
        </row>
        <row r="2136">
          <cell r="O2136">
            <v>14.997108433734939</v>
          </cell>
        </row>
        <row r="2137">
          <cell r="O2137">
            <v>0</v>
          </cell>
        </row>
        <row r="2138">
          <cell r="O2138">
            <v>0</v>
          </cell>
        </row>
        <row r="2139">
          <cell r="O2139">
            <v>0</v>
          </cell>
        </row>
        <row r="2140">
          <cell r="O2140">
            <v>27.616937311178244</v>
          </cell>
        </row>
        <row r="2141">
          <cell r="O2141">
            <v>4.8966200906344408</v>
          </cell>
        </row>
        <row r="2142">
          <cell r="O2142">
            <v>0</v>
          </cell>
        </row>
        <row r="2143">
          <cell r="O2143">
            <v>0</v>
          </cell>
        </row>
        <row r="2144">
          <cell r="O2144">
            <v>2.3895506042296066</v>
          </cell>
        </row>
        <row r="2145">
          <cell r="O2145">
            <v>17.392794561933531</v>
          </cell>
        </row>
        <row r="2146">
          <cell r="O2146">
            <v>20.657413249211356</v>
          </cell>
        </row>
        <row r="2147">
          <cell r="O2147">
            <v>30.767765567765572</v>
          </cell>
        </row>
        <row r="2148">
          <cell r="O2148">
            <v>2.2585714285714289</v>
          </cell>
        </row>
        <row r="2149">
          <cell r="O2149">
            <v>2.2585714285714289</v>
          </cell>
        </row>
        <row r="2150">
          <cell r="O2150">
            <v>18.630283911671924</v>
          </cell>
        </row>
        <row r="2151">
          <cell r="O2151">
            <v>3.7642857142857142</v>
          </cell>
        </row>
        <row r="2152">
          <cell r="O2152">
            <v>12.114511041009465</v>
          </cell>
        </row>
        <row r="2153">
          <cell r="O2153">
            <v>60.238095238095241</v>
          </cell>
        </row>
        <row r="2154">
          <cell r="O2154">
            <v>0</v>
          </cell>
        </row>
        <row r="2155">
          <cell r="O2155">
            <v>3.8371428571428572</v>
          </cell>
        </row>
        <row r="2156">
          <cell r="O2156">
            <v>3.8371428571428572</v>
          </cell>
        </row>
        <row r="2157">
          <cell r="O2157">
            <v>3.8371428571428572</v>
          </cell>
        </row>
        <row r="2158">
          <cell r="O2158">
            <v>3.8371428571428572</v>
          </cell>
        </row>
        <row r="2159">
          <cell r="O2159">
            <v>10.537526435045315</v>
          </cell>
        </row>
        <row r="2160">
          <cell r="O2160">
            <v>0</v>
          </cell>
        </row>
        <row r="2161">
          <cell r="O2161">
            <v>7.6258675078864355</v>
          </cell>
        </row>
        <row r="2162">
          <cell r="O2162">
            <v>23.118927444794952</v>
          </cell>
        </row>
        <row r="2163">
          <cell r="O2163">
            <v>3.8371428571428572</v>
          </cell>
        </row>
        <row r="2164">
          <cell r="O2164">
            <v>1.162834047962225</v>
          </cell>
        </row>
        <row r="2165">
          <cell r="O2165">
            <v>3.8371428571428572</v>
          </cell>
        </row>
        <row r="2166">
          <cell r="O2166">
            <v>10.515191319856488</v>
          </cell>
        </row>
        <row r="2167">
          <cell r="O2167">
            <v>7.4810725552050474</v>
          </cell>
        </row>
        <row r="2168">
          <cell r="O2168">
            <v>8.9290220820189266</v>
          </cell>
        </row>
        <row r="2169">
          <cell r="O2169">
            <v>0.92285714285714282</v>
          </cell>
        </row>
        <row r="2170">
          <cell r="O2170">
            <v>7.4810725552050474</v>
          </cell>
        </row>
        <row r="2171">
          <cell r="O2171">
            <v>2.1128571428571425</v>
          </cell>
        </row>
        <row r="2172">
          <cell r="O2172">
            <v>7.4810725552050474</v>
          </cell>
        </row>
        <row r="2173">
          <cell r="O2173">
            <v>7.6258675078864355</v>
          </cell>
        </row>
        <row r="2174">
          <cell r="O2174">
            <v>15.444794952681388</v>
          </cell>
        </row>
        <row r="2175">
          <cell r="O2175">
            <v>7.6741324921135652</v>
          </cell>
        </row>
        <row r="2176">
          <cell r="O2176">
            <v>20.029968454258675</v>
          </cell>
        </row>
        <row r="2177">
          <cell r="O2177">
            <v>0.97932401812688807</v>
          </cell>
        </row>
        <row r="2178">
          <cell r="O2178">
            <v>0</v>
          </cell>
        </row>
        <row r="2179">
          <cell r="O2179">
            <v>7.4810725552050474</v>
          </cell>
        </row>
        <row r="2180">
          <cell r="O2180">
            <v>2.5014285714285718</v>
          </cell>
        </row>
        <row r="2181">
          <cell r="O2181">
            <v>10.714826498422713</v>
          </cell>
        </row>
        <row r="2182">
          <cell r="O2182">
            <v>11.728391167192429</v>
          </cell>
        </row>
        <row r="2183">
          <cell r="O2183">
            <v>10.570031545741324</v>
          </cell>
        </row>
        <row r="2184">
          <cell r="O2184">
            <v>3.3514285714285714</v>
          </cell>
        </row>
        <row r="2185">
          <cell r="O2185">
            <v>0</v>
          </cell>
        </row>
        <row r="2186">
          <cell r="O2186">
            <v>3.327142857142857</v>
          </cell>
        </row>
        <row r="2187">
          <cell r="O2187">
            <v>0</v>
          </cell>
        </row>
        <row r="2188">
          <cell r="O2188">
            <v>5.6828571428571424</v>
          </cell>
        </row>
        <row r="2189">
          <cell r="O2189">
            <v>5.7071428571428573</v>
          </cell>
        </row>
        <row r="2190">
          <cell r="O2190">
            <v>4.322857142857143</v>
          </cell>
        </row>
        <row r="2191">
          <cell r="O2191">
            <v>3.0842857142857141</v>
          </cell>
        </row>
        <row r="2192">
          <cell r="O2192">
            <v>0.46940090009484314</v>
          </cell>
        </row>
        <row r="2193">
          <cell r="O2193">
            <v>3.5942857142857143</v>
          </cell>
        </row>
        <row r="2194">
          <cell r="O2194">
            <v>3.23</v>
          </cell>
        </row>
        <row r="2195">
          <cell r="O2195">
            <v>12.741955835962145</v>
          </cell>
        </row>
        <row r="2196">
          <cell r="O2196">
            <v>6.6123028391167189</v>
          </cell>
        </row>
        <row r="2197">
          <cell r="O2197">
            <v>8.4946372239747632</v>
          </cell>
        </row>
        <row r="2198">
          <cell r="O2198">
            <v>11.487066246056783</v>
          </cell>
        </row>
        <row r="2199">
          <cell r="O2199">
            <v>8.5911671924290225</v>
          </cell>
        </row>
        <row r="2200">
          <cell r="O2200">
            <v>10.714826498422713</v>
          </cell>
        </row>
        <row r="2201">
          <cell r="O2201">
            <v>11.052681388012617</v>
          </cell>
        </row>
        <row r="2202">
          <cell r="O2202">
            <v>11.676923076923076</v>
          </cell>
        </row>
        <row r="2203">
          <cell r="O2203">
            <v>6.6725274725274728</v>
          </cell>
        </row>
        <row r="2204">
          <cell r="O2204">
            <v>9.8234432234432241</v>
          </cell>
        </row>
        <row r="2205">
          <cell r="O2205">
            <v>4.911721611721612</v>
          </cell>
        </row>
        <row r="2206">
          <cell r="O2206">
            <v>3.5216117216117215</v>
          </cell>
        </row>
        <row r="2207">
          <cell r="O2207">
            <v>12.603663003663003</v>
          </cell>
        </row>
        <row r="2208">
          <cell r="O2208">
            <v>3.4289377289377292</v>
          </cell>
        </row>
        <row r="2209">
          <cell r="O2209">
            <v>3.5216117216117215</v>
          </cell>
        </row>
        <row r="2210">
          <cell r="O2210">
            <v>8.7113553113553124</v>
          </cell>
        </row>
        <row r="2211">
          <cell r="O2211">
            <v>8.7113553113553124</v>
          </cell>
        </row>
        <row r="2212">
          <cell r="O2212">
            <v>3.7996336996336995</v>
          </cell>
        </row>
        <row r="2213">
          <cell r="O2213">
            <v>11.584249084249084</v>
          </cell>
        </row>
        <row r="2214">
          <cell r="O2214">
            <v>10.101465201465203</v>
          </cell>
        </row>
        <row r="2215">
          <cell r="O2215">
            <v>6.1164835164835161</v>
          </cell>
        </row>
        <row r="2216">
          <cell r="O2216">
            <v>6.2091575091575093</v>
          </cell>
        </row>
        <row r="2217">
          <cell r="O2217">
            <v>2.9655677655677657</v>
          </cell>
        </row>
        <row r="2218">
          <cell r="O2218">
            <v>12.232967032967032</v>
          </cell>
        </row>
        <row r="2219">
          <cell r="O2219">
            <v>6.2091575091575093</v>
          </cell>
        </row>
        <row r="2220">
          <cell r="O2220">
            <v>6.2091575091575093</v>
          </cell>
        </row>
        <row r="2221">
          <cell r="O2221">
            <v>0</v>
          </cell>
        </row>
        <row r="2222">
          <cell r="O2222">
            <v>4.4483516483516485</v>
          </cell>
        </row>
        <row r="2223">
          <cell r="O2223">
            <v>4.263003663003663</v>
          </cell>
        </row>
        <row r="2224">
          <cell r="O2224">
            <v>6.3018315018315016</v>
          </cell>
        </row>
        <row r="2225">
          <cell r="O2225">
            <v>4.911721611721612</v>
          </cell>
        </row>
        <row r="2226">
          <cell r="O2226">
            <v>14.086446886446886</v>
          </cell>
        </row>
        <row r="2227">
          <cell r="O2227">
            <v>0</v>
          </cell>
        </row>
        <row r="2228">
          <cell r="O2228">
            <v>0</v>
          </cell>
        </row>
        <row r="2229">
          <cell r="O2229">
            <v>0</v>
          </cell>
        </row>
        <row r="2230">
          <cell r="O2230">
            <v>0</v>
          </cell>
        </row>
        <row r="2231">
          <cell r="O2231">
            <v>0</v>
          </cell>
        </row>
        <row r="2232">
          <cell r="O2232">
            <v>0</v>
          </cell>
        </row>
        <row r="2233">
          <cell r="O2233">
            <v>0</v>
          </cell>
        </row>
        <row r="2234">
          <cell r="O2234">
            <v>0</v>
          </cell>
        </row>
        <row r="2235">
          <cell r="O2235">
            <v>0</v>
          </cell>
        </row>
        <row r="2236">
          <cell r="O2236">
            <v>0</v>
          </cell>
        </row>
        <row r="2237">
          <cell r="O2237">
            <v>0</v>
          </cell>
        </row>
        <row r="2238">
          <cell r="O2238">
            <v>0</v>
          </cell>
        </row>
        <row r="2239">
          <cell r="O2239">
            <v>0</v>
          </cell>
        </row>
        <row r="2240">
          <cell r="O2240">
            <v>0</v>
          </cell>
        </row>
        <row r="2241">
          <cell r="O2241">
            <v>0</v>
          </cell>
        </row>
        <row r="2242">
          <cell r="O2242">
            <v>0</v>
          </cell>
        </row>
        <row r="2243">
          <cell r="O2243">
            <v>0</v>
          </cell>
        </row>
        <row r="2244">
          <cell r="O2244">
            <v>0</v>
          </cell>
        </row>
        <row r="2245">
          <cell r="O2245">
            <v>5.2824175824175832</v>
          </cell>
        </row>
        <row r="2246">
          <cell r="O2246">
            <v>5.18974358974359</v>
          </cell>
        </row>
        <row r="2247">
          <cell r="O2247">
            <v>2.015714285714286</v>
          </cell>
        </row>
        <row r="2248">
          <cell r="O2248">
            <v>3.73428</v>
          </cell>
        </row>
        <row r="2249">
          <cell r="O2249">
            <v>5.2824175824175832</v>
          </cell>
        </row>
        <row r="2250">
          <cell r="O2250">
            <v>6.1164835164835161</v>
          </cell>
        </row>
        <row r="2251">
          <cell r="O2251">
            <v>14.642490842490844</v>
          </cell>
        </row>
        <row r="2252">
          <cell r="O2252">
            <v>12.325641025641026</v>
          </cell>
        </row>
        <row r="2253">
          <cell r="O2253">
            <v>9.7307692307692317</v>
          </cell>
        </row>
        <row r="2254">
          <cell r="O2254">
            <v>6.1164835164835161</v>
          </cell>
        </row>
        <row r="2255">
          <cell r="O2255">
            <v>6.3018315018315016</v>
          </cell>
        </row>
        <row r="2256">
          <cell r="O2256">
            <v>18.905494505494506</v>
          </cell>
        </row>
        <row r="2257">
          <cell r="O2257">
            <v>4.911721611721612</v>
          </cell>
        </row>
        <row r="2258">
          <cell r="O2258">
            <v>5.7457875457875458</v>
          </cell>
        </row>
        <row r="2259">
          <cell r="O2259">
            <v>27.802197802197803</v>
          </cell>
        </row>
        <row r="2260">
          <cell r="O2260">
            <v>4.911721611721612</v>
          </cell>
        </row>
        <row r="2261">
          <cell r="O2261">
            <v>5.7457875457875458</v>
          </cell>
        </row>
        <row r="2262">
          <cell r="O2262">
            <v>54.214285714285715</v>
          </cell>
        </row>
        <row r="2263">
          <cell r="O2263">
            <v>6.2091575091575093</v>
          </cell>
        </row>
        <row r="2264">
          <cell r="O2264">
            <v>6.2091575091575093</v>
          </cell>
        </row>
        <row r="2265">
          <cell r="O2265">
            <v>12.696336996336996</v>
          </cell>
        </row>
        <row r="2266">
          <cell r="O2266">
            <v>6.2091575091575093</v>
          </cell>
        </row>
        <row r="2267">
          <cell r="O2267">
            <v>6.3018315018315016</v>
          </cell>
        </row>
        <row r="2268">
          <cell r="O2268">
            <v>6.1164835164835161</v>
          </cell>
        </row>
        <row r="2269">
          <cell r="O2269">
            <v>6.3018315018315016</v>
          </cell>
        </row>
        <row r="2270">
          <cell r="O2270">
            <v>9.7307692307692317</v>
          </cell>
        </row>
        <row r="2271">
          <cell r="O2271">
            <v>6.1164835164835161</v>
          </cell>
        </row>
        <row r="2272">
          <cell r="O2272">
            <v>6.3018315018315016</v>
          </cell>
        </row>
        <row r="2273">
          <cell r="O2273">
            <v>12.881684981684982</v>
          </cell>
        </row>
        <row r="2274">
          <cell r="O2274">
            <v>0</v>
          </cell>
        </row>
        <row r="2275">
          <cell r="O2275">
            <v>0</v>
          </cell>
        </row>
        <row r="2276">
          <cell r="O2276">
            <v>0</v>
          </cell>
        </row>
        <row r="2277">
          <cell r="O2277">
            <v>0</v>
          </cell>
        </row>
        <row r="2278">
          <cell r="O2278">
            <v>0</v>
          </cell>
        </row>
        <row r="2279">
          <cell r="O2279">
            <v>0</v>
          </cell>
        </row>
        <row r="2280">
          <cell r="O2280">
            <v>0</v>
          </cell>
        </row>
        <row r="2281">
          <cell r="O2281">
            <v>0</v>
          </cell>
        </row>
        <row r="2282">
          <cell r="O2282">
            <v>0</v>
          </cell>
        </row>
        <row r="2283">
          <cell r="O2283">
            <v>0</v>
          </cell>
        </row>
        <row r="2284">
          <cell r="O2284">
            <v>0</v>
          </cell>
        </row>
        <row r="2285">
          <cell r="O2285">
            <v>0</v>
          </cell>
        </row>
        <row r="2286">
          <cell r="O2286">
            <v>0</v>
          </cell>
        </row>
        <row r="2287">
          <cell r="O2287">
            <v>0</v>
          </cell>
        </row>
        <row r="2288">
          <cell r="O2288">
            <v>0</v>
          </cell>
        </row>
        <row r="2289">
          <cell r="O2289">
            <v>20.753943217665615</v>
          </cell>
        </row>
        <row r="2290">
          <cell r="O2290">
            <v>8.205047318611987</v>
          </cell>
        </row>
        <row r="2291">
          <cell r="O2291">
            <v>8.205047318611987</v>
          </cell>
        </row>
        <row r="2292">
          <cell r="O2292">
            <v>21.91230283911672</v>
          </cell>
        </row>
        <row r="2293">
          <cell r="O2293">
            <v>10.135646687697161</v>
          </cell>
        </row>
        <row r="2294">
          <cell r="O2294">
            <v>10.135646687697161</v>
          </cell>
        </row>
        <row r="2295">
          <cell r="O2295">
            <v>10.183911671924291</v>
          </cell>
        </row>
        <row r="2296">
          <cell r="O2296">
            <v>10.183911671924291</v>
          </cell>
        </row>
        <row r="2297">
          <cell r="O2297">
            <v>5.1242857142857146</v>
          </cell>
        </row>
        <row r="2298">
          <cell r="O2298">
            <v>10.183911671924291</v>
          </cell>
        </row>
        <row r="2299">
          <cell r="O2299">
            <v>10.183911671924291</v>
          </cell>
        </row>
        <row r="2300">
          <cell r="O2300">
            <v>10.183911671924291</v>
          </cell>
        </row>
        <row r="2301">
          <cell r="O2301">
            <v>10.183911671924291</v>
          </cell>
        </row>
        <row r="2302">
          <cell r="O2302">
            <v>10.183911671924291</v>
          </cell>
        </row>
        <row r="2303">
          <cell r="O2303">
            <v>10.183911671924291</v>
          </cell>
        </row>
        <row r="2304">
          <cell r="O2304">
            <v>10.183911671924291</v>
          </cell>
        </row>
        <row r="2305">
          <cell r="O2305">
            <v>10.135646687697161</v>
          </cell>
        </row>
        <row r="2306">
          <cell r="O2306">
            <v>10.183911671924291</v>
          </cell>
        </row>
        <row r="2307">
          <cell r="O2307">
            <v>22.925867507886434</v>
          </cell>
        </row>
        <row r="2308">
          <cell r="O2308">
            <v>16.55930722891566</v>
          </cell>
        </row>
        <row r="2309">
          <cell r="O2309">
            <v>14.997108433734939</v>
          </cell>
        </row>
        <row r="2310">
          <cell r="O2310">
            <v>16.506624605678233</v>
          </cell>
        </row>
        <row r="2311">
          <cell r="O2311">
            <v>8.1085173501577295</v>
          </cell>
        </row>
        <row r="2312">
          <cell r="O2312">
            <v>8.1085173501577295</v>
          </cell>
        </row>
        <row r="2313">
          <cell r="O2313">
            <v>8.1085173501577295</v>
          </cell>
        </row>
        <row r="2314">
          <cell r="O2314">
            <v>4.08</v>
          </cell>
        </row>
        <row r="2315">
          <cell r="O2315">
            <v>4.08</v>
          </cell>
        </row>
        <row r="2316">
          <cell r="O2316">
            <v>11.806666666666667</v>
          </cell>
        </row>
        <row r="2317">
          <cell r="O2317">
            <v>8.1085173501577295</v>
          </cell>
        </row>
        <row r="2318">
          <cell r="O2318">
            <v>8.1085173501577295</v>
          </cell>
        </row>
        <row r="2319">
          <cell r="O2319">
            <v>8.1085173501577295</v>
          </cell>
        </row>
        <row r="2320">
          <cell r="O2320">
            <v>8.1085173501577295</v>
          </cell>
        </row>
        <row r="2321">
          <cell r="O2321">
            <v>8.1085173501577295</v>
          </cell>
        </row>
        <row r="2322">
          <cell r="O2322">
            <v>8.1085173501577295</v>
          </cell>
        </row>
        <row r="2323">
          <cell r="O2323">
            <v>8.1085173501577295</v>
          </cell>
        </row>
        <row r="2324">
          <cell r="O2324">
            <v>4.08</v>
          </cell>
        </row>
        <row r="2325">
          <cell r="O2325">
            <v>1.3975344980096465</v>
          </cell>
        </row>
        <row r="2326">
          <cell r="O2326">
            <v>43.325294561933525</v>
          </cell>
        </row>
        <row r="2327">
          <cell r="O2327">
            <v>23.120542168674696</v>
          </cell>
        </row>
        <row r="2328">
          <cell r="O2328">
            <v>18.565467625899281</v>
          </cell>
        </row>
        <row r="2329">
          <cell r="O2329">
            <v>0</v>
          </cell>
        </row>
        <row r="2330">
          <cell r="O2330">
            <v>50.141389728096669</v>
          </cell>
        </row>
        <row r="2331">
          <cell r="O2331">
            <v>0.66142854104273341</v>
          </cell>
        </row>
        <row r="2332">
          <cell r="O2332">
            <v>0</v>
          </cell>
        </row>
        <row r="2333">
          <cell r="O2333">
            <v>0</v>
          </cell>
        </row>
        <row r="2334">
          <cell r="O2334">
            <v>2.4771428571428569</v>
          </cell>
        </row>
        <row r="2335">
          <cell r="O2335">
            <v>2.3800000000000003</v>
          </cell>
        </row>
        <row r="2336">
          <cell r="O2336">
            <v>0.54842145015105725</v>
          </cell>
        </row>
        <row r="2337">
          <cell r="O2337">
            <v>0</v>
          </cell>
        </row>
        <row r="2338">
          <cell r="O2338">
            <v>14.059789156626506</v>
          </cell>
        </row>
        <row r="2339">
          <cell r="O2339">
            <v>3.1243975903614456</v>
          </cell>
        </row>
        <row r="2340">
          <cell r="O2340">
            <v>3.1243975903614456</v>
          </cell>
        </row>
        <row r="2341">
          <cell r="O2341">
            <v>3.1243975903614456</v>
          </cell>
        </row>
        <row r="2342">
          <cell r="O2342">
            <v>3.1243975903614456</v>
          </cell>
        </row>
        <row r="2343">
          <cell r="O2343">
            <v>14.059789156626506</v>
          </cell>
        </row>
        <row r="2344">
          <cell r="O2344">
            <v>4.2289356395075011</v>
          </cell>
        </row>
        <row r="2345">
          <cell r="O2345">
            <v>0</v>
          </cell>
        </row>
        <row r="2346">
          <cell r="O2346">
            <v>0</v>
          </cell>
        </row>
        <row r="2347">
          <cell r="O2347">
            <v>0</v>
          </cell>
        </row>
        <row r="2348">
          <cell r="O2348">
            <v>0</v>
          </cell>
        </row>
        <row r="2349">
          <cell r="O2349">
            <v>0</v>
          </cell>
        </row>
        <row r="2350">
          <cell r="O2350">
            <v>0</v>
          </cell>
        </row>
        <row r="2351">
          <cell r="O2351">
            <v>0</v>
          </cell>
        </row>
        <row r="2352">
          <cell r="O2352">
            <v>14.163935742971887</v>
          </cell>
        </row>
        <row r="2353">
          <cell r="O2353">
            <v>15.786703172205435</v>
          </cell>
        </row>
        <row r="2354">
          <cell r="O2354">
            <v>6.5027114803625379</v>
          </cell>
        </row>
        <row r="2355">
          <cell r="O2355">
            <v>12.065271903323261</v>
          </cell>
        </row>
        <row r="2356">
          <cell r="O2356">
            <v>6.0471428571428572</v>
          </cell>
        </row>
        <row r="2357">
          <cell r="O2357">
            <v>4.1285714285714281</v>
          </cell>
        </row>
        <row r="2358">
          <cell r="O2358">
            <v>8.2533123028391167</v>
          </cell>
        </row>
        <row r="2359">
          <cell r="O2359">
            <v>5.7557142857142853</v>
          </cell>
        </row>
        <row r="2360">
          <cell r="O2360">
            <v>5.1485714285714286</v>
          </cell>
        </row>
        <row r="2361">
          <cell r="O2361">
            <v>10.232176656151418</v>
          </cell>
        </row>
        <row r="2362">
          <cell r="O2362">
            <v>10.232176656151418</v>
          </cell>
        </row>
        <row r="2363">
          <cell r="O2363">
            <v>10.232176656151418</v>
          </cell>
        </row>
        <row r="2364">
          <cell r="O2364">
            <v>10.232176656151418</v>
          </cell>
        </row>
        <row r="2365">
          <cell r="O2365">
            <v>10.232176656151418</v>
          </cell>
        </row>
        <row r="2366">
          <cell r="O2366">
            <v>10.232176656151418</v>
          </cell>
        </row>
        <row r="2367">
          <cell r="O2367">
            <v>10.232176656151418</v>
          </cell>
        </row>
        <row r="2368">
          <cell r="O2368">
            <v>10.232176656151418</v>
          </cell>
        </row>
        <row r="2369">
          <cell r="O2369">
            <v>10.232176656151418</v>
          </cell>
        </row>
        <row r="2370">
          <cell r="O2370">
            <v>10.232176656151418</v>
          </cell>
        </row>
        <row r="2371">
          <cell r="O2371">
            <v>10.232176656151418</v>
          </cell>
        </row>
        <row r="2372">
          <cell r="O2372">
            <v>10.232176656151418</v>
          </cell>
        </row>
        <row r="2373">
          <cell r="O2373">
            <v>42.530695443645079</v>
          </cell>
        </row>
        <row r="2374">
          <cell r="O2374">
            <v>0</v>
          </cell>
        </row>
        <row r="2375">
          <cell r="O2375">
            <v>3.1243975903614456</v>
          </cell>
        </row>
        <row r="2376">
          <cell r="O2376">
            <v>1.9194750755287009</v>
          </cell>
        </row>
        <row r="2377">
          <cell r="O2377">
            <v>15.10125502008032</v>
          </cell>
        </row>
        <row r="2378">
          <cell r="O2378">
            <v>16.603154574132493</v>
          </cell>
        </row>
        <row r="2379">
          <cell r="O2379">
            <v>4.08</v>
          </cell>
        </row>
        <row r="2380">
          <cell r="O2380">
            <v>8.1085173501577295</v>
          </cell>
        </row>
        <row r="2381">
          <cell r="O2381">
            <v>4.08</v>
          </cell>
        </row>
        <row r="2382">
          <cell r="O2382">
            <v>8.1085173501577295</v>
          </cell>
        </row>
        <row r="2383">
          <cell r="O2383">
            <v>4.08</v>
          </cell>
        </row>
        <row r="2384">
          <cell r="O2384">
            <v>4.08</v>
          </cell>
        </row>
        <row r="2385">
          <cell r="O2385">
            <v>4.08</v>
          </cell>
        </row>
        <row r="2386">
          <cell r="O2386">
            <v>4.08</v>
          </cell>
        </row>
        <row r="2387">
          <cell r="O2387">
            <v>4.08</v>
          </cell>
        </row>
        <row r="2388">
          <cell r="O2388">
            <v>4.0557142857142852</v>
          </cell>
        </row>
        <row r="2389">
          <cell r="O2389">
            <v>4.0557142857142852</v>
          </cell>
        </row>
        <row r="2390">
          <cell r="O2390">
            <v>4.08</v>
          </cell>
        </row>
        <row r="2391">
          <cell r="O2391">
            <v>4.0557142857142852</v>
          </cell>
        </row>
        <row r="2392">
          <cell r="O2392">
            <v>4.0557142857142852</v>
          </cell>
        </row>
        <row r="2393">
          <cell r="O2393">
            <v>4.2742857142857149</v>
          </cell>
        </row>
        <row r="2394">
          <cell r="O2394">
            <v>32.239346676737156</v>
          </cell>
        </row>
        <row r="2395">
          <cell r="O2395">
            <v>16.455160642570281</v>
          </cell>
        </row>
        <row r="2396">
          <cell r="O2396">
            <v>6.1893277945619332</v>
          </cell>
        </row>
        <row r="2397">
          <cell r="O2397">
            <v>9.5860911270983227</v>
          </cell>
        </row>
        <row r="2398">
          <cell r="O2398">
            <v>17.784524169184287</v>
          </cell>
        </row>
        <row r="2399">
          <cell r="O2399">
            <v>3.5255664652567975</v>
          </cell>
        </row>
        <row r="2400">
          <cell r="O2400">
            <v>0</v>
          </cell>
        </row>
        <row r="2401">
          <cell r="O2401">
            <v>4.3481986404833828</v>
          </cell>
        </row>
        <row r="2402">
          <cell r="O2402">
            <v>18.058698136275275</v>
          </cell>
        </row>
        <row r="2403">
          <cell r="O2403">
            <v>3.8371428571428572</v>
          </cell>
        </row>
        <row r="2404">
          <cell r="O2404">
            <v>13.436325528700904</v>
          </cell>
        </row>
        <row r="2405">
          <cell r="O2405">
            <v>11.872710843373493</v>
          </cell>
        </row>
        <row r="2406">
          <cell r="O2406">
            <v>0</v>
          </cell>
        </row>
        <row r="2407">
          <cell r="O2407">
            <v>0</v>
          </cell>
        </row>
        <row r="2408">
          <cell r="O2408">
            <v>0</v>
          </cell>
        </row>
        <row r="2409">
          <cell r="O2409">
            <v>3.1243975903614456</v>
          </cell>
        </row>
        <row r="2410">
          <cell r="O2410">
            <v>3.1243975903614456</v>
          </cell>
        </row>
        <row r="2411">
          <cell r="O2411">
            <v>3.1243975903614456</v>
          </cell>
        </row>
        <row r="2412">
          <cell r="O2412">
            <v>3.1243975903614456</v>
          </cell>
        </row>
        <row r="2413">
          <cell r="O2413">
            <v>11.872710843373493</v>
          </cell>
        </row>
        <row r="2414">
          <cell r="O2414">
            <v>0</v>
          </cell>
        </row>
        <row r="2415">
          <cell r="O2415">
            <v>0</v>
          </cell>
        </row>
        <row r="2416">
          <cell r="O2416">
            <v>0</v>
          </cell>
        </row>
        <row r="2417">
          <cell r="O2417">
            <v>0</v>
          </cell>
        </row>
        <row r="2418">
          <cell r="O2418">
            <v>0</v>
          </cell>
        </row>
        <row r="2419">
          <cell r="O2419">
            <v>0</v>
          </cell>
        </row>
        <row r="2420">
          <cell r="O2420">
            <v>0</v>
          </cell>
        </row>
        <row r="2421">
          <cell r="O2421">
            <v>0</v>
          </cell>
        </row>
        <row r="2422">
          <cell r="O2422">
            <v>4.0557142857142852</v>
          </cell>
        </row>
        <row r="2423">
          <cell r="O2423">
            <v>1.7236102719033231</v>
          </cell>
        </row>
        <row r="2424">
          <cell r="O2424">
            <v>7.8345921450151054E-2</v>
          </cell>
        </row>
        <row r="2425">
          <cell r="O2425">
            <v>14.997108433734939</v>
          </cell>
        </row>
        <row r="2426">
          <cell r="O2426">
            <v>12.935015772870663</v>
          </cell>
        </row>
        <row r="2427">
          <cell r="O2427">
            <v>14.744126959363991</v>
          </cell>
        </row>
        <row r="2428">
          <cell r="O2428">
            <v>13.031545741324921</v>
          </cell>
        </row>
        <row r="2429">
          <cell r="O2429">
            <v>5.4539432176656151</v>
          </cell>
        </row>
        <row r="2430">
          <cell r="O2430">
            <v>9.3827129337539432</v>
          </cell>
        </row>
        <row r="2431">
          <cell r="O2431">
            <v>74.638821752265855</v>
          </cell>
        </row>
        <row r="2432">
          <cell r="O2432">
            <v>116.79274924471299</v>
          </cell>
        </row>
        <row r="2433">
          <cell r="O2433">
            <v>0</v>
          </cell>
        </row>
        <row r="2434">
          <cell r="O2434">
            <v>16.58009708737864</v>
          </cell>
        </row>
        <row r="2435">
          <cell r="O2435">
            <v>16.714257028112449</v>
          </cell>
        </row>
        <row r="2436">
          <cell r="O2436">
            <v>22.251807228915659</v>
          </cell>
        </row>
        <row r="2437">
          <cell r="O2437">
            <v>21.562025316455699</v>
          </cell>
        </row>
        <row r="2438">
          <cell r="O2438">
            <v>10.151428571428571</v>
          </cell>
        </row>
        <row r="2439">
          <cell r="O2439">
            <v>9.2461847389558223</v>
          </cell>
        </row>
        <row r="2440">
          <cell r="O2440">
            <v>11.044864048338367</v>
          </cell>
        </row>
        <row r="2441">
          <cell r="O2441">
            <v>16.815709969788518</v>
          </cell>
        </row>
        <row r="2442">
          <cell r="O2442">
            <v>13.643655589123867</v>
          </cell>
        </row>
        <row r="2443">
          <cell r="O2443">
            <v>17.580060422960724</v>
          </cell>
        </row>
        <row r="2444">
          <cell r="O2444">
            <v>13.310441767068273</v>
          </cell>
        </row>
        <row r="2445">
          <cell r="O2445">
            <v>5.5415407854984888</v>
          </cell>
        </row>
        <row r="2446">
          <cell r="O2446">
            <v>0</v>
          </cell>
        </row>
        <row r="2447">
          <cell r="O2447">
            <v>36.612386706948641</v>
          </cell>
        </row>
        <row r="2448">
          <cell r="O2448">
            <v>22.251807228915659</v>
          </cell>
        </row>
        <row r="2449">
          <cell r="O2449">
            <v>0</v>
          </cell>
        </row>
        <row r="2450">
          <cell r="O2450">
            <v>18.038670694864049</v>
          </cell>
        </row>
        <row r="2451">
          <cell r="O2451">
            <v>21.94698795180723</v>
          </cell>
        </row>
        <row r="2452">
          <cell r="O2452">
            <v>66.880664652567972</v>
          </cell>
        </row>
        <row r="2453">
          <cell r="O2453">
            <v>0</v>
          </cell>
        </row>
        <row r="2454">
          <cell r="O2454">
            <v>18.038670694864049</v>
          </cell>
        </row>
        <row r="2455">
          <cell r="O2455">
            <v>21.94698795180723</v>
          </cell>
        </row>
        <row r="2456">
          <cell r="O2456">
            <v>0</v>
          </cell>
        </row>
        <row r="2457">
          <cell r="O2457">
            <v>18.038670694864049</v>
          </cell>
        </row>
        <row r="2458">
          <cell r="O2458">
            <v>21.94698795180723</v>
          </cell>
        </row>
        <row r="2459">
          <cell r="O2459">
            <v>7.3743243243243253</v>
          </cell>
        </row>
        <row r="2460">
          <cell r="O2460">
            <v>1.9840399002493763</v>
          </cell>
        </row>
        <row r="2461">
          <cell r="O2461">
            <v>6.4012048192771092</v>
          </cell>
        </row>
        <row r="2462">
          <cell r="O2462">
            <v>13.412048192771087</v>
          </cell>
        </row>
        <row r="2463">
          <cell r="O2463">
            <v>6.4012048192771092</v>
          </cell>
        </row>
        <row r="2464">
          <cell r="O2464">
            <v>1.2268432616115217</v>
          </cell>
        </row>
        <row r="2465">
          <cell r="O2465">
            <v>1.1319201995012469</v>
          </cell>
        </row>
        <row r="2466">
          <cell r="O2466">
            <v>0</v>
          </cell>
        </row>
        <row r="2467">
          <cell r="O2467">
            <v>0</v>
          </cell>
        </row>
        <row r="2468">
          <cell r="O2468">
            <v>2.6471428571428572</v>
          </cell>
        </row>
        <row r="2469">
          <cell r="O2469">
            <v>0</v>
          </cell>
        </row>
        <row r="2470">
          <cell r="O2470">
            <v>21.94698795180723</v>
          </cell>
        </row>
        <row r="2471">
          <cell r="O2471">
            <v>4.8771084337349402</v>
          </cell>
        </row>
        <row r="2472">
          <cell r="O2472">
            <v>4.2674698795180719</v>
          </cell>
        </row>
        <row r="2473">
          <cell r="O2473">
            <v>4.8771084337349402</v>
          </cell>
        </row>
        <row r="2474">
          <cell r="O2474">
            <v>4.572289156626506</v>
          </cell>
        </row>
        <row r="2475">
          <cell r="O2475">
            <v>0</v>
          </cell>
        </row>
        <row r="2476">
          <cell r="O2476">
            <v>9.4527472527472529</v>
          </cell>
        </row>
        <row r="2477">
          <cell r="O2477">
            <v>10.657509157509159</v>
          </cell>
        </row>
        <row r="2478">
          <cell r="O2478">
            <v>0</v>
          </cell>
        </row>
        <row r="2479">
          <cell r="O2479">
            <v>10.051208459214502</v>
          </cell>
        </row>
        <row r="2480">
          <cell r="O2480">
            <v>46.959040590405905</v>
          </cell>
        </row>
        <row r="2481">
          <cell r="O2481">
            <v>0</v>
          </cell>
        </row>
        <row r="2482">
          <cell r="O2482">
            <v>0</v>
          </cell>
        </row>
        <row r="2483">
          <cell r="O2483">
            <v>0</v>
          </cell>
        </row>
        <row r="2484">
          <cell r="O2484">
            <v>0</v>
          </cell>
        </row>
        <row r="2485">
          <cell r="O2485">
            <v>0</v>
          </cell>
        </row>
        <row r="2486">
          <cell r="O2486">
            <v>3.0142144638403985</v>
          </cell>
        </row>
        <row r="2487">
          <cell r="O2487">
            <v>0</v>
          </cell>
        </row>
        <row r="2488">
          <cell r="O2488">
            <v>1.2229607250755288</v>
          </cell>
        </row>
        <row r="2489">
          <cell r="O2489">
            <v>2.1401812688821749</v>
          </cell>
        </row>
        <row r="2490">
          <cell r="O2490">
            <v>12.043173431734317</v>
          </cell>
        </row>
        <row r="2491">
          <cell r="O2491">
            <v>3.132857142857143</v>
          </cell>
        </row>
        <row r="2492">
          <cell r="O2492">
            <v>3.0554054054054056</v>
          </cell>
        </row>
        <row r="2493">
          <cell r="O2493">
            <v>0</v>
          </cell>
        </row>
        <row r="2494">
          <cell r="O2494">
            <v>6.8151291512915124</v>
          </cell>
        </row>
        <row r="2495">
          <cell r="O2495">
            <v>7.5288519637462228</v>
          </cell>
        </row>
        <row r="2496">
          <cell r="O2496">
            <v>2.5329999999999999</v>
          </cell>
        </row>
        <row r="2497">
          <cell r="O2497">
            <v>2.5329999999999999</v>
          </cell>
        </row>
        <row r="2498">
          <cell r="O2498">
            <v>31.212965299684544</v>
          </cell>
        </row>
        <row r="2499">
          <cell r="O2499">
            <v>29.996687697160883</v>
          </cell>
        </row>
        <row r="2500">
          <cell r="O2500">
            <v>30.36832807570978</v>
          </cell>
        </row>
        <row r="2501">
          <cell r="O2501">
            <v>27.530347003154574</v>
          </cell>
        </row>
        <row r="2502">
          <cell r="O2502">
            <v>31.705268138801262</v>
          </cell>
        </row>
        <row r="2503">
          <cell r="O2503">
            <v>19.769337539432176</v>
          </cell>
        </row>
        <row r="2504">
          <cell r="O2504">
            <v>4.8959999999999999</v>
          </cell>
        </row>
        <row r="2505">
          <cell r="O2505">
            <v>7.8498791540785495</v>
          </cell>
        </row>
        <row r="2506">
          <cell r="O2506">
            <v>7.8040181268882174</v>
          </cell>
        </row>
        <row r="2507">
          <cell r="O2507">
            <v>5.6233414449667309</v>
          </cell>
        </row>
        <row r="2508">
          <cell r="O2508">
            <v>0.96227184519442832</v>
          </cell>
        </row>
        <row r="2509">
          <cell r="O2509">
            <v>3.3028571428571429</v>
          </cell>
        </row>
        <row r="2510">
          <cell r="O2510">
            <v>31.488075709779178</v>
          </cell>
        </row>
        <row r="2511">
          <cell r="O2511">
            <v>11.26062350119904</v>
          </cell>
        </row>
        <row r="2512">
          <cell r="O2512">
            <v>11.26062350119904</v>
          </cell>
        </row>
        <row r="2513">
          <cell r="O2513">
            <v>0</v>
          </cell>
        </row>
        <row r="2514">
          <cell r="O2514">
            <v>4.5861027190332324</v>
          </cell>
        </row>
        <row r="2515">
          <cell r="O2515">
            <v>0</v>
          </cell>
        </row>
        <row r="2516">
          <cell r="O2516">
            <v>0</v>
          </cell>
        </row>
        <row r="2517">
          <cell r="O2517">
            <v>0</v>
          </cell>
        </row>
        <row r="2518">
          <cell r="O2518">
            <v>0</v>
          </cell>
        </row>
        <row r="2519">
          <cell r="O2519">
            <v>0</v>
          </cell>
        </row>
        <row r="2520">
          <cell r="O2520">
            <v>0</v>
          </cell>
        </row>
        <row r="2521">
          <cell r="O2521">
            <v>0</v>
          </cell>
        </row>
        <row r="2522">
          <cell r="O2522">
            <v>0</v>
          </cell>
        </row>
        <row r="2523">
          <cell r="O2523">
            <v>0</v>
          </cell>
        </row>
        <row r="2524">
          <cell r="O2524">
            <v>17.713249211356469</v>
          </cell>
        </row>
        <row r="2525">
          <cell r="O2525">
            <v>3.8614285714285717</v>
          </cell>
        </row>
        <row r="2526">
          <cell r="O2526">
            <v>11.851428571428571</v>
          </cell>
        </row>
        <row r="2527">
          <cell r="O2527">
            <v>1.7709215776305445</v>
          </cell>
        </row>
        <row r="2528">
          <cell r="O2528">
            <v>1.1308294411375766</v>
          </cell>
        </row>
        <row r="2529">
          <cell r="O2529">
            <v>0</v>
          </cell>
        </row>
        <row r="2530">
          <cell r="O2530">
            <v>0</v>
          </cell>
        </row>
        <row r="2531">
          <cell r="O2531">
            <v>0</v>
          </cell>
        </row>
        <row r="2532">
          <cell r="O2532">
            <v>1.1708242695176725</v>
          </cell>
        </row>
        <row r="2533">
          <cell r="O2533">
            <v>0.75037406483790525</v>
          </cell>
        </row>
        <row r="2534">
          <cell r="O2534">
            <v>26.214457831325301</v>
          </cell>
        </row>
        <row r="2535">
          <cell r="O2535">
            <v>4.8771084337349402</v>
          </cell>
        </row>
        <row r="2536">
          <cell r="O2536">
            <v>4.8771084337349402</v>
          </cell>
        </row>
        <row r="2537">
          <cell r="O2537">
            <v>4.8771084337349402</v>
          </cell>
        </row>
        <row r="2538">
          <cell r="O2538">
            <v>4.8771084337349402</v>
          </cell>
        </row>
        <row r="2539">
          <cell r="O2539">
            <v>4.177142857142857</v>
          </cell>
        </row>
        <row r="2540">
          <cell r="O2540">
            <v>21.12857142857143</v>
          </cell>
        </row>
        <row r="2541">
          <cell r="O2541">
            <v>0.26670505687206991</v>
          </cell>
        </row>
        <row r="2542">
          <cell r="O2542">
            <v>0.25603685459718711</v>
          </cell>
        </row>
        <row r="2543">
          <cell r="O2543">
            <v>0.85211970074812959</v>
          </cell>
        </row>
        <row r="2544">
          <cell r="O2544">
            <v>4.488643533123029</v>
          </cell>
        </row>
        <row r="2545">
          <cell r="O2545">
            <v>2.5742857142857143</v>
          </cell>
        </row>
        <row r="2546">
          <cell r="O2546">
            <v>2.5014285714285718</v>
          </cell>
        </row>
        <row r="2547">
          <cell r="O2547">
            <v>2.8171428571428572</v>
          </cell>
        </row>
        <row r="2548">
          <cell r="O2548">
            <v>3.4485714285714284</v>
          </cell>
        </row>
        <row r="2549">
          <cell r="O2549">
            <v>5.8854984894259816</v>
          </cell>
        </row>
        <row r="2550">
          <cell r="O2550">
            <v>9.7012618296529975</v>
          </cell>
        </row>
        <row r="2551">
          <cell r="O2551">
            <v>25.242586750788643</v>
          </cell>
        </row>
        <row r="2552">
          <cell r="O2552">
            <v>8.573888888888888</v>
          </cell>
        </row>
        <row r="2553">
          <cell r="O2553">
            <v>17.278864353312301</v>
          </cell>
        </row>
        <row r="2554">
          <cell r="O2554">
            <v>1.2908524752608184</v>
          </cell>
        </row>
        <row r="2555">
          <cell r="O2555">
            <v>2.2585714285714289</v>
          </cell>
        </row>
        <row r="2556">
          <cell r="O2556">
            <v>3.0574018126888216</v>
          </cell>
        </row>
        <row r="2557">
          <cell r="O2557">
            <v>45.975679758308154</v>
          </cell>
        </row>
        <row r="2558">
          <cell r="O2558">
            <v>48.264984227129339</v>
          </cell>
        </row>
        <row r="2559">
          <cell r="O2559">
            <v>5.79179810725552</v>
          </cell>
        </row>
        <row r="2560">
          <cell r="O2560">
            <v>2.7442857142857142</v>
          </cell>
        </row>
        <row r="2561">
          <cell r="O2561">
            <v>2.5985714285714283</v>
          </cell>
        </row>
        <row r="2562">
          <cell r="O2562">
            <v>2.5499999999999998</v>
          </cell>
        </row>
        <row r="2563">
          <cell r="O2563">
            <v>2.6471428571428572</v>
          </cell>
        </row>
        <row r="2564">
          <cell r="O2564">
            <v>7.5435068164187848</v>
          </cell>
        </row>
        <row r="2565">
          <cell r="O2565">
            <v>19.111510791366907</v>
          </cell>
        </row>
        <row r="2566">
          <cell r="O2566">
            <v>28.816012084592145</v>
          </cell>
        </row>
        <row r="2567">
          <cell r="O2567">
            <v>26.642271293375394</v>
          </cell>
        </row>
        <row r="2568">
          <cell r="O2568">
            <v>1.1841704525119905</v>
          </cell>
        </row>
        <row r="2569">
          <cell r="O2569">
            <v>2.4528571428571428</v>
          </cell>
        </row>
        <row r="2570">
          <cell r="O2570">
            <v>2.971987951807229</v>
          </cell>
        </row>
        <row r="2571">
          <cell r="O2571">
            <v>12.955740181268881</v>
          </cell>
        </row>
        <row r="2572">
          <cell r="O2572">
            <v>1.5287009063444108</v>
          </cell>
        </row>
        <row r="2573">
          <cell r="O2573">
            <v>0</v>
          </cell>
        </row>
        <row r="2574">
          <cell r="O2574">
            <v>0</v>
          </cell>
        </row>
        <row r="2575">
          <cell r="O2575">
            <v>6.7060240963855433</v>
          </cell>
        </row>
        <row r="2576">
          <cell r="O2576">
            <v>6.7060240963855433</v>
          </cell>
        </row>
        <row r="2577">
          <cell r="O2577">
            <v>1.0407326840157087</v>
          </cell>
        </row>
        <row r="2578">
          <cell r="O2578">
            <v>0</v>
          </cell>
        </row>
        <row r="2579">
          <cell r="O2579">
            <v>15.401661631419937</v>
          </cell>
        </row>
        <row r="2580">
          <cell r="O2580">
            <v>3.9626506024096391</v>
          </cell>
        </row>
        <row r="2581">
          <cell r="O2581">
            <v>3.9626506024096391</v>
          </cell>
        </row>
        <row r="2582">
          <cell r="O2582">
            <v>18.955891238670695</v>
          </cell>
        </row>
        <row r="2583">
          <cell r="O2583">
            <v>3.5457142857142854</v>
          </cell>
        </row>
        <row r="2584">
          <cell r="O2584">
            <v>4.1042857142857141</v>
          </cell>
        </row>
        <row r="2585">
          <cell r="O2585">
            <v>8.2513189448441242</v>
          </cell>
        </row>
        <row r="2586">
          <cell r="O2586">
            <v>8.858033573141487</v>
          </cell>
        </row>
        <row r="2587">
          <cell r="O2587">
            <v>4.1042857142857141</v>
          </cell>
        </row>
        <row r="2588">
          <cell r="O2588">
            <v>2.5257142857142858</v>
          </cell>
        </row>
        <row r="2589">
          <cell r="O2589">
            <v>3.74</v>
          </cell>
        </row>
        <row r="2590">
          <cell r="O2590">
            <v>2.7685714285714287</v>
          </cell>
        </row>
        <row r="2591">
          <cell r="O2591">
            <v>3.132857142857143</v>
          </cell>
        </row>
        <row r="2592">
          <cell r="O2592">
            <v>3.1085714285714285</v>
          </cell>
        </row>
        <row r="2593">
          <cell r="O2593">
            <v>3.157142857142857</v>
          </cell>
        </row>
        <row r="2594">
          <cell r="O2594">
            <v>1.2908524752608184</v>
          </cell>
        </row>
        <row r="2595">
          <cell r="O2595">
            <v>0</v>
          </cell>
        </row>
        <row r="2596">
          <cell r="O2596">
            <v>0</v>
          </cell>
        </row>
        <row r="2597">
          <cell r="O2597">
            <v>0.32004606824648391</v>
          </cell>
        </row>
        <row r="2598">
          <cell r="O2598">
            <v>0</v>
          </cell>
        </row>
        <row r="2599">
          <cell r="O2599">
            <v>3.3530120481927717</v>
          </cell>
        </row>
        <row r="2600">
          <cell r="O2600">
            <v>3.3530120481927717</v>
          </cell>
        </row>
        <row r="2601">
          <cell r="O2601">
            <v>3.3530120481927717</v>
          </cell>
        </row>
        <row r="2602">
          <cell r="O2602">
            <v>3.3530120481927717</v>
          </cell>
        </row>
        <row r="2603">
          <cell r="O2603">
            <v>9.1445783132530121</v>
          </cell>
        </row>
        <row r="2604">
          <cell r="O2604">
            <v>9.1445783132530121</v>
          </cell>
        </row>
        <row r="2605">
          <cell r="O2605">
            <v>0</v>
          </cell>
        </row>
        <row r="2606">
          <cell r="O2606">
            <v>27.134441087613293</v>
          </cell>
        </row>
        <row r="2607">
          <cell r="O2607">
            <v>90.913186813186812</v>
          </cell>
        </row>
        <row r="2608">
          <cell r="O2608">
            <v>29.192307692307693</v>
          </cell>
        </row>
        <row r="2609">
          <cell r="O2609">
            <v>23.631868131868131</v>
          </cell>
        </row>
        <row r="2610">
          <cell r="O2610">
            <v>0</v>
          </cell>
        </row>
        <row r="2611">
          <cell r="O2611">
            <v>3.4289377289377292</v>
          </cell>
        </row>
        <row r="2612">
          <cell r="O2612">
            <v>13.900315457413249</v>
          </cell>
        </row>
        <row r="2613">
          <cell r="O2613">
            <v>16.588644688644688</v>
          </cell>
        </row>
        <row r="2614">
          <cell r="O2614">
            <v>6.12</v>
          </cell>
        </row>
        <row r="2615">
          <cell r="O2615">
            <v>15.34826498422713</v>
          </cell>
        </row>
        <row r="2616">
          <cell r="O2616">
            <v>39.593353474320239</v>
          </cell>
        </row>
        <row r="2617">
          <cell r="O2617">
            <v>21.036996336996339</v>
          </cell>
        </row>
        <row r="2618">
          <cell r="O2618">
            <v>47.078388278388275</v>
          </cell>
        </row>
        <row r="2619">
          <cell r="O2619">
            <v>72.47106227106228</v>
          </cell>
        </row>
        <row r="2620">
          <cell r="O2620">
            <v>0.84078549848942596</v>
          </cell>
        </row>
        <row r="2621">
          <cell r="O2621">
            <v>11.103797468354431</v>
          </cell>
        </row>
        <row r="2622">
          <cell r="O2622">
            <v>16.866666666666667</v>
          </cell>
        </row>
        <row r="2623">
          <cell r="O2623">
            <v>6.1164835164835161</v>
          </cell>
        </row>
        <row r="2624">
          <cell r="O2624">
            <v>18.7756446991404</v>
          </cell>
        </row>
        <row r="2625">
          <cell r="O2625">
            <v>15.974924471299092</v>
          </cell>
        </row>
        <row r="2626">
          <cell r="O2626">
            <v>1.2993957703927492</v>
          </cell>
        </row>
        <row r="2627">
          <cell r="O2627">
            <v>2.1949367088607596</v>
          </cell>
        </row>
        <row r="2628">
          <cell r="O2628">
            <v>1.2993957703927492</v>
          </cell>
        </row>
        <row r="2629">
          <cell r="O2629">
            <v>0.19077306733167082</v>
          </cell>
        </row>
        <row r="2630">
          <cell r="O2630">
            <v>0</v>
          </cell>
        </row>
        <row r="2631">
          <cell r="O2631">
            <v>0.19077306733167082</v>
          </cell>
        </row>
        <row r="2632">
          <cell r="O2632">
            <v>8.534561819906239E-2</v>
          </cell>
        </row>
        <row r="2633">
          <cell r="O2633">
            <v>9.6013820473945174E-2</v>
          </cell>
        </row>
        <row r="2634">
          <cell r="O2634">
            <v>3.157142857142857</v>
          </cell>
        </row>
        <row r="2635">
          <cell r="O2635">
            <v>2.4531645569620255</v>
          </cell>
        </row>
        <row r="2636">
          <cell r="O2636">
            <v>4.8747634069400627</v>
          </cell>
        </row>
        <row r="2637">
          <cell r="O2637">
            <v>0.71476955241714746</v>
          </cell>
        </row>
        <row r="2638">
          <cell r="O2638">
            <v>2.5499999999999998</v>
          </cell>
        </row>
        <row r="2639">
          <cell r="O2639">
            <v>6.2261829652996843</v>
          </cell>
        </row>
        <row r="2640">
          <cell r="O2640">
            <v>5.8531645569620254</v>
          </cell>
        </row>
        <row r="2641">
          <cell r="O2641">
            <v>5.8531645569620254</v>
          </cell>
        </row>
        <row r="2642">
          <cell r="O2642">
            <v>6.4126582278481017</v>
          </cell>
        </row>
        <row r="2643">
          <cell r="O2643">
            <v>6.4126582278481017</v>
          </cell>
        </row>
        <row r="2644">
          <cell r="O2644">
            <v>10.425236593059937</v>
          </cell>
        </row>
        <row r="2645">
          <cell r="O2645">
            <v>0</v>
          </cell>
        </row>
        <row r="2646">
          <cell r="O2646">
            <v>0</v>
          </cell>
        </row>
        <row r="2647">
          <cell r="O2647">
            <v>1.300915855019636</v>
          </cell>
        </row>
        <row r="2648">
          <cell r="O2648">
            <v>3.0481927710843375</v>
          </cell>
        </row>
        <row r="2649">
          <cell r="O2649">
            <v>3.0481927710843375</v>
          </cell>
        </row>
        <row r="2650">
          <cell r="O2650">
            <v>0.75744236151667854</v>
          </cell>
        </row>
        <row r="2651">
          <cell r="O2651">
            <v>3.0481927710843375</v>
          </cell>
        </row>
        <row r="2652">
          <cell r="O2652">
            <v>3.0481927710843375</v>
          </cell>
        </row>
        <row r="2653">
          <cell r="O2653">
            <v>11.278313253012049</v>
          </cell>
        </row>
        <row r="2654">
          <cell r="O2654">
            <v>10.973493975903615</v>
          </cell>
        </row>
        <row r="2655">
          <cell r="O2655">
            <v>0</v>
          </cell>
        </row>
        <row r="2656">
          <cell r="O2656">
            <v>24.573867069486404</v>
          </cell>
        </row>
        <row r="2657">
          <cell r="O2657">
            <v>2.7442857142857142</v>
          </cell>
        </row>
        <row r="2658">
          <cell r="O2658">
            <v>3.06</v>
          </cell>
        </row>
        <row r="2659">
          <cell r="O2659">
            <v>2.6471428571428572</v>
          </cell>
        </row>
        <row r="2660">
          <cell r="O2660">
            <v>3.6914285714285713</v>
          </cell>
        </row>
        <row r="2661">
          <cell r="O2661">
            <v>8.68769716088328</v>
          </cell>
        </row>
        <row r="2662">
          <cell r="O2662">
            <v>2.8171428571428572</v>
          </cell>
        </row>
        <row r="2663">
          <cell r="O2663">
            <v>3.4242857142857144</v>
          </cell>
        </row>
        <row r="2664">
          <cell r="O2664">
            <v>2.7685714285714287</v>
          </cell>
        </row>
        <row r="2665">
          <cell r="O2665">
            <v>3.132857142857143</v>
          </cell>
        </row>
        <row r="2666">
          <cell r="O2666">
            <v>3.132857142857143</v>
          </cell>
        </row>
        <row r="2667">
          <cell r="O2667">
            <v>3.0481927710843375</v>
          </cell>
        </row>
        <row r="2668">
          <cell r="O2668">
            <v>3.0481927710843375</v>
          </cell>
        </row>
        <row r="2669">
          <cell r="O2669">
            <v>9.4493975903614462</v>
          </cell>
        </row>
        <row r="2670">
          <cell r="O2670">
            <v>9.4493975903614462</v>
          </cell>
        </row>
        <row r="2671">
          <cell r="O2671">
            <v>3.0481927710843375</v>
          </cell>
        </row>
        <row r="2672">
          <cell r="O2672">
            <v>3.0481927710843375</v>
          </cell>
        </row>
        <row r="2673">
          <cell r="O2673">
            <v>0</v>
          </cell>
        </row>
        <row r="2674">
          <cell r="O2674">
            <v>1.300915855019636</v>
          </cell>
        </row>
        <row r="2675">
          <cell r="O2675">
            <v>0</v>
          </cell>
        </row>
        <row r="2676">
          <cell r="O2676">
            <v>0</v>
          </cell>
        </row>
        <row r="2677">
          <cell r="O2677">
            <v>1.7197885196374623</v>
          </cell>
        </row>
        <row r="2678">
          <cell r="O2678">
            <v>1.9367088607594938</v>
          </cell>
        </row>
        <row r="2679">
          <cell r="O2679">
            <v>29.98862385321101</v>
          </cell>
        </row>
        <row r="2680">
          <cell r="O2680">
            <v>12.000302114803624</v>
          </cell>
        </row>
        <row r="2681">
          <cell r="O2681">
            <v>2.7097233778202305</v>
          </cell>
        </row>
        <row r="2682">
          <cell r="O2682">
            <v>0</v>
          </cell>
        </row>
        <row r="2683">
          <cell r="O2683">
            <v>0</v>
          </cell>
        </row>
        <row r="2684">
          <cell r="O2684">
            <v>19.146978851963745</v>
          </cell>
        </row>
        <row r="2685">
          <cell r="O2685">
            <v>7.2798887122416538</v>
          </cell>
        </row>
        <row r="2686">
          <cell r="O2686">
            <v>1.5599761526232114</v>
          </cell>
        </row>
        <row r="2687">
          <cell r="O2687">
            <v>0.8319872813990461</v>
          </cell>
        </row>
        <row r="2688">
          <cell r="O2688">
            <v>7.7998807631160574</v>
          </cell>
        </row>
        <row r="2689">
          <cell r="O2689">
            <v>1.5599761526232114</v>
          </cell>
        </row>
        <row r="2690">
          <cell r="O2690">
            <v>0.8319872813990461</v>
          </cell>
        </row>
        <row r="2691">
          <cell r="O2691">
            <v>5.8239109697933227</v>
          </cell>
        </row>
        <row r="2692">
          <cell r="O2692">
            <v>0.87479258654038927</v>
          </cell>
        </row>
        <row r="2693">
          <cell r="O2693">
            <v>12.167813990461049</v>
          </cell>
        </row>
        <row r="2694">
          <cell r="O2694">
            <v>10.199999999999999</v>
          </cell>
        </row>
        <row r="2695">
          <cell r="O2695">
            <v>1.9914285714285713</v>
          </cell>
        </row>
        <row r="2696">
          <cell r="O2696">
            <v>16.743744038155803</v>
          </cell>
        </row>
        <row r="2697">
          <cell r="O2697">
            <v>8.1118759936406999</v>
          </cell>
        </row>
        <row r="2698">
          <cell r="O2698">
            <v>16.535747217806041</v>
          </cell>
        </row>
        <row r="2699">
          <cell r="O2699">
            <v>8.0078775834658185</v>
          </cell>
        </row>
        <row r="2700">
          <cell r="O2700">
            <v>16.743744038155803</v>
          </cell>
        </row>
        <row r="2701">
          <cell r="O2701">
            <v>8.1118759936406999</v>
          </cell>
        </row>
        <row r="2702">
          <cell r="O2702">
            <v>2.2879650238473768</v>
          </cell>
        </row>
        <row r="2703">
          <cell r="O2703">
            <v>1.1439825119236884</v>
          </cell>
        </row>
        <row r="2704">
          <cell r="O2704">
            <v>37.855421303656598</v>
          </cell>
        </row>
        <row r="2705">
          <cell r="O2705">
            <v>119.27142857142857</v>
          </cell>
        </row>
        <row r="2706">
          <cell r="O2706">
            <v>15.93992673992674</v>
          </cell>
        </row>
        <row r="2707">
          <cell r="O2707">
            <v>10.101465201465203</v>
          </cell>
        </row>
        <row r="2708">
          <cell r="O2708">
            <v>25.207326007326007</v>
          </cell>
        </row>
        <row r="2709">
          <cell r="O2709">
            <v>193.31794871794872</v>
          </cell>
        </row>
        <row r="2710">
          <cell r="O2710">
            <v>0</v>
          </cell>
        </row>
        <row r="2711">
          <cell r="O2711">
            <v>0</v>
          </cell>
        </row>
        <row r="2712">
          <cell r="O2712">
            <v>11.028205128205128</v>
          </cell>
        </row>
        <row r="2713">
          <cell r="O2713">
            <v>15.013186813186813</v>
          </cell>
        </row>
        <row r="2714">
          <cell r="O2714">
            <v>8.977287066246058</v>
          </cell>
        </row>
        <row r="2715">
          <cell r="O2715">
            <v>9.2186119873817045</v>
          </cell>
        </row>
        <row r="2716">
          <cell r="O2716">
            <v>0</v>
          </cell>
        </row>
        <row r="2717">
          <cell r="O2717">
            <v>0</v>
          </cell>
        </row>
        <row r="2718">
          <cell r="O2718">
            <v>1.300915855019636</v>
          </cell>
        </row>
        <row r="2719">
          <cell r="O2719">
            <v>0</v>
          </cell>
        </row>
        <row r="2720">
          <cell r="O2720">
            <v>10.973493975903615</v>
          </cell>
        </row>
        <row r="2721">
          <cell r="O2721">
            <v>3.3530120481927717</v>
          </cell>
        </row>
        <row r="2722">
          <cell r="O2722">
            <v>3.3530120481927717</v>
          </cell>
        </row>
        <row r="2723">
          <cell r="O2723">
            <v>21.642168674698794</v>
          </cell>
        </row>
        <row r="2724">
          <cell r="O2724">
            <v>3.3530120481927717</v>
          </cell>
        </row>
        <row r="2725">
          <cell r="O2725">
            <v>3.3530120481927717</v>
          </cell>
        </row>
        <row r="2726">
          <cell r="O2726">
            <v>10.973493975903615</v>
          </cell>
        </row>
        <row r="2727">
          <cell r="O2727">
            <v>19.796676737160119</v>
          </cell>
        </row>
        <row r="2728">
          <cell r="O2728">
            <v>3.5942857142857143</v>
          </cell>
        </row>
        <row r="2729">
          <cell r="O2729">
            <v>3.1814285714285715</v>
          </cell>
        </row>
        <row r="2730">
          <cell r="O2730">
            <v>3.2542857142857144</v>
          </cell>
        </row>
        <row r="2731">
          <cell r="O2731">
            <v>2.89</v>
          </cell>
        </row>
        <row r="2732">
          <cell r="O2732">
            <v>4.6628571428571428</v>
          </cell>
        </row>
        <row r="2733">
          <cell r="O2733">
            <v>2.9427492447129908</v>
          </cell>
        </row>
        <row r="2734">
          <cell r="O2734">
            <v>15.637854889589905</v>
          </cell>
        </row>
        <row r="2735">
          <cell r="O2735">
            <v>66.113467048710604</v>
          </cell>
        </row>
        <row r="2736">
          <cell r="O2736">
            <v>0</v>
          </cell>
        </row>
        <row r="2737">
          <cell r="O2737">
            <v>0</v>
          </cell>
        </row>
        <row r="2738">
          <cell r="O2738">
            <v>1.3876435786876118</v>
          </cell>
        </row>
        <row r="2739">
          <cell r="O2739">
            <v>0</v>
          </cell>
        </row>
        <row r="2740">
          <cell r="O2740">
            <v>3.6578313253012049</v>
          </cell>
        </row>
        <row r="2741">
          <cell r="O2741">
            <v>3.6578313253012049</v>
          </cell>
        </row>
        <row r="2742">
          <cell r="O2742">
            <v>5.1819277108433734</v>
          </cell>
        </row>
        <row r="2743">
          <cell r="O2743">
            <v>5.1819277108433734</v>
          </cell>
        </row>
        <row r="2744">
          <cell r="O2744">
            <v>0.50140550691949148</v>
          </cell>
        </row>
        <row r="2745">
          <cell r="O2745">
            <v>25.720392749244709</v>
          </cell>
        </row>
        <row r="2746">
          <cell r="O2746">
            <v>28.379810725552048</v>
          </cell>
        </row>
        <row r="2747">
          <cell r="O2747">
            <v>30.293421052631579</v>
          </cell>
        </row>
        <row r="2748">
          <cell r="O2748">
            <v>18.309210526315791</v>
          </cell>
        </row>
        <row r="2749">
          <cell r="O2749">
            <v>20.22302839116719</v>
          </cell>
        </row>
        <row r="2750">
          <cell r="O2750">
            <v>14.65719557195572</v>
          </cell>
        </row>
        <row r="2751">
          <cell r="O2751">
            <v>22.242598187311177</v>
          </cell>
        </row>
        <row r="2752">
          <cell r="O2752">
            <v>0</v>
          </cell>
        </row>
        <row r="2753">
          <cell r="O2753">
            <v>0</v>
          </cell>
        </row>
        <row r="2754">
          <cell r="O2754">
            <v>0</v>
          </cell>
        </row>
        <row r="2755">
          <cell r="O2755">
            <v>0</v>
          </cell>
        </row>
        <row r="2756">
          <cell r="O2756">
            <v>19.368864468864469</v>
          </cell>
        </row>
        <row r="2757">
          <cell r="O2757">
            <v>8.5429022082018928</v>
          </cell>
        </row>
        <row r="2758">
          <cell r="O2758">
            <v>6.6605678233438486</v>
          </cell>
        </row>
        <row r="2759">
          <cell r="O2759">
            <v>3.4</v>
          </cell>
        </row>
        <row r="2760">
          <cell r="O2760">
            <v>7.6741324921135652</v>
          </cell>
        </row>
        <row r="2761">
          <cell r="O2761">
            <v>3.57</v>
          </cell>
        </row>
        <row r="2762">
          <cell r="O2762">
            <v>3.2542857142857144</v>
          </cell>
        </row>
        <row r="2763">
          <cell r="O2763">
            <v>1.5362211275831228</v>
          </cell>
        </row>
        <row r="2764">
          <cell r="O2764">
            <v>3.3028571428571429</v>
          </cell>
        </row>
        <row r="2765">
          <cell r="O2765">
            <v>4.25</v>
          </cell>
        </row>
        <row r="2766">
          <cell r="O2766">
            <v>4.0071428571428571</v>
          </cell>
        </row>
        <row r="2767">
          <cell r="O2767">
            <v>3.9342857142857142</v>
          </cell>
        </row>
        <row r="2768">
          <cell r="O2768">
            <v>3.3514285714285714</v>
          </cell>
        </row>
        <row r="2769">
          <cell r="O2769">
            <v>3.6914285714285713</v>
          </cell>
        </row>
        <row r="2770">
          <cell r="O2770">
            <v>0.7681105637915614</v>
          </cell>
        </row>
        <row r="2771">
          <cell r="O2771">
            <v>1.8242625890049584</v>
          </cell>
        </row>
        <row r="2772">
          <cell r="O2772">
            <v>2.9871428571428571</v>
          </cell>
        </row>
        <row r="2773">
          <cell r="O2773">
            <v>2.6471428571428572</v>
          </cell>
        </row>
        <row r="2774">
          <cell r="O2774">
            <v>6.1779179810725555</v>
          </cell>
        </row>
        <row r="2775">
          <cell r="O2775">
            <v>11.42703927492447</v>
          </cell>
        </row>
        <row r="2776">
          <cell r="O2776">
            <v>14.675528700906343</v>
          </cell>
        </row>
        <row r="2777">
          <cell r="O2777">
            <v>0</v>
          </cell>
        </row>
        <row r="2778">
          <cell r="O2778">
            <v>0</v>
          </cell>
        </row>
        <row r="2779">
          <cell r="O2779">
            <v>0</v>
          </cell>
        </row>
        <row r="2780">
          <cell r="O2780">
            <v>0</v>
          </cell>
        </row>
        <row r="2781">
          <cell r="O2781">
            <v>3.4777945619335346</v>
          </cell>
        </row>
        <row r="2782">
          <cell r="O2782">
            <v>0</v>
          </cell>
        </row>
        <row r="2783">
          <cell r="O2783">
            <v>8.2513189448441242</v>
          </cell>
        </row>
        <row r="2784">
          <cell r="O2784">
            <v>6.8053627760252366</v>
          </cell>
        </row>
        <row r="2785">
          <cell r="O2785">
            <v>7.0949526813880119</v>
          </cell>
        </row>
        <row r="2786">
          <cell r="O2786">
            <v>3.4485714285714284</v>
          </cell>
        </row>
        <row r="2787">
          <cell r="O2787">
            <v>7.4328075709779178</v>
          </cell>
        </row>
        <row r="2788">
          <cell r="O2788">
            <v>4.1042857142857141</v>
          </cell>
        </row>
        <row r="2789">
          <cell r="O2789">
            <v>5.2457142857142864</v>
          </cell>
        </row>
        <row r="2790">
          <cell r="O2790">
            <v>9.3634069400630899</v>
          </cell>
        </row>
        <row r="2791">
          <cell r="O2791">
            <v>10.425236593059937</v>
          </cell>
        </row>
        <row r="2792">
          <cell r="O2792">
            <v>9.8943217665615144</v>
          </cell>
        </row>
        <row r="2793">
          <cell r="O2793">
            <v>0</v>
          </cell>
        </row>
        <row r="2794">
          <cell r="O2794">
            <v>0</v>
          </cell>
        </row>
        <row r="2795">
          <cell r="O2795">
            <v>1.300915855019636</v>
          </cell>
        </row>
        <row r="2796">
          <cell r="O2796">
            <v>0</v>
          </cell>
        </row>
        <row r="2797">
          <cell r="O2797">
            <v>10.973493975903615</v>
          </cell>
        </row>
        <row r="2798">
          <cell r="O2798">
            <v>4.0892749244712983</v>
          </cell>
        </row>
        <row r="2799">
          <cell r="O2799">
            <v>11.278313253012049</v>
          </cell>
        </row>
        <row r="2800">
          <cell r="O2800">
            <v>3.3530120481927717</v>
          </cell>
        </row>
        <row r="2801">
          <cell r="O2801">
            <v>3.0481927710843375</v>
          </cell>
        </row>
        <row r="2802">
          <cell r="O2802">
            <v>21.642168674698794</v>
          </cell>
        </row>
        <row r="2803">
          <cell r="O2803">
            <v>20.904984894259819</v>
          </cell>
        </row>
        <row r="2804">
          <cell r="O2804">
            <v>5.9742857142857142</v>
          </cell>
        </row>
        <row r="2805">
          <cell r="O2805">
            <v>9.7495268138801254</v>
          </cell>
        </row>
        <row r="2806">
          <cell r="O2806">
            <v>3.0357142857142856</v>
          </cell>
        </row>
        <row r="2807">
          <cell r="O2807">
            <v>2.7685714285714287</v>
          </cell>
        </row>
        <row r="2808">
          <cell r="O2808">
            <v>3.0481927710843375</v>
          </cell>
        </row>
        <row r="2809">
          <cell r="O2809">
            <v>3.0481927710843375</v>
          </cell>
        </row>
        <row r="2810">
          <cell r="O2810">
            <v>13.681873111782476</v>
          </cell>
        </row>
        <row r="2811">
          <cell r="O2811">
            <v>0</v>
          </cell>
        </row>
        <row r="2812">
          <cell r="O2812">
            <v>0</v>
          </cell>
        </row>
        <row r="2813">
          <cell r="O2813">
            <v>0</v>
          </cell>
        </row>
        <row r="2814">
          <cell r="O2814">
            <v>0</v>
          </cell>
        </row>
        <row r="2815">
          <cell r="O2815">
            <v>0</v>
          </cell>
        </row>
        <row r="2816">
          <cell r="O2816">
            <v>0</v>
          </cell>
        </row>
        <row r="2817">
          <cell r="O2817">
            <v>0</v>
          </cell>
        </row>
        <row r="2818">
          <cell r="O2818">
            <v>243.03479923518162</v>
          </cell>
        </row>
        <row r="2819">
          <cell r="O2819">
            <v>0</v>
          </cell>
        </row>
        <row r="2820">
          <cell r="O2820">
            <v>3.9626506024096391</v>
          </cell>
        </row>
        <row r="2821">
          <cell r="O2821">
            <v>3.9626506024096391</v>
          </cell>
        </row>
        <row r="2822">
          <cell r="O2822">
            <v>3.9626506024096391</v>
          </cell>
        </row>
        <row r="2823">
          <cell r="O2823">
            <v>3.9626506024096391</v>
          </cell>
        </row>
        <row r="2824">
          <cell r="O2824">
            <v>3.9626506024096391</v>
          </cell>
        </row>
        <row r="2825">
          <cell r="O2825">
            <v>0.43739629327019464</v>
          </cell>
        </row>
        <row r="2826">
          <cell r="O2826">
            <v>0</v>
          </cell>
        </row>
        <row r="2827">
          <cell r="O2827">
            <v>2.3312688821752263</v>
          </cell>
        </row>
        <row r="2828">
          <cell r="O2828">
            <v>21.642168674698794</v>
          </cell>
        </row>
        <row r="2829">
          <cell r="O2829">
            <v>125.26207951070336</v>
          </cell>
        </row>
        <row r="2830">
          <cell r="O2830">
            <v>8.0256797583081561</v>
          </cell>
        </row>
        <row r="2831">
          <cell r="O2831">
            <v>6.9555891238670693</v>
          </cell>
        </row>
        <row r="2832">
          <cell r="O2832">
            <v>2.2585714285714289</v>
          </cell>
        </row>
        <row r="2833">
          <cell r="O2833">
            <v>0.4053916864455463</v>
          </cell>
        </row>
        <row r="2834">
          <cell r="O2834">
            <v>0</v>
          </cell>
        </row>
        <row r="2835">
          <cell r="O2835">
            <v>0</v>
          </cell>
        </row>
        <row r="2836">
          <cell r="O2836">
            <v>19.203614457831325</v>
          </cell>
        </row>
        <row r="2837">
          <cell r="O2837">
            <v>46.027710843373498</v>
          </cell>
        </row>
        <row r="2838">
          <cell r="O2838">
            <v>136.12657743785849</v>
          </cell>
        </row>
        <row r="2839">
          <cell r="O2839">
            <v>11.583132530120482</v>
          </cell>
        </row>
        <row r="2840">
          <cell r="O2840">
            <v>2.4285714285714284</v>
          </cell>
        </row>
        <row r="2841">
          <cell r="O2841">
            <v>159.30489296636085</v>
          </cell>
        </row>
        <row r="2842">
          <cell r="O2842">
            <v>7.0702416918428996</v>
          </cell>
        </row>
        <row r="2843">
          <cell r="O2843">
            <v>1.0774884297631624</v>
          </cell>
        </row>
        <row r="2844">
          <cell r="O2844">
            <v>11.583132530120482</v>
          </cell>
        </row>
        <row r="2845">
          <cell r="O2845">
            <v>2.5499999999999998</v>
          </cell>
        </row>
        <row r="2846">
          <cell r="O2846">
            <v>0</v>
          </cell>
        </row>
        <row r="2847">
          <cell r="O2847">
            <v>0</v>
          </cell>
        </row>
        <row r="2848">
          <cell r="O2848">
            <v>0</v>
          </cell>
        </row>
        <row r="2849">
          <cell r="O2849">
            <v>7.9492447129909367</v>
          </cell>
        </row>
        <row r="2850">
          <cell r="O2850">
            <v>125.64892966360856</v>
          </cell>
        </row>
        <row r="2851">
          <cell r="O2851">
            <v>0</v>
          </cell>
        </row>
        <row r="2852">
          <cell r="O2852">
            <v>3.6578313253012049</v>
          </cell>
        </row>
        <row r="2853">
          <cell r="O2853">
            <v>3.6578313253012049</v>
          </cell>
        </row>
        <row r="2854">
          <cell r="O2854">
            <v>3.6578313253012049</v>
          </cell>
        </row>
        <row r="2855">
          <cell r="O2855">
            <v>55.172289156626512</v>
          </cell>
        </row>
        <row r="2856">
          <cell r="O2856">
            <v>3.9626506024096391</v>
          </cell>
        </row>
        <row r="2857">
          <cell r="O2857">
            <v>3.9626506024096391</v>
          </cell>
        </row>
        <row r="2858">
          <cell r="O2858">
            <v>3.6578313253012049</v>
          </cell>
        </row>
        <row r="2859">
          <cell r="O2859">
            <v>3.9626506024096391</v>
          </cell>
        </row>
        <row r="2860">
          <cell r="O2860">
            <v>3.9626506024096391</v>
          </cell>
        </row>
        <row r="2861">
          <cell r="O2861">
            <v>3.9626506024096391</v>
          </cell>
        </row>
        <row r="2862">
          <cell r="O2862">
            <v>0</v>
          </cell>
        </row>
        <row r="2863">
          <cell r="O2863">
            <v>0</v>
          </cell>
        </row>
        <row r="2864">
          <cell r="O2864">
            <v>2.3694864048338369</v>
          </cell>
        </row>
        <row r="2865">
          <cell r="O2865">
            <v>12.306042296072508</v>
          </cell>
        </row>
        <row r="2866">
          <cell r="O2866">
            <v>338.0912045889101</v>
          </cell>
        </row>
        <row r="2867">
          <cell r="O2867">
            <v>21.835078864353314</v>
          </cell>
        </row>
        <row r="2868">
          <cell r="O2868">
            <v>26.946024096385543</v>
          </cell>
        </row>
        <row r="2869">
          <cell r="O2869">
            <v>3.4139759036144581</v>
          </cell>
        </row>
        <row r="2870">
          <cell r="O2870">
            <v>11.613614457831327</v>
          </cell>
        </row>
        <row r="2871">
          <cell r="O2871">
            <v>3.596867469879518</v>
          </cell>
        </row>
        <row r="2872">
          <cell r="O2872">
            <v>3.4139759036144581</v>
          </cell>
        </row>
        <row r="2873">
          <cell r="O2873">
            <v>3.4139759036144581</v>
          </cell>
        </row>
        <row r="2874">
          <cell r="O2874">
            <v>22.404216867469881</v>
          </cell>
        </row>
        <row r="2875">
          <cell r="O2875">
            <v>3.596867469879518</v>
          </cell>
        </row>
        <row r="2876">
          <cell r="O2876">
            <v>1.9873111782477342</v>
          </cell>
        </row>
        <row r="2877">
          <cell r="O2877">
            <v>2.9871428571428571</v>
          </cell>
        </row>
        <row r="2878">
          <cell r="O2878">
            <v>0</v>
          </cell>
        </row>
        <row r="2879">
          <cell r="O2879">
            <v>1.6433534743202416</v>
          </cell>
        </row>
        <row r="2880">
          <cell r="O2880">
            <v>1.9108761329305135</v>
          </cell>
        </row>
        <row r="2881">
          <cell r="O2881">
            <v>3.0842857142857141</v>
          </cell>
        </row>
        <row r="2882">
          <cell r="O2882">
            <v>1.9108761329305135</v>
          </cell>
        </row>
        <row r="2883">
          <cell r="O2883">
            <v>0</v>
          </cell>
        </row>
        <row r="2884">
          <cell r="O2884">
            <v>1.6433534743202416</v>
          </cell>
        </row>
        <row r="2885">
          <cell r="O2885">
            <v>0</v>
          </cell>
        </row>
        <row r="2886">
          <cell r="O2886">
            <v>2.9871428571428571</v>
          </cell>
        </row>
        <row r="2887">
          <cell r="O2887">
            <v>1.9873111782477342</v>
          </cell>
        </row>
        <row r="2888">
          <cell r="O2888">
            <v>24.182329317269076</v>
          </cell>
        </row>
        <row r="2889">
          <cell r="O2889">
            <v>54.131357552581264</v>
          </cell>
        </row>
        <row r="2890">
          <cell r="O2890">
            <v>0</v>
          </cell>
        </row>
        <row r="2891">
          <cell r="O2891">
            <v>0</v>
          </cell>
        </row>
        <row r="2892">
          <cell r="O2892">
            <v>0</v>
          </cell>
        </row>
        <row r="2893">
          <cell r="O2893">
            <v>0</v>
          </cell>
        </row>
        <row r="2894">
          <cell r="O2894">
            <v>0</v>
          </cell>
        </row>
        <row r="2895">
          <cell r="O2895">
            <v>0</v>
          </cell>
        </row>
        <row r="2896">
          <cell r="O2896">
            <v>3.0481927710843375</v>
          </cell>
        </row>
        <row r="2897">
          <cell r="O2897">
            <v>3.0481927710843375</v>
          </cell>
        </row>
        <row r="2898">
          <cell r="O2898">
            <v>4.4528000000000008</v>
          </cell>
        </row>
        <row r="2899">
          <cell r="O2899">
            <v>0</v>
          </cell>
        </row>
        <row r="2900">
          <cell r="O2900">
            <v>0</v>
          </cell>
        </row>
        <row r="2901">
          <cell r="O2901">
            <v>2.7134441087613292</v>
          </cell>
        </row>
        <row r="2902">
          <cell r="O2902">
            <v>8.1403323262839873</v>
          </cell>
        </row>
        <row r="2903">
          <cell r="O2903">
            <v>13.796525679758307</v>
          </cell>
        </row>
        <row r="2904">
          <cell r="O2904">
            <v>8.1785498489425965</v>
          </cell>
        </row>
        <row r="2905">
          <cell r="O2905">
            <v>0</v>
          </cell>
        </row>
        <row r="2906">
          <cell r="O2906">
            <v>0</v>
          </cell>
        </row>
        <row r="2907">
          <cell r="O2907">
            <v>0</v>
          </cell>
        </row>
        <row r="2908">
          <cell r="O2908">
            <v>0</v>
          </cell>
        </row>
        <row r="2909">
          <cell r="O2909">
            <v>0</v>
          </cell>
        </row>
        <row r="2910">
          <cell r="O2910">
            <v>0</v>
          </cell>
        </row>
        <row r="2911">
          <cell r="O2911">
            <v>0</v>
          </cell>
        </row>
        <row r="2912">
          <cell r="O2912">
            <v>0</v>
          </cell>
        </row>
        <row r="2913">
          <cell r="O2913">
            <v>0</v>
          </cell>
        </row>
        <row r="2914">
          <cell r="O2914">
            <v>0</v>
          </cell>
        </row>
        <row r="2915">
          <cell r="O2915">
            <v>0</v>
          </cell>
        </row>
        <row r="2916">
          <cell r="O2916">
            <v>0</v>
          </cell>
        </row>
        <row r="2917">
          <cell r="O2917">
            <v>0</v>
          </cell>
        </row>
        <row r="2918">
          <cell r="O2918">
            <v>0</v>
          </cell>
        </row>
        <row r="2919">
          <cell r="O2919">
            <v>0</v>
          </cell>
        </row>
        <row r="2920">
          <cell r="O2920">
            <v>0</v>
          </cell>
        </row>
        <row r="2921">
          <cell r="O2921">
            <v>0</v>
          </cell>
        </row>
        <row r="2922">
          <cell r="O2922">
            <v>0</v>
          </cell>
        </row>
        <row r="2923">
          <cell r="O2923">
            <v>0</v>
          </cell>
        </row>
        <row r="2924">
          <cell r="O2924">
            <v>0</v>
          </cell>
        </row>
        <row r="2925">
          <cell r="O2925">
            <v>27.159397590361447</v>
          </cell>
        </row>
        <row r="2926">
          <cell r="O2926">
            <v>13.859116465863455</v>
          </cell>
        </row>
        <row r="2927">
          <cell r="O2927">
            <v>14.529718875502008</v>
          </cell>
        </row>
        <row r="2928">
          <cell r="O2928">
            <v>15.764728096676738</v>
          </cell>
        </row>
        <row r="2929">
          <cell r="O2929">
            <v>50.405090634441095</v>
          </cell>
        </row>
        <row r="2930">
          <cell r="O2930">
            <v>27.047630522088355</v>
          </cell>
        </row>
        <row r="2931">
          <cell r="O2931">
            <v>74.493595166163146</v>
          </cell>
        </row>
        <row r="2932">
          <cell r="O2932">
            <v>57.04729607250755</v>
          </cell>
        </row>
        <row r="2933">
          <cell r="O2933">
            <v>52.465015105740179</v>
          </cell>
        </row>
        <row r="2934">
          <cell r="O2934">
            <v>14.041117824773414</v>
          </cell>
        </row>
        <row r="2935">
          <cell r="O2935">
            <v>237.39578549848946</v>
          </cell>
        </row>
        <row r="2936">
          <cell r="O2936">
            <v>61.587537764350458</v>
          </cell>
        </row>
        <row r="2937">
          <cell r="O2937">
            <v>30.268277945619339</v>
          </cell>
        </row>
        <row r="2938">
          <cell r="O2938">
            <v>31.463361111111116</v>
          </cell>
        </row>
        <row r="2939">
          <cell r="O2939">
            <v>4.4561631419939571</v>
          </cell>
        </row>
        <row r="2940">
          <cell r="O2940">
            <v>80.053162650602417</v>
          </cell>
        </row>
        <row r="2941">
          <cell r="O2941">
            <v>16.653293172690766</v>
          </cell>
        </row>
        <row r="2942">
          <cell r="O2942">
            <v>7.4829909365558915</v>
          </cell>
        </row>
        <row r="2943">
          <cell r="O2943">
            <v>30.62417670682731</v>
          </cell>
        </row>
        <row r="2944">
          <cell r="O2944">
            <v>0</v>
          </cell>
        </row>
        <row r="2945">
          <cell r="O2945">
            <v>40.906746987951806</v>
          </cell>
        </row>
        <row r="2946">
          <cell r="O2946">
            <v>13.412048192771087</v>
          </cell>
        </row>
        <row r="2947">
          <cell r="O2947">
            <v>40.906746987951806</v>
          </cell>
        </row>
        <row r="2948">
          <cell r="O2948">
            <v>0</v>
          </cell>
        </row>
        <row r="2949">
          <cell r="O2949">
            <v>2.9721359223300969</v>
          </cell>
        </row>
        <row r="2950">
          <cell r="O2950">
            <v>4.4582038834951456</v>
          </cell>
        </row>
        <row r="2951">
          <cell r="O2951">
            <v>7.8193051359516623</v>
          </cell>
        </row>
        <row r="2952">
          <cell r="O2952">
            <v>12.906057401812689</v>
          </cell>
        </row>
        <row r="2953">
          <cell r="O2953">
            <v>6.263851963746224</v>
          </cell>
        </row>
        <row r="2954">
          <cell r="O2954">
            <v>76.448674698795188</v>
          </cell>
        </row>
        <row r="2955">
          <cell r="O2955">
            <v>85.166506024096392</v>
          </cell>
        </row>
        <row r="2956">
          <cell r="O2956">
            <v>0</v>
          </cell>
        </row>
        <row r="2957">
          <cell r="O2957">
            <v>30.436435045317221</v>
          </cell>
        </row>
        <row r="2958">
          <cell r="O2958">
            <v>40.399743202416914</v>
          </cell>
        </row>
        <row r="2959">
          <cell r="O2959">
            <v>3.6994561933534746</v>
          </cell>
        </row>
        <row r="2960">
          <cell r="O2960">
            <v>0</v>
          </cell>
        </row>
        <row r="2961">
          <cell r="O2961">
            <v>0.85345618199062379</v>
          </cell>
        </row>
        <row r="2962">
          <cell r="O2962">
            <v>7.9355867156197801</v>
          </cell>
        </row>
        <row r="2963">
          <cell r="O2963">
            <v>0</v>
          </cell>
        </row>
        <row r="2964">
          <cell r="O2964">
            <v>0</v>
          </cell>
        </row>
        <row r="2965">
          <cell r="O2965">
            <v>0</v>
          </cell>
        </row>
        <row r="2966">
          <cell r="O2966">
            <v>0</v>
          </cell>
        </row>
        <row r="2967">
          <cell r="O2967">
            <v>0</v>
          </cell>
        </row>
        <row r="2968">
          <cell r="O2968">
            <v>0</v>
          </cell>
        </row>
        <row r="2969">
          <cell r="O2969">
            <v>13.412048192771087</v>
          </cell>
        </row>
        <row r="2970">
          <cell r="O2970">
            <v>0</v>
          </cell>
        </row>
        <row r="2971">
          <cell r="O2971">
            <v>9.9752108433734961</v>
          </cell>
        </row>
        <row r="2972">
          <cell r="O2972">
            <v>9.9752108433734961</v>
          </cell>
        </row>
        <row r="2973">
          <cell r="O2973">
            <v>4.9057142857142857</v>
          </cell>
        </row>
        <row r="2974">
          <cell r="O2974">
            <v>98.869736842105269</v>
          </cell>
        </row>
        <row r="2975">
          <cell r="O2975">
            <v>33.53012048192771</v>
          </cell>
        </row>
        <row r="2976">
          <cell r="O2976">
            <v>33.53012048192771</v>
          </cell>
        </row>
        <row r="2977">
          <cell r="O2977">
            <v>33.53012048192771</v>
          </cell>
        </row>
        <row r="2978">
          <cell r="O2978">
            <v>48.387205438066459</v>
          </cell>
        </row>
        <row r="2979">
          <cell r="O2979">
            <v>51.54042763157895</v>
          </cell>
        </row>
        <row r="2980">
          <cell r="O2980">
            <v>109.76454682779458</v>
          </cell>
        </row>
        <row r="2981">
          <cell r="O2981">
            <v>3.2785714285714285</v>
          </cell>
        </row>
        <row r="2982">
          <cell r="O2982">
            <v>3.2785714285714285</v>
          </cell>
        </row>
        <row r="2983">
          <cell r="O2983">
            <v>3.2785714285714285</v>
          </cell>
        </row>
        <row r="2984">
          <cell r="O2984">
            <v>145.8328618421053</v>
          </cell>
        </row>
        <row r="2985">
          <cell r="O2985">
            <v>19.112168674698797</v>
          </cell>
        </row>
        <row r="2986">
          <cell r="O2986">
            <v>3.1529456193353473</v>
          </cell>
        </row>
        <row r="2987">
          <cell r="O2987">
            <v>20.676907630522091</v>
          </cell>
        </row>
        <row r="2988">
          <cell r="O2988">
            <v>0</v>
          </cell>
        </row>
        <row r="2989">
          <cell r="O2989">
            <v>3.3660000000000005</v>
          </cell>
        </row>
        <row r="2990">
          <cell r="O2990">
            <v>40.236144578313258</v>
          </cell>
        </row>
        <row r="2991">
          <cell r="O2991">
            <v>13.412048192771087</v>
          </cell>
        </row>
        <row r="2992">
          <cell r="O2992">
            <v>40.236144578313258</v>
          </cell>
        </row>
        <row r="2993">
          <cell r="O2993">
            <v>0</v>
          </cell>
        </row>
        <row r="2994">
          <cell r="O2994">
            <v>0</v>
          </cell>
        </row>
        <row r="2995">
          <cell r="O2995">
            <v>0</v>
          </cell>
        </row>
        <row r="2996">
          <cell r="O2996">
            <v>26.947175226586104</v>
          </cell>
        </row>
        <row r="2997">
          <cell r="O2997">
            <v>15.383805555555556</v>
          </cell>
        </row>
        <row r="2998">
          <cell r="O2998">
            <v>16.653293172690766</v>
          </cell>
        </row>
        <row r="2999">
          <cell r="O2999">
            <v>11.855075528700908</v>
          </cell>
        </row>
        <row r="3000">
          <cell r="O3000">
            <v>45.600963855421689</v>
          </cell>
        </row>
        <row r="3001">
          <cell r="O3001">
            <v>36.212530120481937</v>
          </cell>
        </row>
        <row r="3002">
          <cell r="O3002">
            <v>83.306907894736852</v>
          </cell>
        </row>
        <row r="3003">
          <cell r="O3003">
            <v>25.89619335347432</v>
          </cell>
        </row>
        <row r="3004">
          <cell r="O3004">
            <v>39.094637223974765</v>
          </cell>
        </row>
        <row r="3005">
          <cell r="O3005">
            <v>5.8400630914826497</v>
          </cell>
        </row>
        <row r="3006">
          <cell r="O3006">
            <v>5.8400630914826497</v>
          </cell>
        </row>
        <row r="3007">
          <cell r="O3007">
            <v>17.037539432176654</v>
          </cell>
        </row>
        <row r="3008">
          <cell r="O3008">
            <v>27.28886111111111</v>
          </cell>
        </row>
        <row r="3009">
          <cell r="O3009">
            <v>3.450946372239748</v>
          </cell>
        </row>
        <row r="3010">
          <cell r="O3010">
            <v>3.6633123028391168</v>
          </cell>
        </row>
        <row r="3011">
          <cell r="O3011">
            <v>3.6633123028391168</v>
          </cell>
        </row>
        <row r="3012">
          <cell r="O3012">
            <v>51.180189274447962</v>
          </cell>
        </row>
        <row r="3013">
          <cell r="O3013">
            <v>13.75552050473186</v>
          </cell>
        </row>
        <row r="3014">
          <cell r="O3014">
            <v>5.5504731861198735</v>
          </cell>
        </row>
        <row r="3015">
          <cell r="O3015">
            <v>36.195815709969793</v>
          </cell>
        </row>
        <row r="3016">
          <cell r="O3016">
            <v>96.690332326283993</v>
          </cell>
        </row>
        <row r="3017">
          <cell r="O3017">
            <v>48.519407894736844</v>
          </cell>
        </row>
        <row r="3018">
          <cell r="O3018">
            <v>0</v>
          </cell>
        </row>
        <row r="3019">
          <cell r="O3019">
            <v>2.5499999999999998</v>
          </cell>
        </row>
        <row r="3020">
          <cell r="O3020">
            <v>0</v>
          </cell>
        </row>
        <row r="3021">
          <cell r="O3021">
            <v>0</v>
          </cell>
        </row>
        <row r="3022">
          <cell r="O3022">
            <v>12.500630914826498</v>
          </cell>
        </row>
        <row r="3023">
          <cell r="O3023">
            <v>23.710427631578948</v>
          </cell>
        </row>
        <row r="3024">
          <cell r="O3024">
            <v>23.710427631578948</v>
          </cell>
        </row>
        <row r="3025">
          <cell r="O3025">
            <v>74.793125000000018</v>
          </cell>
        </row>
        <row r="3026">
          <cell r="O3026">
            <v>38.083157894736843</v>
          </cell>
        </row>
        <row r="3027">
          <cell r="O3027">
            <v>23.61888157894737</v>
          </cell>
        </row>
        <row r="3028">
          <cell r="O3028">
            <v>23.80197368421053</v>
          </cell>
        </row>
        <row r="3029">
          <cell r="O3029">
            <v>23.80197368421053</v>
          </cell>
        </row>
        <row r="3030">
          <cell r="O3030">
            <v>23.80197368421053</v>
          </cell>
        </row>
        <row r="3031">
          <cell r="O3031">
            <v>23.80197368421053</v>
          </cell>
        </row>
        <row r="3032">
          <cell r="O3032">
            <v>23.80197368421053</v>
          </cell>
        </row>
        <row r="3033">
          <cell r="O3033">
            <v>26.27371710526316</v>
          </cell>
        </row>
        <row r="3034">
          <cell r="O3034">
            <v>12.906057401812689</v>
          </cell>
        </row>
        <row r="3035">
          <cell r="O3035">
            <v>11.400240963855422</v>
          </cell>
        </row>
        <row r="3036">
          <cell r="O3036">
            <v>13.523815261044177</v>
          </cell>
        </row>
        <row r="3037">
          <cell r="O3037">
            <v>52.254818731117822</v>
          </cell>
        </row>
        <row r="3038">
          <cell r="O3038">
            <v>19.506223564954681</v>
          </cell>
        </row>
        <row r="3039">
          <cell r="O3039">
            <v>10.590861111111112</v>
          </cell>
        </row>
        <row r="3040">
          <cell r="O3040">
            <v>15.050060422960724</v>
          </cell>
        </row>
        <row r="3041">
          <cell r="O3041">
            <v>17.152024169184291</v>
          </cell>
        </row>
        <row r="3042">
          <cell r="O3042">
            <v>313.15055891238671</v>
          </cell>
        </row>
        <row r="3043">
          <cell r="O3043">
            <v>79.736611842105262</v>
          </cell>
        </row>
        <row r="3044">
          <cell r="O3044">
            <v>15.349880095923261</v>
          </cell>
        </row>
        <row r="3045">
          <cell r="O3045">
            <v>6.3709779179810724</v>
          </cell>
        </row>
        <row r="3046">
          <cell r="O3046">
            <v>16.653293172690766</v>
          </cell>
        </row>
        <row r="3047">
          <cell r="O3047">
            <v>11.93915407854985</v>
          </cell>
        </row>
        <row r="3048">
          <cell r="O3048">
            <v>4.4345714285714299</v>
          </cell>
        </row>
        <row r="3049">
          <cell r="O3049">
            <v>40.906746987951806</v>
          </cell>
        </row>
        <row r="3050">
          <cell r="O3050">
            <v>13.412048192771087</v>
          </cell>
        </row>
        <row r="3051">
          <cell r="O3051">
            <v>40.906746987951806</v>
          </cell>
        </row>
        <row r="3052">
          <cell r="O3052">
            <v>0</v>
          </cell>
        </row>
        <row r="3053">
          <cell r="O3053">
            <v>0</v>
          </cell>
        </row>
        <row r="3054">
          <cell r="O3054">
            <v>0</v>
          </cell>
        </row>
        <row r="3055">
          <cell r="O3055">
            <v>82.48299342105264</v>
          </cell>
        </row>
        <row r="3056">
          <cell r="O3056">
            <v>1.4114031609669941</v>
          </cell>
        </row>
        <row r="3057">
          <cell r="O3057">
            <v>0</v>
          </cell>
        </row>
        <row r="3058">
          <cell r="O3058">
            <v>0</v>
          </cell>
        </row>
        <row r="3059">
          <cell r="O3059">
            <v>2.7752871573752236</v>
          </cell>
        </row>
        <row r="3060">
          <cell r="O3060">
            <v>2.6981428571428574</v>
          </cell>
        </row>
        <row r="3061">
          <cell r="O3061">
            <v>16.653293172690766</v>
          </cell>
        </row>
        <row r="3062">
          <cell r="O3062">
            <v>11.855075528700908</v>
          </cell>
        </row>
        <row r="3063">
          <cell r="O3063">
            <v>45.600963855421689</v>
          </cell>
        </row>
        <row r="3064">
          <cell r="O3064">
            <v>36.212530120481937</v>
          </cell>
        </row>
        <row r="3065">
          <cell r="O3065">
            <v>3.5312990936555897</v>
          </cell>
        </row>
        <row r="3066">
          <cell r="O3066">
            <v>13.452567975830815</v>
          </cell>
        </row>
        <row r="3067">
          <cell r="O3067">
            <v>74.335394736842119</v>
          </cell>
        </row>
        <row r="3068">
          <cell r="O3068">
            <v>73.236842105263165</v>
          </cell>
        </row>
        <row r="3069">
          <cell r="O3069">
            <v>73.236842105263165</v>
          </cell>
        </row>
        <row r="3070">
          <cell r="O3070">
            <v>73.236842105263165</v>
          </cell>
        </row>
        <row r="3071">
          <cell r="O3071">
            <v>31.949572368421052</v>
          </cell>
        </row>
        <row r="3072">
          <cell r="O3072">
            <v>15.471282894736841</v>
          </cell>
        </row>
        <row r="3073">
          <cell r="O3073">
            <v>59.596480263157893</v>
          </cell>
        </row>
        <row r="3074">
          <cell r="O3074">
            <v>89.039184290030221</v>
          </cell>
        </row>
        <row r="3075">
          <cell r="O3075">
            <v>70.582006578947372</v>
          </cell>
        </row>
        <row r="3076">
          <cell r="O3076">
            <v>25.580441640378549</v>
          </cell>
        </row>
        <row r="3077">
          <cell r="O3077">
            <v>0</v>
          </cell>
        </row>
        <row r="3078">
          <cell r="O3078">
            <v>2.5499999999999998</v>
          </cell>
        </row>
        <row r="3079">
          <cell r="O3079">
            <v>0</v>
          </cell>
        </row>
        <row r="3080">
          <cell r="O3080">
            <v>0</v>
          </cell>
        </row>
        <row r="3081">
          <cell r="O3081">
            <v>12.500630914826498</v>
          </cell>
        </row>
        <row r="3082">
          <cell r="O3082">
            <v>12.500630914826498</v>
          </cell>
        </row>
        <row r="3083">
          <cell r="O3083">
            <v>12.500630914826498</v>
          </cell>
        </row>
        <row r="3084">
          <cell r="O3084">
            <v>23.61888157894737</v>
          </cell>
        </row>
        <row r="3085">
          <cell r="O3085">
            <v>37.167697368421059</v>
          </cell>
        </row>
        <row r="3086">
          <cell r="O3086">
            <v>23.80197368421053</v>
          </cell>
        </row>
        <row r="3087">
          <cell r="O3087">
            <v>23.710427631578948</v>
          </cell>
        </row>
        <row r="3088">
          <cell r="O3088">
            <v>23.710427631578948</v>
          </cell>
        </row>
        <row r="3089">
          <cell r="O3089">
            <v>23.80197368421053</v>
          </cell>
        </row>
        <row r="3090">
          <cell r="O3090">
            <v>23.80197368421053</v>
          </cell>
        </row>
        <row r="3091">
          <cell r="O3091">
            <v>23.80197368421053</v>
          </cell>
        </row>
        <row r="3092">
          <cell r="O3092">
            <v>25.266710526315791</v>
          </cell>
        </row>
        <row r="3093">
          <cell r="O3093">
            <v>15.260256797583082</v>
          </cell>
        </row>
        <row r="3094">
          <cell r="O3094">
            <v>62.764637462235655</v>
          </cell>
        </row>
        <row r="3095">
          <cell r="O3095">
            <v>21.986540785498487</v>
          </cell>
        </row>
        <row r="3096">
          <cell r="O3096">
            <v>15.535622489959842</v>
          </cell>
        </row>
        <row r="3097">
          <cell r="O3097">
            <v>10.590861111111112</v>
          </cell>
        </row>
        <row r="3098">
          <cell r="O3098">
            <v>726.78411184210529</v>
          </cell>
        </row>
        <row r="3099">
          <cell r="O3099">
            <v>0</v>
          </cell>
        </row>
        <row r="3100">
          <cell r="O3100">
            <v>0</v>
          </cell>
        </row>
        <row r="3101">
          <cell r="O3101">
            <v>0</v>
          </cell>
        </row>
        <row r="3102">
          <cell r="O3102">
            <v>88.79095238095239</v>
          </cell>
        </row>
        <row r="3103">
          <cell r="O3103">
            <v>11.100946372239747</v>
          </cell>
        </row>
        <row r="3104">
          <cell r="O3104">
            <v>14.433323782234961</v>
          </cell>
        </row>
        <row r="3105">
          <cell r="O3105">
            <v>16.653293172690766</v>
          </cell>
        </row>
        <row r="3106">
          <cell r="O3106">
            <v>31.440076305220884</v>
          </cell>
        </row>
        <row r="3107">
          <cell r="O3107">
            <v>4.4345714285714299</v>
          </cell>
        </row>
        <row r="3108">
          <cell r="O3108">
            <v>40.906746987951806</v>
          </cell>
        </row>
        <row r="3109">
          <cell r="O3109">
            <v>13.412048192771087</v>
          </cell>
        </row>
        <row r="3110">
          <cell r="O3110">
            <v>40.906746987951806</v>
          </cell>
        </row>
        <row r="3111">
          <cell r="O3111">
            <v>0</v>
          </cell>
        </row>
        <row r="3112">
          <cell r="O3112">
            <v>0</v>
          </cell>
        </row>
        <row r="3113">
          <cell r="O3113">
            <v>0</v>
          </cell>
        </row>
        <row r="3114">
          <cell r="O3114">
            <v>91.645311355311378</v>
          </cell>
        </row>
        <row r="3115">
          <cell r="O3115">
            <v>0</v>
          </cell>
        </row>
        <row r="3116">
          <cell r="O3116">
            <v>0</v>
          </cell>
        </row>
        <row r="3117">
          <cell r="O3117">
            <v>0.73718565117779367</v>
          </cell>
        </row>
        <row r="3118">
          <cell r="O3118">
            <v>2.644714285714286</v>
          </cell>
        </row>
        <row r="3119">
          <cell r="O3119">
            <v>16.653293172690766</v>
          </cell>
        </row>
        <row r="3120">
          <cell r="O3120">
            <v>31.406546184738957</v>
          </cell>
        </row>
        <row r="3121">
          <cell r="O3121">
            <v>44.25975903614458</v>
          </cell>
        </row>
        <row r="3122">
          <cell r="O3122">
            <v>35.541927710843375</v>
          </cell>
        </row>
        <row r="3123">
          <cell r="O3123">
            <v>32.728080000000006</v>
          </cell>
        </row>
        <row r="3124">
          <cell r="O3124">
            <v>56.169706959706964</v>
          </cell>
        </row>
        <row r="3125">
          <cell r="O3125">
            <v>80.43175824175826</v>
          </cell>
        </row>
        <row r="3126">
          <cell r="O3126">
            <v>2.0269584322277314</v>
          </cell>
        </row>
        <row r="3127">
          <cell r="O3127">
            <v>8.0101107011070116</v>
          </cell>
        </row>
        <row r="3128">
          <cell r="O3128">
            <v>8.1128044280442815</v>
          </cell>
        </row>
        <row r="3129">
          <cell r="O3129">
            <v>0</v>
          </cell>
        </row>
        <row r="3130">
          <cell r="O3130">
            <v>49.617960526315798</v>
          </cell>
        </row>
        <row r="3131">
          <cell r="O3131">
            <v>48.519407894736844</v>
          </cell>
        </row>
        <row r="3132">
          <cell r="O3132">
            <v>48.519407894736844</v>
          </cell>
        </row>
        <row r="3133">
          <cell r="O3133">
            <v>48.519407894736844</v>
          </cell>
        </row>
        <row r="3134">
          <cell r="O3134">
            <v>2.5257142857142858</v>
          </cell>
        </row>
        <row r="3135">
          <cell r="O3135">
            <v>8.0397777777777772</v>
          </cell>
        </row>
        <row r="3136">
          <cell r="O3136">
            <v>27.70410094637224</v>
          </cell>
        </row>
        <row r="3137">
          <cell r="O3137">
            <v>48.519407894736844</v>
          </cell>
        </row>
        <row r="3138">
          <cell r="O3138">
            <v>48.519407894736844</v>
          </cell>
        </row>
        <row r="3139">
          <cell r="O3139">
            <v>47.787039473684217</v>
          </cell>
        </row>
        <row r="3140">
          <cell r="O3140">
            <v>46.963125000000005</v>
          </cell>
        </row>
        <row r="3141">
          <cell r="O3141">
            <v>48.427861842105266</v>
          </cell>
        </row>
        <row r="3142">
          <cell r="O3142">
            <v>154.5363746223565</v>
          </cell>
        </row>
        <row r="3143">
          <cell r="O3143">
            <v>26.063091482649842</v>
          </cell>
        </row>
        <row r="3144">
          <cell r="O3144">
            <v>6.3142857142857141</v>
          </cell>
        </row>
        <row r="3145">
          <cell r="O3145">
            <v>25.48391167192429</v>
          </cell>
        </row>
        <row r="3146">
          <cell r="O3146">
            <v>0</v>
          </cell>
        </row>
        <row r="3147">
          <cell r="O3147">
            <v>10.509818731117825</v>
          </cell>
        </row>
        <row r="3148">
          <cell r="O3148">
            <v>0</v>
          </cell>
        </row>
        <row r="3149">
          <cell r="O3149">
            <v>0</v>
          </cell>
        </row>
        <row r="3150">
          <cell r="O3150">
            <v>12.114511041009465</v>
          </cell>
        </row>
        <row r="3151">
          <cell r="O3151">
            <v>12.114511041009465</v>
          </cell>
        </row>
        <row r="3152">
          <cell r="O3152">
            <v>53.525867507886439</v>
          </cell>
        </row>
        <row r="3153">
          <cell r="O3153">
            <v>37.167697368421059</v>
          </cell>
        </row>
        <row r="3154">
          <cell r="O3154">
            <v>38.515457413249209</v>
          </cell>
        </row>
        <row r="3155">
          <cell r="O3155">
            <v>12.500630914826498</v>
          </cell>
        </row>
        <row r="3156">
          <cell r="O3156">
            <v>39.19116719242902</v>
          </cell>
        </row>
        <row r="3157">
          <cell r="O3157">
            <v>0</v>
          </cell>
        </row>
        <row r="3158">
          <cell r="O3158">
            <v>24.13249211356467</v>
          </cell>
        </row>
        <row r="3159">
          <cell r="O3159">
            <v>0</v>
          </cell>
        </row>
        <row r="3160">
          <cell r="O3160">
            <v>0</v>
          </cell>
        </row>
        <row r="3161">
          <cell r="O3161">
            <v>24.13249211356467</v>
          </cell>
        </row>
        <row r="3162">
          <cell r="O3162">
            <v>4.4345714285714299</v>
          </cell>
        </row>
        <row r="3163">
          <cell r="O3163">
            <v>49.801052631578948</v>
          </cell>
        </row>
        <row r="3164">
          <cell r="O3164">
            <v>71.772105263157911</v>
          </cell>
        </row>
        <row r="3165">
          <cell r="O3165">
            <v>52.126182965299684</v>
          </cell>
        </row>
        <row r="3166">
          <cell r="O3166">
            <v>34.75078864353312</v>
          </cell>
        </row>
        <row r="3167">
          <cell r="O3167">
            <v>322.06288519637462</v>
          </cell>
        </row>
        <row r="3168">
          <cell r="O3168">
            <v>0</v>
          </cell>
        </row>
        <row r="3169">
          <cell r="O3169">
            <v>0</v>
          </cell>
        </row>
        <row r="3170">
          <cell r="O3170">
            <v>0</v>
          </cell>
        </row>
        <row r="3171">
          <cell r="O3171">
            <v>0</v>
          </cell>
        </row>
        <row r="3172">
          <cell r="O3172">
            <v>79.736611842105262</v>
          </cell>
        </row>
        <row r="3173">
          <cell r="O3173">
            <v>5.5857142857142854</v>
          </cell>
        </row>
        <row r="3174">
          <cell r="O3174">
            <v>4.8352857142857149</v>
          </cell>
        </row>
        <row r="3175">
          <cell r="O3175">
            <v>16.653293172690766</v>
          </cell>
        </row>
        <row r="3176">
          <cell r="O3176">
            <v>31.406546184738957</v>
          </cell>
        </row>
        <row r="3177">
          <cell r="O3177">
            <v>40.906746987951806</v>
          </cell>
        </row>
        <row r="3178">
          <cell r="O3178">
            <v>13.412048192771087</v>
          </cell>
        </row>
        <row r="3179">
          <cell r="O3179">
            <v>40.906746987951806</v>
          </cell>
        </row>
        <row r="3180">
          <cell r="O3180">
            <v>0</v>
          </cell>
        </row>
        <row r="3181">
          <cell r="O3181">
            <v>0</v>
          </cell>
        </row>
        <row r="3182">
          <cell r="O3182">
            <v>0</v>
          </cell>
        </row>
        <row r="3183">
          <cell r="O3183">
            <v>81.842171052631585</v>
          </cell>
        </row>
        <row r="3184">
          <cell r="O3184">
            <v>1.4114031609669941</v>
          </cell>
        </row>
        <row r="3185">
          <cell r="O3185">
            <v>0</v>
          </cell>
        </row>
        <row r="3186">
          <cell r="O3186">
            <v>0</v>
          </cell>
        </row>
        <row r="3187">
          <cell r="O3187">
            <v>0.68276494559249912</v>
          </cell>
        </row>
        <row r="3188">
          <cell r="O3188">
            <v>1.7364285714285714</v>
          </cell>
        </row>
        <row r="3189">
          <cell r="O3189">
            <v>16.653293172690766</v>
          </cell>
        </row>
        <row r="3190">
          <cell r="O3190">
            <v>31.406546184738957</v>
          </cell>
        </row>
        <row r="3191">
          <cell r="O3191">
            <v>45.600963855421689</v>
          </cell>
        </row>
        <row r="3192">
          <cell r="O3192">
            <v>36.212530120481937</v>
          </cell>
        </row>
        <row r="3193">
          <cell r="O3193">
            <v>4.7114285714285709</v>
          </cell>
        </row>
        <row r="3194">
          <cell r="O3194">
            <v>2.7685714285714287</v>
          </cell>
        </row>
        <row r="3195">
          <cell r="O3195">
            <v>2.7685714285714287</v>
          </cell>
        </row>
        <row r="3196">
          <cell r="O3196">
            <v>3.9585714285714286</v>
          </cell>
        </row>
        <row r="3197">
          <cell r="O3197">
            <v>0</v>
          </cell>
        </row>
        <row r="3198">
          <cell r="O3198">
            <v>3.132857142857143</v>
          </cell>
        </row>
        <row r="3199">
          <cell r="O3199">
            <v>38.708517350157727</v>
          </cell>
        </row>
        <row r="3200">
          <cell r="O3200">
            <v>2.9628571428571426</v>
          </cell>
        </row>
        <row r="3201">
          <cell r="O3201">
            <v>8.0602523659305998</v>
          </cell>
        </row>
        <row r="3202">
          <cell r="O3202">
            <v>4.0557142857142852</v>
          </cell>
        </row>
        <row r="3203">
          <cell r="O3203">
            <v>2.9628571428571426</v>
          </cell>
        </row>
        <row r="3204">
          <cell r="O3204">
            <v>34.075078864353308</v>
          </cell>
        </row>
        <row r="3205">
          <cell r="O3205">
            <v>3.132857142857143</v>
          </cell>
        </row>
        <row r="3206">
          <cell r="O3206">
            <v>2.5014285714285718</v>
          </cell>
        </row>
        <row r="3207">
          <cell r="O3207">
            <v>2.5014285714285718</v>
          </cell>
        </row>
        <row r="3208">
          <cell r="O3208">
            <v>6.1928571428571431</v>
          </cell>
        </row>
        <row r="3209">
          <cell r="O3209">
            <v>27.462776025236593</v>
          </cell>
        </row>
        <row r="3210">
          <cell r="O3210">
            <v>5.0999999999999996</v>
          </cell>
        </row>
        <row r="3211">
          <cell r="O3211">
            <v>6.2261829652996843</v>
          </cell>
        </row>
        <row r="3212">
          <cell r="O3212">
            <v>27.462776025236593</v>
          </cell>
        </row>
        <row r="3213">
          <cell r="O3213">
            <v>2.9628571428571426</v>
          </cell>
        </row>
        <row r="3214">
          <cell r="O3214">
            <v>3.7885714285714283</v>
          </cell>
        </row>
        <row r="3215">
          <cell r="O3215">
            <v>16.892744479495267</v>
          </cell>
        </row>
        <row r="3216">
          <cell r="O3216">
            <v>3.7885714285714283</v>
          </cell>
        </row>
        <row r="3217">
          <cell r="O3217">
            <v>16.892744479495267</v>
          </cell>
        </row>
        <row r="3218">
          <cell r="O3218">
            <v>183.33327794561933</v>
          </cell>
        </row>
        <row r="3219">
          <cell r="O3219">
            <v>59.77957236842105</v>
          </cell>
        </row>
        <row r="3220">
          <cell r="O3220">
            <v>0</v>
          </cell>
        </row>
        <row r="3221">
          <cell r="O3221">
            <v>1.7069123639812476</v>
          </cell>
        </row>
        <row r="3222">
          <cell r="O3222">
            <v>0</v>
          </cell>
        </row>
        <row r="3223">
          <cell r="O3223">
            <v>7.2613293051359511</v>
          </cell>
        </row>
        <row r="3224">
          <cell r="O3224">
            <v>11.083081570996978</v>
          </cell>
        </row>
        <row r="3225">
          <cell r="O3225">
            <v>1.9108761329305135</v>
          </cell>
        </row>
        <row r="3226">
          <cell r="O3226">
            <v>0</v>
          </cell>
        </row>
        <row r="3227">
          <cell r="O3227">
            <v>0</v>
          </cell>
        </row>
        <row r="3228">
          <cell r="O3228">
            <v>4.9682779456193353</v>
          </cell>
        </row>
        <row r="3229">
          <cell r="O3229">
            <v>3.4395770392749245</v>
          </cell>
        </row>
        <row r="3230">
          <cell r="O3230">
            <v>18.289156626506024</v>
          </cell>
        </row>
        <row r="3231">
          <cell r="O3231">
            <v>18.289156626506024</v>
          </cell>
        </row>
        <row r="3232">
          <cell r="O3232">
            <v>15.240963855421688</v>
          </cell>
        </row>
        <row r="3233">
          <cell r="O3233">
            <v>9.1445783132530121</v>
          </cell>
        </row>
        <row r="3234">
          <cell r="O3234">
            <v>0</v>
          </cell>
        </row>
        <row r="3235">
          <cell r="O3235">
            <v>0</v>
          </cell>
        </row>
        <row r="3236">
          <cell r="O3236">
            <v>0</v>
          </cell>
        </row>
        <row r="3237">
          <cell r="O3237">
            <v>0</v>
          </cell>
        </row>
        <row r="3238">
          <cell r="O3238">
            <v>0</v>
          </cell>
        </row>
        <row r="3239">
          <cell r="O3239">
            <v>0</v>
          </cell>
        </row>
        <row r="3240">
          <cell r="O3240">
            <v>0</v>
          </cell>
        </row>
        <row r="3241">
          <cell r="O3241">
            <v>0</v>
          </cell>
        </row>
        <row r="3242">
          <cell r="O3242">
            <v>9.1445783132530121</v>
          </cell>
        </row>
        <row r="3243">
          <cell r="O3243">
            <v>5.3504531722054374</v>
          </cell>
        </row>
        <row r="3244">
          <cell r="O3244">
            <v>1.9108761329305135</v>
          </cell>
        </row>
        <row r="3245">
          <cell r="O3245">
            <v>6.4969788519637461</v>
          </cell>
        </row>
        <row r="3246">
          <cell r="O3246">
            <v>4.5861027190332324</v>
          </cell>
        </row>
        <row r="3247">
          <cell r="O3247">
            <v>7.643504531722054</v>
          </cell>
        </row>
        <row r="3248">
          <cell r="O3248">
            <v>12.229607250755286</v>
          </cell>
        </row>
        <row r="3249">
          <cell r="O3249">
            <v>6.1148036253776432</v>
          </cell>
        </row>
        <row r="3250">
          <cell r="O3250">
            <v>8.7900302114803619</v>
          </cell>
        </row>
        <row r="3251">
          <cell r="O3251">
            <v>0</v>
          </cell>
        </row>
        <row r="3252">
          <cell r="O3252">
            <v>0</v>
          </cell>
        </row>
        <row r="3253">
          <cell r="O3253">
            <v>0</v>
          </cell>
        </row>
        <row r="3254">
          <cell r="O3254">
            <v>0</v>
          </cell>
        </row>
        <row r="3255">
          <cell r="O3255">
            <v>0</v>
          </cell>
        </row>
        <row r="3256">
          <cell r="O3256">
            <v>9.1445783132530121</v>
          </cell>
        </row>
        <row r="3257">
          <cell r="O3257">
            <v>4.0642570281124497</v>
          </cell>
        </row>
        <row r="3258">
          <cell r="O3258">
            <v>0</v>
          </cell>
        </row>
        <row r="3259">
          <cell r="O3259">
            <v>5.3504531722054374</v>
          </cell>
        </row>
        <row r="3260">
          <cell r="O3260">
            <v>1.9108761329305135</v>
          </cell>
        </row>
        <row r="3261">
          <cell r="O3261">
            <v>13.758308157099698</v>
          </cell>
        </row>
        <row r="3262">
          <cell r="O3262">
            <v>3.821752265861027</v>
          </cell>
        </row>
        <row r="3263">
          <cell r="O3263">
            <v>15.287009063444108</v>
          </cell>
        </row>
        <row r="3264">
          <cell r="O3264">
            <v>6.1148036253776432</v>
          </cell>
        </row>
        <row r="3265">
          <cell r="O3265">
            <v>3.4288667347358115</v>
          </cell>
        </row>
        <row r="3266">
          <cell r="O3266">
            <v>18.289156626506024</v>
          </cell>
        </row>
        <row r="3267">
          <cell r="O3267">
            <v>18.289156626506024</v>
          </cell>
        </row>
        <row r="3268">
          <cell r="O3268">
            <v>0</v>
          </cell>
        </row>
        <row r="3269">
          <cell r="O3269">
            <v>0</v>
          </cell>
        </row>
        <row r="3270">
          <cell r="O3270">
            <v>0</v>
          </cell>
        </row>
        <row r="3271">
          <cell r="O3271">
            <v>0</v>
          </cell>
        </row>
        <row r="3272">
          <cell r="O3272">
            <v>0</v>
          </cell>
        </row>
        <row r="3273">
          <cell r="O3273">
            <v>9.1445783132530121</v>
          </cell>
        </row>
        <row r="3274">
          <cell r="O3274">
            <v>0</v>
          </cell>
        </row>
        <row r="3275">
          <cell r="O3275">
            <v>5.3504531722054374</v>
          </cell>
        </row>
        <row r="3276">
          <cell r="O3276">
            <v>1.9108761329305135</v>
          </cell>
        </row>
        <row r="3277">
          <cell r="O3277">
            <v>24.07703927492447</v>
          </cell>
        </row>
        <row r="3278">
          <cell r="O3278">
            <v>18.726586102719033</v>
          </cell>
        </row>
        <row r="3279">
          <cell r="O3279">
            <v>1.1465256797583081</v>
          </cell>
        </row>
        <row r="3280">
          <cell r="O3280">
            <v>18.289156626506024</v>
          </cell>
        </row>
        <row r="3281">
          <cell r="O3281">
            <v>18.289156626506024</v>
          </cell>
        </row>
        <row r="3282">
          <cell r="O3282">
            <v>0</v>
          </cell>
        </row>
        <row r="3283">
          <cell r="O3283">
            <v>0</v>
          </cell>
        </row>
        <row r="3284">
          <cell r="O3284">
            <v>0</v>
          </cell>
        </row>
        <row r="3285">
          <cell r="O3285">
            <v>0</v>
          </cell>
        </row>
        <row r="3286">
          <cell r="O3286">
            <v>0</v>
          </cell>
        </row>
        <row r="3287">
          <cell r="O3287">
            <v>9.1445783132530121</v>
          </cell>
        </row>
        <row r="3288">
          <cell r="O3288">
            <v>0</v>
          </cell>
        </row>
        <row r="3289">
          <cell r="O3289">
            <v>5.3504531722054374</v>
          </cell>
        </row>
        <row r="3290">
          <cell r="O3290">
            <v>1.9108761329305135</v>
          </cell>
        </row>
        <row r="3291">
          <cell r="O3291">
            <v>12.993957703927492</v>
          </cell>
        </row>
        <row r="3292">
          <cell r="O3292">
            <v>4.5861027190332324</v>
          </cell>
        </row>
        <row r="3293">
          <cell r="O3293">
            <v>8.0256797583081561</v>
          </cell>
        </row>
        <row r="3294">
          <cell r="O3294">
            <v>11.465256797583081</v>
          </cell>
        </row>
        <row r="3295">
          <cell r="O3295">
            <v>1.1465256797583081</v>
          </cell>
        </row>
        <row r="3296">
          <cell r="O3296">
            <v>18.289156626506024</v>
          </cell>
        </row>
        <row r="3297">
          <cell r="O3297">
            <v>18.289156626506024</v>
          </cell>
        </row>
        <row r="3298">
          <cell r="O3298">
            <v>0</v>
          </cell>
        </row>
        <row r="3299">
          <cell r="O3299">
            <v>0</v>
          </cell>
        </row>
        <row r="3300">
          <cell r="O3300">
            <v>0</v>
          </cell>
        </row>
        <row r="3301">
          <cell r="O3301">
            <v>0</v>
          </cell>
        </row>
        <row r="3302">
          <cell r="O3302">
            <v>0</v>
          </cell>
        </row>
        <row r="3303">
          <cell r="O3303">
            <v>9.1445783132530121</v>
          </cell>
        </row>
        <row r="3304">
          <cell r="O3304">
            <v>0</v>
          </cell>
        </row>
        <row r="3305">
          <cell r="O3305">
            <v>4.9682779456193353</v>
          </cell>
        </row>
        <row r="3306">
          <cell r="O3306">
            <v>1.9108761329305135</v>
          </cell>
        </row>
        <row r="3307">
          <cell r="O3307">
            <v>16.433534743202415</v>
          </cell>
        </row>
        <row r="3308">
          <cell r="O3308">
            <v>18.34441087613293</v>
          </cell>
        </row>
        <row r="3309">
          <cell r="O3309">
            <v>5.7326283987915403</v>
          </cell>
        </row>
        <row r="3310">
          <cell r="O3310">
            <v>3.4288667347358115</v>
          </cell>
        </row>
        <row r="3311">
          <cell r="O3311">
            <v>18.289156626506024</v>
          </cell>
        </row>
        <row r="3312">
          <cell r="O3312">
            <v>18.289156626506024</v>
          </cell>
        </row>
        <row r="3313">
          <cell r="O3313">
            <v>0</v>
          </cell>
        </row>
        <row r="3314">
          <cell r="O3314">
            <v>0</v>
          </cell>
        </row>
        <row r="3315">
          <cell r="O3315">
            <v>0</v>
          </cell>
        </row>
        <row r="3316">
          <cell r="O3316">
            <v>0</v>
          </cell>
        </row>
        <row r="3317">
          <cell r="O3317">
            <v>0</v>
          </cell>
        </row>
        <row r="3318">
          <cell r="O3318">
            <v>9.1445783132530121</v>
          </cell>
        </row>
        <row r="3319">
          <cell r="O3319">
            <v>0</v>
          </cell>
        </row>
        <row r="3320">
          <cell r="O3320">
            <v>5.3504531722054374</v>
          </cell>
        </row>
        <row r="3321">
          <cell r="O3321">
            <v>1.9108761329305135</v>
          </cell>
        </row>
        <row r="3322">
          <cell r="O3322">
            <v>16.815709969788518</v>
          </cell>
        </row>
        <row r="3323">
          <cell r="O3323">
            <v>19.108761329305135</v>
          </cell>
        </row>
        <row r="3324">
          <cell r="O3324">
            <v>3.4288667347358115</v>
          </cell>
        </row>
        <row r="3325">
          <cell r="O3325">
            <v>18.289156626506024</v>
          </cell>
        </row>
        <row r="3326">
          <cell r="O3326">
            <v>18.289156626506024</v>
          </cell>
        </row>
        <row r="3327">
          <cell r="O3327">
            <v>0</v>
          </cell>
        </row>
        <row r="3328">
          <cell r="O3328">
            <v>0</v>
          </cell>
        </row>
        <row r="3329">
          <cell r="O3329">
            <v>0</v>
          </cell>
        </row>
        <row r="3330">
          <cell r="O3330">
            <v>0</v>
          </cell>
        </row>
        <row r="3331">
          <cell r="O3331">
            <v>0</v>
          </cell>
        </row>
        <row r="3332">
          <cell r="O3332">
            <v>9.1445783132530121</v>
          </cell>
        </row>
        <row r="3333">
          <cell r="O3333">
            <v>0</v>
          </cell>
        </row>
        <row r="3334">
          <cell r="O3334">
            <v>4.9682779456193353</v>
          </cell>
        </row>
        <row r="3335">
          <cell r="O3335">
            <v>1.9108761329305135</v>
          </cell>
        </row>
        <row r="3336">
          <cell r="O3336">
            <v>18.726586102719033</v>
          </cell>
        </row>
        <row r="3337">
          <cell r="O3337">
            <v>11.465256797583081</v>
          </cell>
        </row>
        <row r="3338">
          <cell r="O3338">
            <v>7.643504531722054</v>
          </cell>
        </row>
        <row r="3339">
          <cell r="O3339">
            <v>3.4288667347358115</v>
          </cell>
        </row>
        <row r="3340">
          <cell r="O3340">
            <v>18.289156626506024</v>
          </cell>
        </row>
        <row r="3341">
          <cell r="O3341">
            <v>18.289156626506024</v>
          </cell>
        </row>
        <row r="3342">
          <cell r="O3342">
            <v>0</v>
          </cell>
        </row>
        <row r="3343">
          <cell r="O3343">
            <v>0</v>
          </cell>
        </row>
        <row r="3344">
          <cell r="O3344">
            <v>0</v>
          </cell>
        </row>
        <row r="3345">
          <cell r="O3345">
            <v>0</v>
          </cell>
        </row>
        <row r="3346">
          <cell r="O3346">
            <v>0</v>
          </cell>
        </row>
        <row r="3347">
          <cell r="O3347">
            <v>9.1445783132530121</v>
          </cell>
        </row>
        <row r="3348">
          <cell r="O3348">
            <v>0</v>
          </cell>
        </row>
        <row r="3349">
          <cell r="O3349">
            <v>4.9682779456193353</v>
          </cell>
        </row>
        <row r="3350">
          <cell r="O3350">
            <v>1.9108761329305135</v>
          </cell>
        </row>
        <row r="3351">
          <cell r="O3351">
            <v>22.166163141993955</v>
          </cell>
        </row>
        <row r="3352">
          <cell r="O3352">
            <v>22.166163141993955</v>
          </cell>
        </row>
        <row r="3353">
          <cell r="O3353">
            <v>3.4288667347358115</v>
          </cell>
        </row>
        <row r="3354">
          <cell r="O3354">
            <v>18.289156626506024</v>
          </cell>
        </row>
        <row r="3355">
          <cell r="O3355">
            <v>18.289156626506024</v>
          </cell>
        </row>
        <row r="3356">
          <cell r="O3356">
            <v>0</v>
          </cell>
        </row>
        <row r="3357">
          <cell r="O3357">
            <v>0</v>
          </cell>
        </row>
        <row r="3358">
          <cell r="O3358">
            <v>0</v>
          </cell>
        </row>
        <row r="3359">
          <cell r="O3359">
            <v>0</v>
          </cell>
        </row>
        <row r="3360">
          <cell r="O3360">
            <v>0</v>
          </cell>
        </row>
        <row r="3361">
          <cell r="O3361">
            <v>9.1445783132530121</v>
          </cell>
        </row>
        <row r="3362">
          <cell r="O3362">
            <v>0</v>
          </cell>
        </row>
        <row r="3363">
          <cell r="O3363">
            <v>5.3504531722054374</v>
          </cell>
        </row>
        <row r="3364">
          <cell r="O3364">
            <v>1.9108761329305135</v>
          </cell>
        </row>
        <row r="3365">
          <cell r="O3365">
            <v>21.401812688821749</v>
          </cell>
        </row>
        <row r="3366">
          <cell r="O3366">
            <v>22.548338368580058</v>
          </cell>
        </row>
        <row r="3367">
          <cell r="O3367">
            <v>3.4288667347358115</v>
          </cell>
        </row>
        <row r="3368">
          <cell r="O3368">
            <v>18.289156626506024</v>
          </cell>
        </row>
        <row r="3369">
          <cell r="O3369">
            <v>18.289156626506024</v>
          </cell>
        </row>
        <row r="3370">
          <cell r="O3370">
            <v>0</v>
          </cell>
        </row>
        <row r="3371">
          <cell r="O3371">
            <v>0</v>
          </cell>
        </row>
        <row r="3372">
          <cell r="O3372">
            <v>0</v>
          </cell>
        </row>
        <row r="3373">
          <cell r="O3373">
            <v>0</v>
          </cell>
        </row>
        <row r="3374">
          <cell r="O3374">
            <v>0</v>
          </cell>
        </row>
        <row r="3375">
          <cell r="O3375">
            <v>9.1445783132530121</v>
          </cell>
        </row>
        <row r="3376">
          <cell r="O3376">
            <v>0</v>
          </cell>
        </row>
        <row r="3377">
          <cell r="O3377">
            <v>4.2039274924471295</v>
          </cell>
        </row>
        <row r="3378">
          <cell r="O3378">
            <v>0</v>
          </cell>
        </row>
        <row r="3379">
          <cell r="O3379">
            <v>5.3504531722054374</v>
          </cell>
        </row>
        <row r="3380">
          <cell r="O3380">
            <v>1.9108761329305135</v>
          </cell>
        </row>
        <row r="3381">
          <cell r="O3381">
            <v>0</v>
          </cell>
        </row>
        <row r="3382">
          <cell r="O3382">
            <v>11.847432024169184</v>
          </cell>
        </row>
        <row r="3383">
          <cell r="O3383">
            <v>18.289156626506024</v>
          </cell>
        </row>
        <row r="3384">
          <cell r="O3384">
            <v>18.289156626506024</v>
          </cell>
        </row>
        <row r="3385">
          <cell r="O3385">
            <v>0</v>
          </cell>
        </row>
        <row r="3386">
          <cell r="O3386">
            <v>0</v>
          </cell>
        </row>
        <row r="3387">
          <cell r="O3387">
            <v>0</v>
          </cell>
        </row>
        <row r="3388">
          <cell r="O3388">
            <v>0</v>
          </cell>
        </row>
        <row r="3389">
          <cell r="O3389">
            <v>0</v>
          </cell>
        </row>
        <row r="3390">
          <cell r="O3390">
            <v>9.1445783132530121</v>
          </cell>
        </row>
        <row r="3391">
          <cell r="O3391">
            <v>0</v>
          </cell>
        </row>
        <row r="3392">
          <cell r="O3392">
            <v>6.4969788519637461</v>
          </cell>
        </row>
        <row r="3393">
          <cell r="O3393">
            <v>1.9108761329305135</v>
          </cell>
        </row>
        <row r="3394">
          <cell r="O3394">
            <v>18.289156626506024</v>
          </cell>
        </row>
        <row r="3395">
          <cell r="O3395">
            <v>18.289156626506024</v>
          </cell>
        </row>
        <row r="3396">
          <cell r="O3396">
            <v>0</v>
          </cell>
        </row>
        <row r="3397">
          <cell r="O3397">
            <v>0</v>
          </cell>
        </row>
        <row r="3398">
          <cell r="O3398">
            <v>0</v>
          </cell>
        </row>
        <row r="3399">
          <cell r="O3399">
            <v>0</v>
          </cell>
        </row>
        <row r="3400">
          <cell r="O3400">
            <v>0</v>
          </cell>
        </row>
        <row r="3401">
          <cell r="O3401">
            <v>9.1703470031545748</v>
          </cell>
        </row>
        <row r="3402">
          <cell r="O3402">
            <v>8.68769716088328</v>
          </cell>
        </row>
        <row r="3403">
          <cell r="O3403">
            <v>4.371428571428571</v>
          </cell>
        </row>
        <row r="3404">
          <cell r="O3404">
            <v>4.371428571428571</v>
          </cell>
        </row>
        <row r="3405">
          <cell r="O3405">
            <v>9.1703470031545748</v>
          </cell>
        </row>
        <row r="3406">
          <cell r="O3406">
            <v>12.066246056782335</v>
          </cell>
        </row>
        <row r="3407">
          <cell r="O3407">
            <v>11.58359621451104</v>
          </cell>
        </row>
        <row r="3408">
          <cell r="O3408">
            <v>12.066246056782335</v>
          </cell>
        </row>
        <row r="3409">
          <cell r="O3409">
            <v>12.066246056782335</v>
          </cell>
        </row>
        <row r="3410">
          <cell r="O3410">
            <v>11.100946372239747</v>
          </cell>
        </row>
        <row r="3411">
          <cell r="O3411">
            <v>12.066246056782335</v>
          </cell>
        </row>
        <row r="3412">
          <cell r="O3412">
            <v>12.066246056782335</v>
          </cell>
        </row>
        <row r="3413">
          <cell r="O3413">
            <v>4.371428571428571</v>
          </cell>
        </row>
        <row r="3414">
          <cell r="O3414">
            <v>4.371428571428571</v>
          </cell>
        </row>
        <row r="3415">
          <cell r="O3415">
            <v>11.100946372239747</v>
          </cell>
        </row>
        <row r="3416">
          <cell r="O3416">
            <v>10.618296529968454</v>
          </cell>
        </row>
        <row r="3417">
          <cell r="O3417">
            <v>0</v>
          </cell>
        </row>
        <row r="3418">
          <cell r="O3418">
            <v>12.548895899053628</v>
          </cell>
        </row>
        <row r="3419">
          <cell r="O3419">
            <v>12.066246056782335</v>
          </cell>
        </row>
        <row r="3420">
          <cell r="O3420">
            <v>12.066246056782335</v>
          </cell>
        </row>
        <row r="3421">
          <cell r="O3421">
            <v>13.031545741324921</v>
          </cell>
        </row>
        <row r="3422">
          <cell r="O3422">
            <v>23.339483394833948</v>
          </cell>
        </row>
        <row r="3423">
          <cell r="O3423">
            <v>12.066246056782335</v>
          </cell>
        </row>
        <row r="3424">
          <cell r="O3424">
            <v>12.249652996845425</v>
          </cell>
        </row>
        <row r="3425">
          <cell r="O3425">
            <v>3.157142857142857</v>
          </cell>
        </row>
        <row r="3426">
          <cell r="O3426">
            <v>16.804428044280442</v>
          </cell>
        </row>
        <row r="3427">
          <cell r="O3427">
            <v>16.804428044280442</v>
          </cell>
        </row>
        <row r="3428">
          <cell r="O3428">
            <v>3.0354703283791507</v>
          </cell>
        </row>
        <row r="3429">
          <cell r="O3429">
            <v>4.247002398081535</v>
          </cell>
        </row>
        <row r="3430">
          <cell r="O3430">
            <v>14.00369003690037</v>
          </cell>
        </row>
        <row r="3431">
          <cell r="O3431">
            <v>18.671586715867157</v>
          </cell>
        </row>
        <row r="3432">
          <cell r="O3432">
            <v>4.371428571428571</v>
          </cell>
        </row>
        <row r="3433">
          <cell r="O3433">
            <v>8.68769716088328</v>
          </cell>
        </row>
        <row r="3434">
          <cell r="O3434">
            <v>11.100946372239747</v>
          </cell>
        </row>
        <row r="3435">
          <cell r="O3435">
            <v>4.2166666666666668</v>
          </cell>
        </row>
        <row r="3436">
          <cell r="O3436">
            <v>4.6142857142857139</v>
          </cell>
        </row>
        <row r="3437">
          <cell r="O3437">
            <v>6.0714285714285712</v>
          </cell>
        </row>
        <row r="3438">
          <cell r="O3438">
            <v>4.6142857142857139</v>
          </cell>
        </row>
        <row r="3439">
          <cell r="O3439">
            <v>6.2551419558359624</v>
          </cell>
        </row>
        <row r="3440">
          <cell r="O3440">
            <v>11.303093525179856</v>
          </cell>
        </row>
        <row r="3441">
          <cell r="O3441">
            <v>5.6373020384184223</v>
          </cell>
        </row>
        <row r="3442">
          <cell r="O3442">
            <v>11.58359621451104</v>
          </cell>
        </row>
        <row r="3443">
          <cell r="O3443">
            <v>6.0714285714285712</v>
          </cell>
        </row>
        <row r="3444">
          <cell r="O3444">
            <v>14.085714285714285</v>
          </cell>
        </row>
        <row r="3445">
          <cell r="O3445">
            <v>2.6714285714285713</v>
          </cell>
        </row>
        <row r="3446">
          <cell r="O3446">
            <v>2.9142857142857141</v>
          </cell>
        </row>
        <row r="3447">
          <cell r="O3447">
            <v>1.4571428571428571</v>
          </cell>
        </row>
        <row r="3448">
          <cell r="O3448">
            <v>1.4571428571428571</v>
          </cell>
        </row>
        <row r="3449">
          <cell r="O3449">
            <v>12.066246056782335</v>
          </cell>
        </row>
        <row r="3450">
          <cell r="O3450">
            <v>17.7380073800738</v>
          </cell>
        </row>
        <row r="3451">
          <cell r="O3451">
            <v>16.804428044280442</v>
          </cell>
        </row>
        <row r="3452">
          <cell r="O3452">
            <v>8.1772151898734187</v>
          </cell>
        </row>
        <row r="3453">
          <cell r="O3453">
            <v>2.9142857142857141</v>
          </cell>
        </row>
        <row r="3454">
          <cell r="O3454">
            <v>2.9142857142857141</v>
          </cell>
        </row>
        <row r="3455">
          <cell r="O3455">
            <v>6.0714285714285712</v>
          </cell>
        </row>
        <row r="3456">
          <cell r="O3456">
            <v>4.6142857142857139</v>
          </cell>
        </row>
        <row r="3457">
          <cell r="O3457">
            <v>36.198738170347006</v>
          </cell>
        </row>
        <row r="3458">
          <cell r="O3458">
            <v>12.066246056782335</v>
          </cell>
        </row>
        <row r="3459">
          <cell r="O3459">
            <v>8.68769716088328</v>
          </cell>
        </row>
        <row r="3460">
          <cell r="O3460">
            <v>8.68769716088328</v>
          </cell>
        </row>
        <row r="3461">
          <cell r="O3461">
            <v>17.7380073800738</v>
          </cell>
        </row>
        <row r="3462">
          <cell r="O3462">
            <v>22.405904059040591</v>
          </cell>
        </row>
        <row r="3463">
          <cell r="O3463">
            <v>22.405904059040591</v>
          </cell>
        </row>
        <row r="3464">
          <cell r="O3464">
            <v>16.804428044280442</v>
          </cell>
        </row>
        <row r="3465">
          <cell r="O3465">
            <v>17.7380073800738</v>
          </cell>
        </row>
        <row r="3466">
          <cell r="O3466">
            <v>8.4022140221402211</v>
          </cell>
        </row>
        <row r="3467">
          <cell r="O3467">
            <v>9.3357933579335786</v>
          </cell>
        </row>
        <row r="3468">
          <cell r="O3468">
            <v>4.371428571428571</v>
          </cell>
        </row>
        <row r="3469">
          <cell r="O3469">
            <v>12.066246056782335</v>
          </cell>
        </row>
        <row r="3470">
          <cell r="O3470">
            <v>9.1703470031545748</v>
          </cell>
        </row>
        <row r="3471">
          <cell r="O3471">
            <v>8.68769716088328</v>
          </cell>
        </row>
        <row r="3472">
          <cell r="O3472">
            <v>5.5857142857142854</v>
          </cell>
        </row>
        <row r="3473">
          <cell r="O3473">
            <v>9.1703470031545748</v>
          </cell>
        </row>
        <row r="3474">
          <cell r="O3474">
            <v>9.1703470031545748</v>
          </cell>
        </row>
        <row r="3475">
          <cell r="O3475">
            <v>8.68769716088328</v>
          </cell>
        </row>
        <row r="3476">
          <cell r="O3476">
            <v>12.066246056782335</v>
          </cell>
        </row>
        <row r="3477">
          <cell r="O3477">
            <v>12.066246056782335</v>
          </cell>
        </row>
        <row r="3478">
          <cell r="O3478">
            <v>4.6142857142857139</v>
          </cell>
        </row>
        <row r="3479">
          <cell r="O3479">
            <v>4.6142857142857139</v>
          </cell>
        </row>
        <row r="3480">
          <cell r="O3480">
            <v>9.1703470031545748</v>
          </cell>
        </row>
        <row r="3481">
          <cell r="O3481">
            <v>9.1703470031545748</v>
          </cell>
        </row>
        <row r="3482">
          <cell r="O3482">
            <v>12.066246056782335</v>
          </cell>
        </row>
        <row r="3483">
          <cell r="O3483">
            <v>4.6142857142857139</v>
          </cell>
        </row>
        <row r="3484">
          <cell r="O3484">
            <v>3.8857142857142857</v>
          </cell>
        </row>
        <row r="3485">
          <cell r="O3485">
            <v>4.6142857142857139</v>
          </cell>
        </row>
        <row r="3486">
          <cell r="O3486">
            <v>4.6142857142857139</v>
          </cell>
        </row>
        <row r="3487">
          <cell r="O3487">
            <v>4.6142857142857139</v>
          </cell>
        </row>
        <row r="3488">
          <cell r="O3488">
            <v>12.385714285714286</v>
          </cell>
        </row>
        <row r="3489">
          <cell r="O3489">
            <v>9.1703470031545748</v>
          </cell>
        </row>
        <row r="3490">
          <cell r="O3490">
            <v>4.6142857142857139</v>
          </cell>
        </row>
        <row r="3491">
          <cell r="O3491">
            <v>4.6142857142857139</v>
          </cell>
        </row>
        <row r="3492">
          <cell r="O3492">
            <v>6.3142857142857141</v>
          </cell>
        </row>
        <row r="3493">
          <cell r="O3493">
            <v>15.774580335731414</v>
          </cell>
        </row>
        <row r="3494">
          <cell r="O3494">
            <v>4.6142857142857139</v>
          </cell>
        </row>
        <row r="3495">
          <cell r="O3495">
            <v>18.34069400630915</v>
          </cell>
        </row>
        <row r="3496">
          <cell r="O3496">
            <v>24.615141955835963</v>
          </cell>
        </row>
        <row r="3497">
          <cell r="O3497">
            <v>9.1703470031545748</v>
          </cell>
        </row>
        <row r="3498">
          <cell r="O3498">
            <v>9.1703470031545748</v>
          </cell>
        </row>
        <row r="3499">
          <cell r="O3499">
            <v>9.1703470031545748</v>
          </cell>
        </row>
        <row r="3500">
          <cell r="O3500">
            <v>10.135646687697161</v>
          </cell>
        </row>
        <row r="3501">
          <cell r="O3501">
            <v>4.6142857142857139</v>
          </cell>
        </row>
        <row r="3502">
          <cell r="O3502">
            <v>1.0668202274882796</v>
          </cell>
        </row>
        <row r="3503">
          <cell r="O3503">
            <v>0</v>
          </cell>
        </row>
        <row r="3504">
          <cell r="O3504">
            <v>0</v>
          </cell>
        </row>
        <row r="3505">
          <cell r="O3505">
            <v>0</v>
          </cell>
        </row>
        <row r="3506">
          <cell r="O3506">
            <v>0</v>
          </cell>
        </row>
        <row r="3507">
          <cell r="O3507">
            <v>0</v>
          </cell>
        </row>
        <row r="3508">
          <cell r="O3508">
            <v>0</v>
          </cell>
        </row>
        <row r="3509">
          <cell r="O3509">
            <v>0</v>
          </cell>
        </row>
        <row r="3510">
          <cell r="O3510">
            <v>0</v>
          </cell>
        </row>
        <row r="3511">
          <cell r="O3511">
            <v>0</v>
          </cell>
        </row>
        <row r="3512">
          <cell r="O3512">
            <v>0</v>
          </cell>
        </row>
        <row r="3513">
          <cell r="O3513">
            <v>0</v>
          </cell>
        </row>
        <row r="3514">
          <cell r="O3514">
            <v>0</v>
          </cell>
        </row>
        <row r="3515">
          <cell r="O3515">
            <v>6.0714285714285712</v>
          </cell>
        </row>
        <row r="3516">
          <cell r="O3516">
            <v>4.371428571428571</v>
          </cell>
        </row>
        <row r="3517">
          <cell r="O3517">
            <v>4.371428571428571</v>
          </cell>
        </row>
        <row r="3518">
          <cell r="O3518">
            <v>6.5571428571428569</v>
          </cell>
        </row>
        <row r="3519">
          <cell r="O3519">
            <v>3.6428571428571428</v>
          </cell>
        </row>
        <row r="3520">
          <cell r="O3520">
            <v>2.1857142857142855</v>
          </cell>
        </row>
        <row r="3521">
          <cell r="O3521">
            <v>6.3142857142857141</v>
          </cell>
        </row>
        <row r="3522">
          <cell r="O3522">
            <v>6.0714285714285712</v>
          </cell>
        </row>
        <row r="3523">
          <cell r="O3523">
            <v>6.0714285714285712</v>
          </cell>
        </row>
        <row r="3524">
          <cell r="O3524">
            <v>6.0714285714285712</v>
          </cell>
        </row>
        <row r="3525">
          <cell r="O3525">
            <v>4.6142857142857139</v>
          </cell>
        </row>
        <row r="3526">
          <cell r="O3526">
            <v>4.6142857142857139</v>
          </cell>
        </row>
        <row r="3527">
          <cell r="O3527">
            <v>6.0714285714285712</v>
          </cell>
        </row>
        <row r="3528">
          <cell r="O3528">
            <v>4.6142857142857139</v>
          </cell>
        </row>
        <row r="3529">
          <cell r="O3529">
            <v>0</v>
          </cell>
        </row>
        <row r="3530">
          <cell r="O3530">
            <v>0</v>
          </cell>
        </row>
        <row r="3531">
          <cell r="O3531">
            <v>0</v>
          </cell>
        </row>
        <row r="3532">
          <cell r="O3532">
            <v>0</v>
          </cell>
        </row>
        <row r="3533">
          <cell r="O3533">
            <v>0</v>
          </cell>
        </row>
        <row r="3534">
          <cell r="O3534">
            <v>0</v>
          </cell>
        </row>
        <row r="3535">
          <cell r="O3535">
            <v>0</v>
          </cell>
        </row>
        <row r="3536">
          <cell r="O3536">
            <v>0</v>
          </cell>
        </row>
        <row r="3537">
          <cell r="O3537">
            <v>0</v>
          </cell>
        </row>
        <row r="3538">
          <cell r="O3538">
            <v>0</v>
          </cell>
        </row>
        <row r="3539">
          <cell r="O3539">
            <v>0</v>
          </cell>
        </row>
        <row r="3540">
          <cell r="O3540">
            <v>0</v>
          </cell>
        </row>
        <row r="3541">
          <cell r="O3541">
            <v>0</v>
          </cell>
        </row>
        <row r="3542">
          <cell r="O3542">
            <v>0</v>
          </cell>
        </row>
        <row r="3543">
          <cell r="O3543">
            <v>0</v>
          </cell>
        </row>
        <row r="3544">
          <cell r="O3544">
            <v>0</v>
          </cell>
        </row>
        <row r="3545">
          <cell r="O3545">
            <v>0</v>
          </cell>
        </row>
        <row r="3546">
          <cell r="O3546">
            <v>0</v>
          </cell>
        </row>
        <row r="3547">
          <cell r="O3547">
            <v>0</v>
          </cell>
        </row>
        <row r="3548">
          <cell r="O3548">
            <v>0</v>
          </cell>
        </row>
        <row r="3549">
          <cell r="O3549">
            <v>0</v>
          </cell>
        </row>
        <row r="3550">
          <cell r="O3550">
            <v>0</v>
          </cell>
        </row>
        <row r="3551">
          <cell r="O3551">
            <v>0</v>
          </cell>
        </row>
        <row r="3552">
          <cell r="O3552">
            <v>0</v>
          </cell>
        </row>
        <row r="3553">
          <cell r="O3553">
            <v>0</v>
          </cell>
        </row>
        <row r="3554">
          <cell r="O3554">
            <v>0</v>
          </cell>
        </row>
        <row r="3555">
          <cell r="O3555">
            <v>0</v>
          </cell>
        </row>
        <row r="3556">
          <cell r="O3556">
            <v>0</v>
          </cell>
        </row>
        <row r="3557">
          <cell r="O3557">
            <v>0</v>
          </cell>
        </row>
        <row r="3558">
          <cell r="O3558">
            <v>0</v>
          </cell>
        </row>
        <row r="3559">
          <cell r="O3559">
            <v>0</v>
          </cell>
        </row>
        <row r="3560">
          <cell r="O3560">
            <v>0</v>
          </cell>
        </row>
        <row r="3561">
          <cell r="O3561">
            <v>0</v>
          </cell>
        </row>
        <row r="3562">
          <cell r="O3562">
            <v>0</v>
          </cell>
        </row>
        <row r="3563">
          <cell r="O3563">
            <v>0</v>
          </cell>
        </row>
        <row r="3564">
          <cell r="O3564">
            <v>0</v>
          </cell>
        </row>
        <row r="3565">
          <cell r="O3565">
            <v>0</v>
          </cell>
        </row>
        <row r="3566">
          <cell r="O3566">
            <v>0</v>
          </cell>
        </row>
        <row r="3567">
          <cell r="O3567">
            <v>0</v>
          </cell>
        </row>
        <row r="3568">
          <cell r="O3568">
            <v>0</v>
          </cell>
        </row>
        <row r="3569">
          <cell r="O3569">
            <v>0</v>
          </cell>
        </row>
        <row r="3570">
          <cell r="O3570">
            <v>0</v>
          </cell>
        </row>
        <row r="3571">
          <cell r="O3571">
            <v>0</v>
          </cell>
        </row>
        <row r="3572">
          <cell r="O3572">
            <v>0</v>
          </cell>
        </row>
        <row r="3573">
          <cell r="O3573">
            <v>0</v>
          </cell>
        </row>
        <row r="3574">
          <cell r="O3574">
            <v>0</v>
          </cell>
        </row>
        <row r="3575">
          <cell r="O3575">
            <v>0</v>
          </cell>
        </row>
        <row r="3576">
          <cell r="O3576">
            <v>0</v>
          </cell>
        </row>
        <row r="3577">
          <cell r="O3577">
            <v>0</v>
          </cell>
        </row>
        <row r="3578">
          <cell r="O3578">
            <v>0</v>
          </cell>
        </row>
        <row r="3579">
          <cell r="O3579">
            <v>0</v>
          </cell>
        </row>
        <row r="3580">
          <cell r="O3580">
            <v>0</v>
          </cell>
        </row>
        <row r="3581">
          <cell r="O3581">
            <v>0</v>
          </cell>
        </row>
        <row r="3582">
          <cell r="O3582">
            <v>0</v>
          </cell>
        </row>
        <row r="3583">
          <cell r="O3583">
            <v>0</v>
          </cell>
        </row>
        <row r="3584">
          <cell r="O3584">
            <v>0</v>
          </cell>
        </row>
        <row r="3585">
          <cell r="O3585">
            <v>0</v>
          </cell>
        </row>
        <row r="3586">
          <cell r="O3586">
            <v>0</v>
          </cell>
        </row>
        <row r="3587">
          <cell r="O3587">
            <v>0</v>
          </cell>
        </row>
        <row r="3588">
          <cell r="O3588">
            <v>0</v>
          </cell>
        </row>
        <row r="3589">
          <cell r="O3589">
            <v>0</v>
          </cell>
        </row>
        <row r="3590">
          <cell r="O3590">
            <v>0</v>
          </cell>
        </row>
        <row r="3591">
          <cell r="O3591">
            <v>0</v>
          </cell>
        </row>
        <row r="3592">
          <cell r="O3592">
            <v>0</v>
          </cell>
        </row>
        <row r="3593">
          <cell r="O3593">
            <v>0</v>
          </cell>
        </row>
        <row r="3594">
          <cell r="O3594">
            <v>0</v>
          </cell>
        </row>
        <row r="3595">
          <cell r="O3595">
            <v>0</v>
          </cell>
        </row>
        <row r="3596">
          <cell r="O3596">
            <v>0</v>
          </cell>
        </row>
        <row r="3597">
          <cell r="O3597">
            <v>0</v>
          </cell>
        </row>
        <row r="3598">
          <cell r="O3598">
            <v>0</v>
          </cell>
        </row>
        <row r="3599">
          <cell r="O3599">
            <v>0</v>
          </cell>
        </row>
        <row r="3600">
          <cell r="O3600">
            <v>0</v>
          </cell>
        </row>
        <row r="3601">
          <cell r="O3601">
            <v>0</v>
          </cell>
        </row>
        <row r="3602">
          <cell r="O3602">
            <v>0</v>
          </cell>
        </row>
        <row r="3603">
          <cell r="O3603">
            <v>0</v>
          </cell>
        </row>
        <row r="3604">
          <cell r="O3604">
            <v>0</v>
          </cell>
        </row>
        <row r="3605">
          <cell r="O3605">
            <v>0</v>
          </cell>
        </row>
        <row r="3606">
          <cell r="O3606">
            <v>0</v>
          </cell>
        </row>
        <row r="3607">
          <cell r="O3607">
            <v>0</v>
          </cell>
        </row>
        <row r="3608">
          <cell r="O3608">
            <v>0</v>
          </cell>
        </row>
        <row r="3609">
          <cell r="O3609">
            <v>0</v>
          </cell>
        </row>
        <row r="3610">
          <cell r="O3610">
            <v>0</v>
          </cell>
        </row>
        <row r="3611">
          <cell r="O3611">
            <v>0</v>
          </cell>
        </row>
        <row r="3612">
          <cell r="O3612">
            <v>0</v>
          </cell>
        </row>
        <row r="3613">
          <cell r="O3613">
            <v>0</v>
          </cell>
        </row>
        <row r="3614">
          <cell r="O3614">
            <v>0</v>
          </cell>
        </row>
        <row r="3615">
          <cell r="O3615">
            <v>0</v>
          </cell>
        </row>
        <row r="3616">
          <cell r="O3616">
            <v>0</v>
          </cell>
        </row>
        <row r="3617">
          <cell r="O3617">
            <v>0</v>
          </cell>
        </row>
        <row r="3618">
          <cell r="O3618">
            <v>0</v>
          </cell>
        </row>
        <row r="3619">
          <cell r="O3619">
            <v>0</v>
          </cell>
        </row>
        <row r="3620">
          <cell r="O3620">
            <v>0</v>
          </cell>
        </row>
        <row r="3621">
          <cell r="O3621">
            <v>0</v>
          </cell>
        </row>
        <row r="3622">
          <cell r="O3622">
            <v>0</v>
          </cell>
        </row>
        <row r="3623">
          <cell r="O3623">
            <v>0</v>
          </cell>
        </row>
        <row r="3624">
          <cell r="O3624">
            <v>0</v>
          </cell>
        </row>
        <row r="3625">
          <cell r="O3625">
            <v>0</v>
          </cell>
        </row>
        <row r="3626">
          <cell r="O3626">
            <v>19.667981072555204</v>
          </cell>
        </row>
        <row r="3627">
          <cell r="O3627">
            <v>6.5581268882175223</v>
          </cell>
        </row>
        <row r="3628">
          <cell r="O3628">
            <v>2.4726737160120842</v>
          </cell>
        </row>
        <row r="3629">
          <cell r="O3629">
            <v>3.6911979871094482</v>
          </cell>
        </row>
        <row r="3630">
          <cell r="O3630">
            <v>4.971293375394322</v>
          </cell>
        </row>
        <row r="3631">
          <cell r="O3631">
            <v>11.132764350453172</v>
          </cell>
        </row>
        <row r="3632">
          <cell r="O3632">
            <v>18.07578313253012</v>
          </cell>
        </row>
        <row r="3633">
          <cell r="O3633">
            <v>3.322530120481928</v>
          </cell>
        </row>
        <row r="3634">
          <cell r="O3634">
            <v>3.322530120481928</v>
          </cell>
        </row>
        <row r="3635">
          <cell r="O3635">
            <v>0</v>
          </cell>
        </row>
        <row r="3636">
          <cell r="O3636">
            <v>8.8180126182965299</v>
          </cell>
        </row>
        <row r="3637">
          <cell r="O3637">
            <v>10.063249211356467</v>
          </cell>
        </row>
        <row r="3638">
          <cell r="O3638">
            <v>9.2766666666666673</v>
          </cell>
        </row>
        <row r="3639">
          <cell r="O3639">
            <v>7.0291768062084143</v>
          </cell>
        </row>
        <row r="3640">
          <cell r="O3640">
            <v>3.7581553398058252</v>
          </cell>
        </row>
        <row r="3641">
          <cell r="O3641">
            <v>9.4068454258675072</v>
          </cell>
        </row>
        <row r="3642">
          <cell r="O3642">
            <v>12.65764350453172</v>
          </cell>
        </row>
        <row r="3643">
          <cell r="O3643">
            <v>9.3730599369085184</v>
          </cell>
        </row>
        <row r="3644">
          <cell r="O3644">
            <v>9.3247949526813887</v>
          </cell>
        </row>
        <row r="3645">
          <cell r="O3645">
            <v>9.6819558359621443</v>
          </cell>
        </row>
        <row r="3646">
          <cell r="O3646">
            <v>9.70608832807571</v>
          </cell>
        </row>
        <row r="3647">
          <cell r="O3647">
            <v>10.024637223974763</v>
          </cell>
        </row>
        <row r="3648">
          <cell r="O3648">
            <v>19.361667495474883</v>
          </cell>
        </row>
        <row r="3649">
          <cell r="O3649">
            <v>9.1993059936908512</v>
          </cell>
        </row>
        <row r="3650">
          <cell r="O3650">
            <v>14.190166163141994</v>
          </cell>
        </row>
        <row r="3651">
          <cell r="O3651">
            <v>0</v>
          </cell>
        </row>
        <row r="3652">
          <cell r="O3652">
            <v>3.580981873111782</v>
          </cell>
        </row>
        <row r="3653">
          <cell r="O3653">
            <v>0.26670505687206991</v>
          </cell>
        </row>
        <row r="3654">
          <cell r="O3654">
            <v>9.1510410094637233</v>
          </cell>
        </row>
        <row r="3655">
          <cell r="O3655">
            <v>9.3392744479495278</v>
          </cell>
        </row>
        <row r="3656">
          <cell r="O3656">
            <v>22.051510574018128</v>
          </cell>
        </row>
        <row r="3657">
          <cell r="O3657">
            <v>10.130820189274447</v>
          </cell>
        </row>
        <row r="3658">
          <cell r="O3658">
            <v>9.3199684542586745</v>
          </cell>
        </row>
        <row r="3659">
          <cell r="O3659">
            <v>9.6529968454258679</v>
          </cell>
        </row>
        <row r="3660">
          <cell r="O3660">
            <v>9.5854258675078867</v>
          </cell>
        </row>
        <row r="3661">
          <cell r="O3661">
            <v>9.6529968454258679</v>
          </cell>
        </row>
        <row r="3662">
          <cell r="O3662">
            <v>9.7948594377510041</v>
          </cell>
        </row>
        <row r="3663">
          <cell r="O3663">
            <v>4.7975394321766558</v>
          </cell>
        </row>
        <row r="3664">
          <cell r="O3664">
            <v>3.431640378548896</v>
          </cell>
        </row>
        <row r="3665">
          <cell r="O3665">
            <v>12.995404924648724</v>
          </cell>
        </row>
        <row r="3666">
          <cell r="O3666">
            <v>9.7302208201892739</v>
          </cell>
        </row>
        <row r="3667">
          <cell r="O3667">
            <v>6.9803614457831333</v>
          </cell>
        </row>
        <row r="3668">
          <cell r="O3668">
            <v>5.5659999999999998</v>
          </cell>
        </row>
        <row r="3669">
          <cell r="O3669">
            <v>1.9632799999999999</v>
          </cell>
        </row>
        <row r="3670">
          <cell r="O3670">
            <v>2.9567469879518073</v>
          </cell>
        </row>
        <row r="3671">
          <cell r="O3671">
            <v>3.4749397590361446</v>
          </cell>
        </row>
        <row r="3672">
          <cell r="O3672">
            <v>6.6145783132530118</v>
          </cell>
        </row>
        <row r="3673">
          <cell r="O3673">
            <v>3.0764800000000001</v>
          </cell>
        </row>
        <row r="3674">
          <cell r="O3674">
            <v>1.9632799999999999</v>
          </cell>
        </row>
        <row r="3675">
          <cell r="O3675">
            <v>2.8043373493975907</v>
          </cell>
        </row>
        <row r="3676">
          <cell r="O3676">
            <v>2.834819277108434</v>
          </cell>
        </row>
        <row r="3677">
          <cell r="O3677">
            <v>10.111514195583595</v>
          </cell>
        </row>
        <row r="3678">
          <cell r="O3678">
            <v>12.940453172205437</v>
          </cell>
        </row>
        <row r="3679">
          <cell r="O3679">
            <v>9.8460567823343847</v>
          </cell>
        </row>
        <row r="3680">
          <cell r="O3680">
            <v>10.043943217665614</v>
          </cell>
        </row>
        <row r="3681">
          <cell r="O3681">
            <v>9.9715457413249204</v>
          </cell>
        </row>
        <row r="3682">
          <cell r="O3682">
            <v>10.092208201892744</v>
          </cell>
        </row>
        <row r="3683">
          <cell r="O3683">
            <v>10.439716088328074</v>
          </cell>
        </row>
        <row r="3684">
          <cell r="O3684">
            <v>9.3441009463722402</v>
          </cell>
        </row>
        <row r="3685">
          <cell r="O3685">
            <v>9.7495268138801254</v>
          </cell>
        </row>
        <row r="3686">
          <cell r="O3686">
            <v>12.961116257301367</v>
          </cell>
        </row>
        <row r="3687">
          <cell r="O3687">
            <v>11.151873111782477</v>
          </cell>
        </row>
        <row r="3688">
          <cell r="O3688">
            <v>5.9742829827915864</v>
          </cell>
        </row>
        <row r="3689">
          <cell r="O3689">
            <v>14.560200803212851</v>
          </cell>
        </row>
        <row r="3690">
          <cell r="O3690">
            <v>9.7350473186119881</v>
          </cell>
        </row>
        <row r="3691">
          <cell r="O3691">
            <v>12.753141486810552</v>
          </cell>
        </row>
        <row r="3692">
          <cell r="O3692">
            <v>14.977447129909365</v>
          </cell>
        </row>
        <row r="3693">
          <cell r="O3693">
            <v>10.521766561514196</v>
          </cell>
        </row>
        <row r="3694">
          <cell r="O3694">
            <v>12.607529976019185</v>
          </cell>
        </row>
        <row r="3695">
          <cell r="O3695">
            <v>12.571127098321343</v>
          </cell>
        </row>
        <row r="3696">
          <cell r="O3696">
            <v>14.912944444444442</v>
          </cell>
        </row>
        <row r="3697">
          <cell r="O3697">
            <v>19.087242206235011</v>
          </cell>
        </row>
        <row r="3698">
          <cell r="O3698">
            <v>10.038714859437752</v>
          </cell>
        </row>
        <row r="3699">
          <cell r="O3699">
            <v>9.8295468277945606</v>
          </cell>
        </row>
        <row r="3700">
          <cell r="O3700">
            <v>15.728166666666665</v>
          </cell>
        </row>
        <row r="3701">
          <cell r="O3701">
            <v>9.5408433734939759</v>
          </cell>
        </row>
        <row r="3702">
          <cell r="O3702">
            <v>13.137710843373494</v>
          </cell>
        </row>
        <row r="3703">
          <cell r="O3703">
            <v>3.6883132530120482</v>
          </cell>
        </row>
        <row r="3704">
          <cell r="O3704">
            <v>1.9813253012048195</v>
          </cell>
        </row>
        <row r="3705">
          <cell r="O3705">
            <v>5.5115647921760393</v>
          </cell>
        </row>
        <row r="3706">
          <cell r="O3706">
            <v>22.648072289156627</v>
          </cell>
        </row>
        <row r="3707">
          <cell r="O3707">
            <v>2.8957831325301204</v>
          </cell>
        </row>
        <row r="3708">
          <cell r="O3708">
            <v>2.8653012048192772</v>
          </cell>
        </row>
        <row r="3709">
          <cell r="O3709">
            <v>2.773855421686747</v>
          </cell>
        </row>
        <row r="3710">
          <cell r="O3710">
            <v>9.9570662460567814</v>
          </cell>
        </row>
        <row r="3711">
          <cell r="O3711">
            <v>13.001601208459215</v>
          </cell>
        </row>
        <row r="3712">
          <cell r="O3712">
            <v>9.8557097791798114</v>
          </cell>
        </row>
        <row r="3713">
          <cell r="O3713">
            <v>10.618296529968454</v>
          </cell>
        </row>
        <row r="3714">
          <cell r="O3714">
            <v>10.560378548895898</v>
          </cell>
        </row>
        <row r="3715">
          <cell r="O3715">
            <v>9.9184542586750783</v>
          </cell>
        </row>
        <row r="3716">
          <cell r="O3716">
            <v>9.8701892744479487</v>
          </cell>
        </row>
        <row r="3717">
          <cell r="O3717">
            <v>15.304826498422713</v>
          </cell>
        </row>
        <row r="3718">
          <cell r="O3718">
            <v>11.327673716012084</v>
          </cell>
        </row>
        <row r="3719">
          <cell r="O3719">
            <v>14.580522088353414</v>
          </cell>
        </row>
        <row r="3720">
          <cell r="O3720">
            <v>26.579526813880126</v>
          </cell>
        </row>
        <row r="3721">
          <cell r="O3721">
            <v>24.0935035894103</v>
          </cell>
        </row>
        <row r="3722">
          <cell r="O3722">
            <v>21.829848942598186</v>
          </cell>
        </row>
        <row r="3723">
          <cell r="O3723">
            <v>15.391703470031546</v>
          </cell>
        </row>
        <row r="3724">
          <cell r="O3724">
            <v>10.097034700315458</v>
          </cell>
        </row>
        <row r="3725">
          <cell r="O3725">
            <v>10.010157728706623</v>
          </cell>
        </row>
        <row r="3726">
          <cell r="O3726">
            <v>10.459022082018928</v>
          </cell>
        </row>
        <row r="3727">
          <cell r="O3727">
            <v>10.1501261829653</v>
          </cell>
        </row>
        <row r="3728">
          <cell r="O3728">
            <v>10.140321285140562</v>
          </cell>
        </row>
        <row r="3729">
          <cell r="O3729">
            <v>9.3730599369085184</v>
          </cell>
        </row>
        <row r="3730">
          <cell r="O3730">
            <v>10.014984227129338</v>
          </cell>
        </row>
        <row r="3731">
          <cell r="O3731">
            <v>5.7049211356466882</v>
          </cell>
        </row>
        <row r="3732">
          <cell r="O3732">
            <v>21.520240963855422</v>
          </cell>
        </row>
        <row r="3733">
          <cell r="O3733">
            <v>4.0845783132530125</v>
          </cell>
        </row>
        <row r="3734">
          <cell r="O3734">
            <v>4.0845783132530125</v>
          </cell>
        </row>
        <row r="3735">
          <cell r="O3735">
            <v>4.2065060240963854</v>
          </cell>
        </row>
        <row r="3736">
          <cell r="O3736">
            <v>9.2089589905362761</v>
          </cell>
        </row>
        <row r="3737">
          <cell r="O3737">
            <v>12.554456193353474</v>
          </cell>
        </row>
        <row r="3738">
          <cell r="O3738">
            <v>10.570031545741324</v>
          </cell>
        </row>
        <row r="3739">
          <cell r="O3739">
            <v>9.0400315457413249</v>
          </cell>
        </row>
        <row r="3740">
          <cell r="O3740">
            <v>9.3151419558359621</v>
          </cell>
        </row>
        <row r="3741">
          <cell r="O3741">
            <v>10.603817034700315</v>
          </cell>
        </row>
        <row r="3742">
          <cell r="O3742">
            <v>11.332618296529969</v>
          </cell>
        </row>
        <row r="3743">
          <cell r="O3743">
            <v>16.33769716088328</v>
          </cell>
        </row>
        <row r="3744">
          <cell r="O3744">
            <v>10.055030211480361</v>
          </cell>
        </row>
        <row r="3745">
          <cell r="O3745">
            <v>20.271293375394322</v>
          </cell>
        </row>
        <row r="3746">
          <cell r="O3746">
            <v>0</v>
          </cell>
        </row>
        <row r="3747">
          <cell r="O3747">
            <v>0.64009213649296781</v>
          </cell>
        </row>
        <row r="3748">
          <cell r="O3748">
            <v>20.584629964197322</v>
          </cell>
        </row>
        <row r="3749">
          <cell r="O3749">
            <v>10.98993690851735</v>
          </cell>
        </row>
        <row r="3750">
          <cell r="O3750">
            <v>21.336842900302113</v>
          </cell>
        </row>
        <row r="3751">
          <cell r="O3751">
            <v>11.313312302839117</v>
          </cell>
        </row>
        <row r="3752">
          <cell r="O3752">
            <v>10.454195583596215</v>
          </cell>
        </row>
        <row r="3753">
          <cell r="O3753">
            <v>14.373312302839118</v>
          </cell>
        </row>
        <row r="3754">
          <cell r="O3754">
            <v>7.9878548895899053</v>
          </cell>
        </row>
        <row r="3755">
          <cell r="O3755">
            <v>10.763091482649843</v>
          </cell>
        </row>
        <row r="3756">
          <cell r="O3756">
            <v>8.5552610441767065</v>
          </cell>
        </row>
        <row r="3757">
          <cell r="O3757">
            <v>9.4502839116719226</v>
          </cell>
        </row>
        <row r="3758">
          <cell r="O3758">
            <v>11.631861198738171</v>
          </cell>
        </row>
        <row r="3759">
          <cell r="O3759">
            <v>11.796506024096386</v>
          </cell>
        </row>
        <row r="3760">
          <cell r="O3760">
            <v>3.4139759036144581</v>
          </cell>
        </row>
        <row r="3761">
          <cell r="O3761">
            <v>4.9685542168674699</v>
          </cell>
        </row>
        <row r="3762">
          <cell r="O3762">
            <v>20.209518072289157</v>
          </cell>
        </row>
        <row r="3763">
          <cell r="O3763">
            <v>3.3530120481927717</v>
          </cell>
        </row>
        <row r="3764">
          <cell r="O3764">
            <v>3.322530120481928</v>
          </cell>
        </row>
        <row r="3765">
          <cell r="O3765">
            <v>1.9203614457831326</v>
          </cell>
        </row>
        <row r="3766">
          <cell r="O3766">
            <v>3.2356657499719521</v>
          </cell>
        </row>
        <row r="3767">
          <cell r="O3767">
            <v>5.1026011480764417</v>
          </cell>
        </row>
        <row r="3768">
          <cell r="O3768">
            <v>2.2357250755287006</v>
          </cell>
        </row>
        <row r="3769">
          <cell r="O3769">
            <v>7.4869443565127476</v>
          </cell>
        </row>
        <row r="3770">
          <cell r="O3770">
            <v>0</v>
          </cell>
        </row>
        <row r="3771">
          <cell r="O3771">
            <v>6.6633591408917949</v>
          </cell>
        </row>
        <row r="3772">
          <cell r="O3772">
            <v>0</v>
          </cell>
        </row>
        <row r="3773">
          <cell r="O3773">
            <v>33.372697368421051</v>
          </cell>
        </row>
        <row r="3774">
          <cell r="O3774">
            <v>10.960785498489425</v>
          </cell>
        </row>
        <row r="3775">
          <cell r="O3775">
            <v>0</v>
          </cell>
        </row>
        <row r="3776">
          <cell r="O3776">
            <v>7.9588958990536272</v>
          </cell>
        </row>
        <row r="3777">
          <cell r="O3777">
            <v>29.628433734939762</v>
          </cell>
        </row>
        <row r="3778">
          <cell r="O3778">
            <v>4.023614457831326</v>
          </cell>
        </row>
        <row r="3779">
          <cell r="O3779">
            <v>3.9931325301204823</v>
          </cell>
        </row>
        <row r="3780">
          <cell r="O3780">
            <v>6.7683232628398793</v>
          </cell>
        </row>
        <row r="3781">
          <cell r="O3781">
            <v>9.4406309148264977</v>
          </cell>
        </row>
        <row r="3782">
          <cell r="O3782">
            <v>0</v>
          </cell>
        </row>
        <row r="3783">
          <cell r="O3783">
            <v>3.210271903323263</v>
          </cell>
        </row>
        <row r="3784">
          <cell r="O3784">
            <v>8.5863406940063083</v>
          </cell>
        </row>
        <row r="3785">
          <cell r="O3785">
            <v>9.6288643533123022</v>
          </cell>
        </row>
        <row r="3786">
          <cell r="O3786">
            <v>13.678051359516616</v>
          </cell>
        </row>
        <row r="3787">
          <cell r="O3787">
            <v>10.019810725552052</v>
          </cell>
        </row>
        <row r="3788">
          <cell r="O3788">
            <v>0</v>
          </cell>
        </row>
        <row r="3789">
          <cell r="O3789">
            <v>11.509376498800959</v>
          </cell>
        </row>
        <row r="3790">
          <cell r="O3790">
            <v>11.970479616306955</v>
          </cell>
        </row>
        <row r="3791">
          <cell r="O3791">
            <v>11.485107913669065</v>
          </cell>
        </row>
        <row r="3792">
          <cell r="O3792">
            <v>2.5475714285714286</v>
          </cell>
        </row>
        <row r="3793">
          <cell r="O3793">
            <v>8.3241247002398087</v>
          </cell>
        </row>
        <row r="3794">
          <cell r="O3794">
            <v>17.552254196642686</v>
          </cell>
        </row>
        <row r="3795">
          <cell r="O3795">
            <v>8.0875059952038377</v>
          </cell>
        </row>
        <row r="3796">
          <cell r="O3796">
            <v>2.5529305135951659</v>
          </cell>
        </row>
        <row r="3797">
          <cell r="O3797">
            <v>9.8295468277945606</v>
          </cell>
        </row>
        <row r="3798">
          <cell r="O3798">
            <v>15.728166666666665</v>
          </cell>
        </row>
        <row r="3799">
          <cell r="O3799">
            <v>9.5408433734939759</v>
          </cell>
        </row>
        <row r="3800">
          <cell r="O3800">
            <v>13.137710843373494</v>
          </cell>
        </row>
        <row r="3801">
          <cell r="O3801">
            <v>3.5054216867469878</v>
          </cell>
        </row>
        <row r="3802">
          <cell r="O3802">
            <v>3.6883132530120482</v>
          </cell>
        </row>
        <row r="3803">
          <cell r="O3803">
            <v>5.5115647921760393</v>
          </cell>
        </row>
        <row r="3804">
          <cell r="O3804">
            <v>23.775903614457832</v>
          </cell>
        </row>
        <row r="3805">
          <cell r="O3805">
            <v>2.8957831325301204</v>
          </cell>
        </row>
        <row r="3806">
          <cell r="O3806">
            <v>2.8653012048192772</v>
          </cell>
        </row>
        <row r="3807">
          <cell r="O3807">
            <v>2.7433734939759038</v>
          </cell>
        </row>
        <row r="3808">
          <cell r="O3808">
            <v>5.9579376498800958</v>
          </cell>
        </row>
        <row r="3809">
          <cell r="O3809">
            <v>3.0405714285714285</v>
          </cell>
        </row>
        <row r="3810">
          <cell r="O3810">
            <v>4.9518571428571425</v>
          </cell>
        </row>
        <row r="3811">
          <cell r="O3811">
            <v>6.2523867069486396</v>
          </cell>
        </row>
        <row r="3812">
          <cell r="O3812">
            <v>2.4306344410876135</v>
          </cell>
        </row>
        <row r="3813">
          <cell r="O3813">
            <v>0</v>
          </cell>
        </row>
        <row r="3814">
          <cell r="O3814">
            <v>11.71391167192429</v>
          </cell>
        </row>
        <row r="3815">
          <cell r="O3815">
            <v>15.745619335347433</v>
          </cell>
        </row>
        <row r="3816">
          <cell r="O3816">
            <v>33.297796052631575</v>
          </cell>
        </row>
        <row r="3817">
          <cell r="O3817">
            <v>33.414309210526312</v>
          </cell>
        </row>
        <row r="3818">
          <cell r="O3818">
            <v>33.480888157894732</v>
          </cell>
        </row>
        <row r="3819">
          <cell r="O3819">
            <v>33.480888157894732</v>
          </cell>
        </row>
        <row r="3820">
          <cell r="O3820">
            <v>34.995559210526316</v>
          </cell>
        </row>
        <row r="3821">
          <cell r="O3821">
            <v>52.492063037249281</v>
          </cell>
        </row>
        <row r="3822">
          <cell r="O3822">
            <v>4.7246987951807231</v>
          </cell>
        </row>
        <row r="3823">
          <cell r="O3823">
            <v>37.334144736842106</v>
          </cell>
        </row>
        <row r="3824">
          <cell r="O3824">
            <v>8.8053172205438059</v>
          </cell>
        </row>
        <row r="3825">
          <cell r="O3825">
            <v>13.340923694779116</v>
          </cell>
        </row>
        <row r="3826">
          <cell r="O3826">
            <v>13.40801261829653</v>
          </cell>
        </row>
        <row r="3827">
          <cell r="O3827">
            <v>26.610722891566269</v>
          </cell>
        </row>
        <row r="3828">
          <cell r="O3828">
            <v>4.023614457831326</v>
          </cell>
        </row>
        <row r="3829">
          <cell r="O3829">
            <v>4.023614457831326</v>
          </cell>
        </row>
        <row r="3830">
          <cell r="O3830">
            <v>5.1135045317220547</v>
          </cell>
        </row>
        <row r="3831">
          <cell r="O3831">
            <v>3.4395770392749245</v>
          </cell>
        </row>
        <row r="3832">
          <cell r="O3832">
            <v>9.5082018927444789</v>
          </cell>
        </row>
        <row r="3833">
          <cell r="O3833">
            <v>8.9193690851735017</v>
          </cell>
        </row>
        <row r="3834">
          <cell r="O3834">
            <v>8.6828706624605676</v>
          </cell>
        </row>
        <row r="3835">
          <cell r="O3835">
            <v>14.690815709969787</v>
          </cell>
        </row>
        <row r="3836">
          <cell r="O3836">
            <v>9.0303785488959001</v>
          </cell>
        </row>
        <row r="3837">
          <cell r="O3837">
            <v>8.6442586750788646</v>
          </cell>
        </row>
        <row r="3838">
          <cell r="O3838">
            <v>8.9821135646687686</v>
          </cell>
        </row>
        <row r="3839">
          <cell r="O3839">
            <v>4.3010000000000002</v>
          </cell>
        </row>
        <row r="3840">
          <cell r="O3840">
            <v>8.8807570977917969</v>
          </cell>
        </row>
        <row r="3841">
          <cell r="O3841">
            <v>2.7491428571428571</v>
          </cell>
        </row>
        <row r="3842">
          <cell r="O3842">
            <v>2.8559999999999999</v>
          </cell>
        </row>
        <row r="3843">
          <cell r="O3843">
            <v>28.562177650429799</v>
          </cell>
        </row>
        <row r="3844">
          <cell r="O3844">
            <v>14.204384858044163</v>
          </cell>
        </row>
        <row r="3845">
          <cell r="O3845">
            <v>4.7246987951807231</v>
          </cell>
        </row>
        <row r="3846">
          <cell r="O3846">
            <v>53.111465201465208</v>
          </cell>
        </row>
        <row r="3847">
          <cell r="O3847">
            <v>8.4804682779456186</v>
          </cell>
        </row>
        <row r="3848">
          <cell r="O3848">
            <v>0</v>
          </cell>
        </row>
        <row r="3849">
          <cell r="O3849">
            <v>13.924100719424461</v>
          </cell>
        </row>
        <row r="3850">
          <cell r="O3850">
            <v>10.546746987951808</v>
          </cell>
        </row>
        <row r="3851">
          <cell r="O3851">
            <v>6.3097590361445786</v>
          </cell>
        </row>
        <row r="3852">
          <cell r="O3852">
            <v>3.7187951807228918</v>
          </cell>
        </row>
        <row r="3853">
          <cell r="O3853">
            <v>3.7187951807228918</v>
          </cell>
        </row>
        <row r="3854">
          <cell r="O3854">
            <v>6.9097280966767363</v>
          </cell>
        </row>
        <row r="3855">
          <cell r="O3855">
            <v>10.882048192771084</v>
          </cell>
        </row>
        <row r="3856">
          <cell r="O3856">
            <v>3.3834939759036149</v>
          </cell>
        </row>
        <row r="3857">
          <cell r="O3857">
            <v>3.3834939759036149</v>
          </cell>
        </row>
        <row r="3858">
          <cell r="O3858">
            <v>3.6578313253012049</v>
          </cell>
        </row>
        <row r="3859">
          <cell r="O3859">
            <v>12.947290167865708</v>
          </cell>
        </row>
        <row r="3860">
          <cell r="O3860">
            <v>9.2813564668769715</v>
          </cell>
        </row>
        <row r="3861">
          <cell r="O3861">
            <v>80.016085626911305</v>
          </cell>
        </row>
        <row r="3862">
          <cell r="O3862">
            <v>68.518059210526317</v>
          </cell>
        </row>
        <row r="3863">
          <cell r="O3863">
            <v>11.354425981873112</v>
          </cell>
        </row>
        <row r="3864">
          <cell r="O3864">
            <v>0</v>
          </cell>
        </row>
        <row r="3865">
          <cell r="O3865">
            <v>25.645461847389555</v>
          </cell>
        </row>
        <row r="3866">
          <cell r="O3866">
            <v>0</v>
          </cell>
        </row>
        <row r="3867">
          <cell r="O3867">
            <v>37.450657894736842</v>
          </cell>
        </row>
        <row r="3868">
          <cell r="O3868">
            <v>27.433734939759038</v>
          </cell>
        </row>
        <row r="3869">
          <cell r="O3869">
            <v>30.481927710843376</v>
          </cell>
        </row>
        <row r="3870">
          <cell r="O3870">
            <v>16.051359516616312</v>
          </cell>
        </row>
        <row r="3871">
          <cell r="O3871">
            <v>0.64009213649296781</v>
          </cell>
        </row>
        <row r="3872">
          <cell r="O3872">
            <v>0</v>
          </cell>
        </row>
        <row r="3873">
          <cell r="O3873">
            <v>0</v>
          </cell>
        </row>
        <row r="3874">
          <cell r="O3874">
            <v>184.184</v>
          </cell>
        </row>
        <row r="3875">
          <cell r="O3875">
            <v>0</v>
          </cell>
        </row>
        <row r="3876">
          <cell r="O3876">
            <v>0</v>
          </cell>
        </row>
        <row r="3877">
          <cell r="O3877">
            <v>0</v>
          </cell>
        </row>
        <row r="3878">
          <cell r="O3878">
            <v>17.37539432176656</v>
          </cell>
        </row>
        <row r="3879">
          <cell r="O3879">
            <v>50.02005730659026</v>
          </cell>
        </row>
        <row r="3880">
          <cell r="O3880">
            <v>11.660820189274448</v>
          </cell>
        </row>
        <row r="3881">
          <cell r="O3881">
            <v>36.222870662460565</v>
          </cell>
        </row>
        <row r="3882">
          <cell r="O3882">
            <v>19.188142857142857</v>
          </cell>
        </row>
        <row r="3883">
          <cell r="O3883">
            <v>14.858422517188517</v>
          </cell>
        </row>
        <row r="3884">
          <cell r="O3884">
            <v>10.618296529968454</v>
          </cell>
        </row>
        <row r="3885">
          <cell r="O3885">
            <v>13.272870662460567</v>
          </cell>
        </row>
        <row r="3886">
          <cell r="O3886">
            <v>11.969716088328076</v>
          </cell>
        </row>
        <row r="3887">
          <cell r="O3887">
            <v>11.969716088328076</v>
          </cell>
        </row>
        <row r="3888">
          <cell r="O3888">
            <v>11.969716088328076</v>
          </cell>
        </row>
        <row r="3889">
          <cell r="O3889">
            <v>4.8085714285714287</v>
          </cell>
        </row>
        <row r="3890">
          <cell r="O3890">
            <v>11.631861198738171</v>
          </cell>
        </row>
        <row r="3891">
          <cell r="O3891">
            <v>0</v>
          </cell>
        </row>
        <row r="3892">
          <cell r="O3892">
            <v>0</v>
          </cell>
        </row>
        <row r="3893">
          <cell r="O3893">
            <v>0</v>
          </cell>
        </row>
        <row r="3894">
          <cell r="O3894">
            <v>0</v>
          </cell>
        </row>
        <row r="3895">
          <cell r="O3895">
            <v>0</v>
          </cell>
        </row>
        <row r="3896">
          <cell r="O3896">
            <v>12.344259818731116</v>
          </cell>
        </row>
        <row r="3897">
          <cell r="O3897">
            <v>12.253734939759036</v>
          </cell>
        </row>
        <row r="3898">
          <cell r="O3898">
            <v>5.8728514056224901</v>
          </cell>
        </row>
        <row r="3899">
          <cell r="O3899">
            <v>19.508433734939761</v>
          </cell>
        </row>
        <row r="3900">
          <cell r="O3900">
            <v>3.0481927710843375</v>
          </cell>
        </row>
        <row r="3901">
          <cell r="O3901">
            <v>3.0481927710843375</v>
          </cell>
        </row>
        <row r="3902">
          <cell r="O3902">
            <v>19.508433734939761</v>
          </cell>
        </row>
        <row r="3903">
          <cell r="O3903">
            <v>3.0481927710843375</v>
          </cell>
        </row>
        <row r="3904">
          <cell r="O3904">
            <v>3.0481927710843375</v>
          </cell>
        </row>
        <row r="3905">
          <cell r="O3905">
            <v>8.5989425981873104</v>
          </cell>
        </row>
        <row r="3906">
          <cell r="O3906">
            <v>26.553534743202416</v>
          </cell>
        </row>
        <row r="3907">
          <cell r="O3907">
            <v>0</v>
          </cell>
        </row>
        <row r="3908">
          <cell r="O3908">
            <v>0</v>
          </cell>
        </row>
        <row r="3909">
          <cell r="O3909">
            <v>13.716867469879519</v>
          </cell>
        </row>
        <row r="3910">
          <cell r="O3910">
            <v>9.2461847389558223</v>
          </cell>
        </row>
        <row r="3911">
          <cell r="O3911">
            <v>11.873186119873818</v>
          </cell>
        </row>
        <row r="3912">
          <cell r="O3912">
            <v>4.8814285714285717</v>
          </cell>
        </row>
        <row r="3913">
          <cell r="O3913">
            <v>4.8814285714285717</v>
          </cell>
        </row>
        <row r="3914">
          <cell r="O3914">
            <v>12.066246056782335</v>
          </cell>
        </row>
        <row r="3915">
          <cell r="O3915">
            <v>14.021686746987951</v>
          </cell>
        </row>
        <row r="3916">
          <cell r="O3916">
            <v>3.0481927710843375</v>
          </cell>
        </row>
        <row r="3917">
          <cell r="O3917">
            <v>3.0481927710843375</v>
          </cell>
        </row>
        <row r="3918">
          <cell r="O3918">
            <v>3.0481927710843375</v>
          </cell>
        </row>
        <row r="3919">
          <cell r="O3919">
            <v>0</v>
          </cell>
        </row>
        <row r="3920">
          <cell r="O3920">
            <v>4.5657142857142858</v>
          </cell>
        </row>
        <row r="3921">
          <cell r="O3921">
            <v>12.066246056782335</v>
          </cell>
        </row>
        <row r="3922">
          <cell r="O3922">
            <v>12.114511041009465</v>
          </cell>
        </row>
        <row r="3923">
          <cell r="O3923">
            <v>12.162776025236592</v>
          </cell>
        </row>
        <row r="3924">
          <cell r="O3924">
            <v>12.162776025236592</v>
          </cell>
        </row>
        <row r="3925">
          <cell r="O3925">
            <v>12.114511041009465</v>
          </cell>
        </row>
        <row r="3926">
          <cell r="O3926">
            <v>12.162776025236592</v>
          </cell>
        </row>
        <row r="3927">
          <cell r="O3927">
            <v>12.162776025236592</v>
          </cell>
        </row>
        <row r="3928">
          <cell r="O3928">
            <v>12.114511041009465</v>
          </cell>
        </row>
        <row r="3929">
          <cell r="O3929">
            <v>10.811356466876971</v>
          </cell>
        </row>
        <row r="3930">
          <cell r="O3930">
            <v>12.693690851735017</v>
          </cell>
        </row>
        <row r="3931">
          <cell r="O3931">
            <v>2.234285714285714</v>
          </cell>
        </row>
        <row r="3932">
          <cell r="O3932">
            <v>0</v>
          </cell>
        </row>
        <row r="3933">
          <cell r="O3933">
            <v>0.85</v>
          </cell>
        </row>
        <row r="3934">
          <cell r="O3934">
            <v>0</v>
          </cell>
        </row>
        <row r="3935">
          <cell r="O3935">
            <v>30.288322823499669</v>
          </cell>
        </row>
        <row r="3936">
          <cell r="O3936">
            <v>44.198795180722897</v>
          </cell>
        </row>
        <row r="3937">
          <cell r="O3937">
            <v>14.936144578313256</v>
          </cell>
        </row>
        <row r="3938">
          <cell r="O3938">
            <v>3.9626506024096391</v>
          </cell>
        </row>
        <row r="3939">
          <cell r="O3939">
            <v>3.9626506024096391</v>
          </cell>
        </row>
        <row r="3940">
          <cell r="O3940">
            <v>3.9626506024096391</v>
          </cell>
        </row>
        <row r="3941">
          <cell r="O3941">
            <v>14.936144578313256</v>
          </cell>
        </row>
        <row r="3942">
          <cell r="O3942">
            <v>3.9626506024096391</v>
          </cell>
        </row>
        <row r="3943">
          <cell r="O3943">
            <v>41.886404833836856</v>
          </cell>
        </row>
        <row r="3944">
          <cell r="O3944">
            <v>2.2548338368580061</v>
          </cell>
        </row>
        <row r="3945">
          <cell r="O3945">
            <v>18.79718875502008</v>
          </cell>
        </row>
        <row r="3946">
          <cell r="O3946">
            <v>12.304538152610441</v>
          </cell>
        </row>
        <row r="3947">
          <cell r="O3947">
            <v>0</v>
          </cell>
        </row>
        <row r="3948">
          <cell r="O3948">
            <v>41.886404833836856</v>
          </cell>
        </row>
        <row r="3949">
          <cell r="O3949">
            <v>9.3477911646586342</v>
          </cell>
        </row>
        <row r="3950">
          <cell r="O3950">
            <v>283.28915999999998</v>
          </cell>
        </row>
        <row r="3951">
          <cell r="O3951">
            <v>10.215543806646526</v>
          </cell>
        </row>
        <row r="3952">
          <cell r="O3952">
            <v>0</v>
          </cell>
        </row>
        <row r="3953">
          <cell r="O3953">
            <v>0</v>
          </cell>
        </row>
        <row r="3954">
          <cell r="O3954">
            <v>0</v>
          </cell>
        </row>
        <row r="3955">
          <cell r="O3955">
            <v>0</v>
          </cell>
        </row>
        <row r="3956">
          <cell r="O3956">
            <v>0</v>
          </cell>
        </row>
        <row r="3957">
          <cell r="O3957">
            <v>0</v>
          </cell>
        </row>
        <row r="3958">
          <cell r="O3958">
            <v>12.597160883280758</v>
          </cell>
        </row>
        <row r="3959">
          <cell r="O3959">
            <v>12.259305993690852</v>
          </cell>
        </row>
        <row r="3960">
          <cell r="O3960">
            <v>9.7495268138801254</v>
          </cell>
        </row>
        <row r="3961">
          <cell r="O3961">
            <v>12.066246056782335</v>
          </cell>
        </row>
        <row r="3962">
          <cell r="O3962">
            <v>14.021686746987951</v>
          </cell>
        </row>
        <row r="3963">
          <cell r="O3963">
            <v>3.3530120481927717</v>
          </cell>
        </row>
        <row r="3964">
          <cell r="O3964">
            <v>3.3530120481927717</v>
          </cell>
        </row>
        <row r="3965">
          <cell r="O3965">
            <v>3.3530120481927717</v>
          </cell>
        </row>
        <row r="3966">
          <cell r="O3966">
            <v>9.2486404833836851</v>
          </cell>
        </row>
        <row r="3967">
          <cell r="O3967">
            <v>12.404100946372239</v>
          </cell>
        </row>
        <row r="3968">
          <cell r="O3968">
            <v>12.162776025236592</v>
          </cell>
        </row>
        <row r="3969">
          <cell r="O3969">
            <v>12.211041009463722</v>
          </cell>
        </row>
        <row r="3970">
          <cell r="O3970">
            <v>12.211041009463722</v>
          </cell>
        </row>
        <row r="3971">
          <cell r="O3971">
            <v>12.211041009463722</v>
          </cell>
        </row>
        <row r="3972">
          <cell r="O3972">
            <v>8.8664652567975821</v>
          </cell>
        </row>
        <row r="3973">
          <cell r="O3973">
            <v>11.197476340694006</v>
          </cell>
        </row>
        <row r="3974">
          <cell r="O3974">
            <v>11.197476340694006</v>
          </cell>
        </row>
        <row r="3975">
          <cell r="O3975">
            <v>9.8943217665615144</v>
          </cell>
        </row>
        <row r="3976">
          <cell r="O3976">
            <v>12.886750788643532</v>
          </cell>
        </row>
        <row r="3977">
          <cell r="O3977">
            <v>4.9785714285714286</v>
          </cell>
        </row>
        <row r="3978">
          <cell r="O3978">
            <v>12.597160883280758</v>
          </cell>
        </row>
        <row r="3979">
          <cell r="O3979">
            <v>12.259305993690852</v>
          </cell>
        </row>
        <row r="3980">
          <cell r="O3980">
            <v>12.259305993690852</v>
          </cell>
        </row>
        <row r="3981">
          <cell r="O3981">
            <v>12.259305993690852</v>
          </cell>
        </row>
        <row r="3982">
          <cell r="O3982">
            <v>12.259305993690852</v>
          </cell>
        </row>
        <row r="3983">
          <cell r="O3983">
            <v>3.7646687697160881</v>
          </cell>
        </row>
        <row r="3984">
          <cell r="O3984">
            <v>0</v>
          </cell>
        </row>
        <row r="3985">
          <cell r="O3985">
            <v>0</v>
          </cell>
        </row>
        <row r="3986">
          <cell r="O3986">
            <v>40.854531722054382</v>
          </cell>
        </row>
        <row r="3987">
          <cell r="O3987">
            <v>0</v>
          </cell>
        </row>
        <row r="3988">
          <cell r="O3988">
            <v>0</v>
          </cell>
        </row>
        <row r="3989">
          <cell r="O3989">
            <v>0</v>
          </cell>
        </row>
        <row r="3990">
          <cell r="O3990">
            <v>17.602533753556617</v>
          </cell>
        </row>
        <row r="3991">
          <cell r="O3991">
            <v>106.46865870333032</v>
          </cell>
        </row>
        <row r="3992">
          <cell r="O3992">
            <v>30.724422551662457</v>
          </cell>
        </row>
        <row r="3993">
          <cell r="O3993">
            <v>23.043316913746843</v>
          </cell>
        </row>
        <row r="3994">
          <cell r="O3994">
            <v>30.523690773067329</v>
          </cell>
        </row>
        <row r="3995">
          <cell r="O3995">
            <v>4.4513715710723192</v>
          </cell>
        </row>
        <row r="3996">
          <cell r="O3996">
            <v>15.007481296758103</v>
          </cell>
        </row>
        <row r="3997">
          <cell r="O3997">
            <v>29.633416458852864</v>
          </cell>
        </row>
        <row r="3998">
          <cell r="O3998">
            <v>47.473500123228447</v>
          </cell>
        </row>
        <row r="3999">
          <cell r="O3999">
            <v>22.930513595166161</v>
          </cell>
        </row>
        <row r="4000">
          <cell r="O4000">
            <v>48.570200573065904</v>
          </cell>
        </row>
        <row r="4001">
          <cell r="O4001">
            <v>0</v>
          </cell>
        </row>
        <row r="4002">
          <cell r="O4002">
            <v>0</v>
          </cell>
        </row>
        <row r="4003">
          <cell r="O4003">
            <v>15.240963855421688</v>
          </cell>
        </row>
        <row r="4004">
          <cell r="O4004">
            <v>3.6578313253012049</v>
          </cell>
        </row>
        <row r="4005">
          <cell r="O4005">
            <v>4.571822312981082</v>
          </cell>
        </row>
        <row r="4006">
          <cell r="O4006">
            <v>3.6578313253012049</v>
          </cell>
        </row>
        <row r="4007">
          <cell r="O4007">
            <v>7.620481927710844</v>
          </cell>
        </row>
        <row r="4008">
          <cell r="O4008">
            <v>3.6578313253012049</v>
          </cell>
        </row>
        <row r="4009">
          <cell r="O4009">
            <v>17.984337349397592</v>
          </cell>
        </row>
        <row r="4010">
          <cell r="O4010">
            <v>3.6578313253012049</v>
          </cell>
        </row>
        <row r="4011">
          <cell r="O4011">
            <v>3.6578313253012049</v>
          </cell>
        </row>
        <row r="4012">
          <cell r="O4012">
            <v>0</v>
          </cell>
        </row>
        <row r="4013">
          <cell r="O4013">
            <v>6.4518624641833817</v>
          </cell>
        </row>
        <row r="4014">
          <cell r="O4014">
            <v>70.949526813880126</v>
          </cell>
        </row>
        <row r="4015">
          <cell r="O4015">
            <v>94.330783938814534</v>
          </cell>
        </row>
        <row r="4016">
          <cell r="O4016">
            <v>5.6424460431654682</v>
          </cell>
        </row>
        <row r="4017">
          <cell r="O4017">
            <v>14.479495268138802</v>
          </cell>
        </row>
        <row r="4018">
          <cell r="O4018">
            <v>14.479495268138802</v>
          </cell>
        </row>
        <row r="4019">
          <cell r="O4019">
            <v>55.022082018927442</v>
          </cell>
        </row>
        <row r="4020">
          <cell r="O4020">
            <v>0.32004606824648391</v>
          </cell>
        </row>
        <row r="4021">
          <cell r="O4021">
            <v>1.1735022502371077</v>
          </cell>
        </row>
        <row r="4026">
          <cell r="O4026">
            <v>422.53675226586108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ols"/>
      <sheetName val="Toeslagen"/>
      <sheetName val="Percentages"/>
      <sheetName val="1 BRK norm RS"/>
      <sheetName val="Normen BASIS"/>
      <sheetName val="Norm Oerle IG RS"/>
      <sheetName val="NF per lokatie"/>
      <sheetName val="Uurtarieven"/>
      <sheetName val="Tarieven per lokatie"/>
      <sheetName val="Mutatieblad"/>
      <sheetName val="TOTAAL"/>
      <sheetName val="1 BRK overzicht"/>
      <sheetName val="2 AKK overzicht"/>
      <sheetName val="5 ERD overzicht"/>
      <sheetName val="6 FLEU overzicht"/>
      <sheetName val="7 GAG overzicht"/>
      <sheetName val="8 KNTR overzicht"/>
      <sheetName val="9 LDR overzicht"/>
      <sheetName val="10 OER overzicht"/>
      <sheetName val="11 KANI overzicht"/>
      <sheetName val="1 BRK ma-vr"/>
      <sheetName val="1 BRK zzf"/>
      <sheetName val="2 AKK ma-vr"/>
      <sheetName val="2 AKK nlp"/>
      <sheetName val="2 AKK zzf "/>
      <sheetName val="5 ERB ma-vr"/>
      <sheetName val="5 ERD nlp"/>
      <sheetName val="5 ERD zzf"/>
      <sheetName val="6 FLEU ma-vr"/>
      <sheetName val="6 FLEU nlp"/>
      <sheetName val="6 FLEU zzf"/>
      <sheetName val="7 GAG ma-vr"/>
      <sheetName val="7 GAG nlp"/>
      <sheetName val="7 GAG zzf"/>
      <sheetName val="8 KNTR ma-vr"/>
      <sheetName val="9 LDR ma-vr"/>
      <sheetName val="9 LDR zzf"/>
      <sheetName val="10 OER ma- zzf"/>
      <sheetName val="11 KANI ma-vr"/>
      <sheetName val="11 KANI zzf"/>
      <sheetName val="Werkbare dagen"/>
      <sheetName val="3 EKH overzicht"/>
      <sheetName val="3 EKH ma-vr"/>
      <sheetName val="3 EKH nlp"/>
      <sheetName val="3 EKH zzf"/>
      <sheetName val="12 PAS overzicht"/>
      <sheetName val="12 PAS Overzicht123"/>
      <sheetName val="12 PAS ma-vr"/>
      <sheetName val="12 PAS nlp"/>
      <sheetName val="12 PAS zzf"/>
      <sheetName val="13 HvS overzicht"/>
      <sheetName val="13 HvS Overzicht123"/>
      <sheetName val="13 HvS ma-vr"/>
      <sheetName val="13 HvS nlp"/>
      <sheetName val="13 HvS zzf"/>
      <sheetName val="4 DOM overzicht"/>
      <sheetName val="4 DOM Overzicht123 "/>
      <sheetName val="4 DOM ma-vr"/>
      <sheetName val="4 DOM nlp"/>
      <sheetName val="4 DOM zzf"/>
      <sheetName val="Additioneel"/>
      <sheetName val="Glas"/>
      <sheetName val="Machines"/>
      <sheetName val="ZKN Machine"/>
      <sheetName val="Mach bestand loc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F1">
            <v>1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bestand"/>
      <sheetName val="1-Contractblad dag"/>
      <sheetName val="2 - Additioneel"/>
      <sheetName val="2a - Uitleg Additioneel"/>
      <sheetName val="3 - Glasbewassing 2012"/>
      <sheetName val="4 - Totalen unit"/>
      <sheetName val="5 - Kengetal"/>
      <sheetName val="6 - Basis ruimtestaat"/>
      <sheetName val="7 - Premies en opslagen"/>
      <sheetName val="8 - Opbouw uurtarieven"/>
      <sheetName val="9 - toeslagenmatrix"/>
      <sheetName val="10 - Machine-investeringskosten"/>
      <sheetName val="11 - Afroepprij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Q10" t="str">
            <v>UREN P/JR      ZA-ZO-FST DGN</v>
          </cell>
          <cell r="R10" t="str">
            <v>UREN P/JR      NALOOP ZA-ZO-FST DGN</v>
          </cell>
        </row>
        <row r="11">
          <cell r="Q11">
            <v>0</v>
          </cell>
          <cell r="R11">
            <v>0</v>
          </cell>
        </row>
        <row r="12">
          <cell r="Q12">
            <v>0</v>
          </cell>
          <cell r="R12">
            <v>0</v>
          </cell>
        </row>
        <row r="13">
          <cell r="Q13">
            <v>0</v>
          </cell>
          <cell r="R13">
            <v>0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Q24">
            <v>0</v>
          </cell>
          <cell r="R24">
            <v>0</v>
          </cell>
        </row>
        <row r="25">
          <cell r="Q25">
            <v>0</v>
          </cell>
          <cell r="R25">
            <v>0</v>
          </cell>
        </row>
        <row r="26">
          <cell r="Q26">
            <v>0</v>
          </cell>
          <cell r="R26">
            <v>0</v>
          </cell>
        </row>
        <row r="27">
          <cell r="Q27">
            <v>0</v>
          </cell>
          <cell r="R27">
            <v>0</v>
          </cell>
        </row>
        <row r="28">
          <cell r="Q28">
            <v>0</v>
          </cell>
          <cell r="R28">
            <v>0</v>
          </cell>
        </row>
        <row r="29">
          <cell r="Q29">
            <v>0</v>
          </cell>
          <cell r="R29">
            <v>0</v>
          </cell>
        </row>
        <row r="30">
          <cell r="Q30">
            <v>0</v>
          </cell>
          <cell r="R30">
            <v>0</v>
          </cell>
        </row>
        <row r="31">
          <cell r="Q31">
            <v>0</v>
          </cell>
          <cell r="R31">
            <v>0</v>
          </cell>
        </row>
        <row r="32">
          <cell r="Q32">
            <v>0</v>
          </cell>
          <cell r="R32">
            <v>0</v>
          </cell>
        </row>
        <row r="33">
          <cell r="Q33">
            <v>0</v>
          </cell>
          <cell r="R33">
            <v>0</v>
          </cell>
        </row>
        <row r="34">
          <cell r="Q34">
            <v>0</v>
          </cell>
          <cell r="R34">
            <v>0</v>
          </cell>
        </row>
        <row r="35">
          <cell r="Q35">
            <v>0</v>
          </cell>
          <cell r="R35">
            <v>0</v>
          </cell>
        </row>
        <row r="36">
          <cell r="Q36">
            <v>0</v>
          </cell>
          <cell r="R36">
            <v>0</v>
          </cell>
        </row>
        <row r="37">
          <cell r="Q37">
            <v>0</v>
          </cell>
          <cell r="R37">
            <v>0</v>
          </cell>
        </row>
        <row r="38">
          <cell r="Q38">
            <v>0</v>
          </cell>
          <cell r="R38">
            <v>0</v>
          </cell>
        </row>
        <row r="39">
          <cell r="Q39">
            <v>0</v>
          </cell>
          <cell r="R39">
            <v>0</v>
          </cell>
        </row>
        <row r="40">
          <cell r="Q40">
            <v>0</v>
          </cell>
          <cell r="R40">
            <v>0</v>
          </cell>
        </row>
        <row r="41">
          <cell r="Q41">
            <v>0</v>
          </cell>
          <cell r="R41">
            <v>0</v>
          </cell>
        </row>
        <row r="42">
          <cell r="Q42">
            <v>0</v>
          </cell>
          <cell r="R42">
            <v>0</v>
          </cell>
        </row>
        <row r="43">
          <cell r="Q43">
            <v>0</v>
          </cell>
          <cell r="R43">
            <v>0</v>
          </cell>
        </row>
        <row r="44">
          <cell r="Q44">
            <v>0</v>
          </cell>
          <cell r="R44">
            <v>0</v>
          </cell>
        </row>
        <row r="45">
          <cell r="Q45">
            <v>0</v>
          </cell>
          <cell r="R45">
            <v>0</v>
          </cell>
        </row>
        <row r="46">
          <cell r="Q46">
            <v>0</v>
          </cell>
          <cell r="R46">
            <v>0</v>
          </cell>
        </row>
        <row r="47">
          <cell r="Q47">
            <v>0</v>
          </cell>
          <cell r="R47">
            <v>0</v>
          </cell>
        </row>
        <row r="48">
          <cell r="Q48">
            <v>0</v>
          </cell>
          <cell r="R48">
            <v>0</v>
          </cell>
        </row>
        <row r="49">
          <cell r="Q49">
            <v>0</v>
          </cell>
          <cell r="R49">
            <v>0</v>
          </cell>
        </row>
        <row r="50">
          <cell r="Q50">
            <v>23.801169590643276</v>
          </cell>
          <cell r="R50">
            <v>0</v>
          </cell>
        </row>
        <row r="51">
          <cell r="Q51">
            <v>0</v>
          </cell>
          <cell r="R51">
            <v>0</v>
          </cell>
        </row>
        <row r="52">
          <cell r="Q52">
            <v>0</v>
          </cell>
          <cell r="R52">
            <v>0</v>
          </cell>
        </row>
        <row r="53">
          <cell r="Q53">
            <v>0</v>
          </cell>
          <cell r="R53">
            <v>0</v>
          </cell>
        </row>
        <row r="54">
          <cell r="Q54">
            <v>25.964912280701753</v>
          </cell>
          <cell r="R54">
            <v>0</v>
          </cell>
        </row>
        <row r="55">
          <cell r="Q55">
            <v>16.011695906432749</v>
          </cell>
          <cell r="R55">
            <v>0</v>
          </cell>
        </row>
        <row r="56">
          <cell r="Q56">
            <v>0</v>
          </cell>
          <cell r="R56">
            <v>0</v>
          </cell>
        </row>
        <row r="57">
          <cell r="Q57">
            <v>4.3274853801169595</v>
          </cell>
          <cell r="R57">
            <v>0</v>
          </cell>
        </row>
        <row r="58">
          <cell r="Q58">
            <v>0</v>
          </cell>
          <cell r="R58">
            <v>0</v>
          </cell>
        </row>
        <row r="59">
          <cell r="Q59">
            <v>0</v>
          </cell>
          <cell r="R59">
            <v>0</v>
          </cell>
        </row>
        <row r="60">
          <cell r="Q60">
            <v>3.0292397660818713</v>
          </cell>
          <cell r="R60">
            <v>0</v>
          </cell>
        </row>
        <row r="61">
          <cell r="Q61">
            <v>5.6257309941520468</v>
          </cell>
          <cell r="R61">
            <v>0</v>
          </cell>
        </row>
        <row r="62">
          <cell r="Q62">
            <v>14.280701754385966</v>
          </cell>
          <cell r="R62">
            <v>0</v>
          </cell>
        </row>
        <row r="63">
          <cell r="Q63">
            <v>0</v>
          </cell>
          <cell r="R63">
            <v>0</v>
          </cell>
        </row>
        <row r="64">
          <cell r="Q64">
            <v>0</v>
          </cell>
          <cell r="R64">
            <v>0</v>
          </cell>
        </row>
        <row r="65">
          <cell r="Q65">
            <v>0</v>
          </cell>
          <cell r="R65">
            <v>0</v>
          </cell>
        </row>
        <row r="66">
          <cell r="Q66">
            <v>0</v>
          </cell>
          <cell r="R66">
            <v>0</v>
          </cell>
        </row>
        <row r="67">
          <cell r="Q67">
            <v>0</v>
          </cell>
          <cell r="R67">
            <v>0</v>
          </cell>
        </row>
        <row r="68">
          <cell r="Q68">
            <v>0</v>
          </cell>
          <cell r="R68">
            <v>0</v>
          </cell>
        </row>
        <row r="69">
          <cell r="Q69">
            <v>0</v>
          </cell>
          <cell r="R69">
            <v>0</v>
          </cell>
        </row>
        <row r="70">
          <cell r="Q70">
            <v>0</v>
          </cell>
          <cell r="R70">
            <v>0</v>
          </cell>
        </row>
        <row r="71">
          <cell r="Q71">
            <v>0</v>
          </cell>
          <cell r="R71">
            <v>0</v>
          </cell>
        </row>
        <row r="72">
          <cell r="Q72">
            <v>0</v>
          </cell>
          <cell r="R72">
            <v>0</v>
          </cell>
        </row>
        <row r="73">
          <cell r="Q73">
            <v>0</v>
          </cell>
          <cell r="R73">
            <v>0</v>
          </cell>
        </row>
        <row r="74">
          <cell r="Q74">
            <v>0</v>
          </cell>
          <cell r="R74">
            <v>0</v>
          </cell>
        </row>
        <row r="75">
          <cell r="Q75">
            <v>0</v>
          </cell>
          <cell r="R75">
            <v>0</v>
          </cell>
        </row>
        <row r="76">
          <cell r="Q76">
            <v>0</v>
          </cell>
          <cell r="R76">
            <v>0</v>
          </cell>
        </row>
        <row r="77">
          <cell r="Q77">
            <v>0</v>
          </cell>
          <cell r="R77">
            <v>0</v>
          </cell>
        </row>
        <row r="78">
          <cell r="Q78">
            <v>0</v>
          </cell>
          <cell r="R78">
            <v>0</v>
          </cell>
        </row>
        <row r="79">
          <cell r="Q79">
            <v>0</v>
          </cell>
          <cell r="R79">
            <v>0</v>
          </cell>
        </row>
        <row r="80">
          <cell r="Q80">
            <v>0</v>
          </cell>
          <cell r="R80">
            <v>0</v>
          </cell>
        </row>
        <row r="81">
          <cell r="Q81">
            <v>0</v>
          </cell>
          <cell r="R81">
            <v>0</v>
          </cell>
        </row>
        <row r="82">
          <cell r="Q82">
            <v>0</v>
          </cell>
          <cell r="R82">
            <v>0</v>
          </cell>
        </row>
        <row r="83">
          <cell r="Q83">
            <v>0</v>
          </cell>
          <cell r="R83">
            <v>0</v>
          </cell>
        </row>
        <row r="84">
          <cell r="Q84">
            <v>0</v>
          </cell>
          <cell r="R84">
            <v>0</v>
          </cell>
        </row>
        <row r="85">
          <cell r="Q85">
            <v>0</v>
          </cell>
          <cell r="R85">
            <v>0</v>
          </cell>
        </row>
        <row r="86">
          <cell r="Q86">
            <v>0</v>
          </cell>
          <cell r="R86">
            <v>0</v>
          </cell>
        </row>
        <row r="87">
          <cell r="Q87">
            <v>0</v>
          </cell>
          <cell r="R87">
            <v>0</v>
          </cell>
        </row>
        <row r="88">
          <cell r="Q88">
            <v>0</v>
          </cell>
          <cell r="R88">
            <v>0</v>
          </cell>
        </row>
        <row r="89">
          <cell r="Q89">
            <v>0</v>
          </cell>
          <cell r="R89">
            <v>0</v>
          </cell>
        </row>
        <row r="90">
          <cell r="Q90">
            <v>0</v>
          </cell>
          <cell r="R90">
            <v>0</v>
          </cell>
        </row>
        <row r="91">
          <cell r="Q91">
            <v>0</v>
          </cell>
          <cell r="R91">
            <v>0</v>
          </cell>
        </row>
        <row r="92">
          <cell r="Q92">
            <v>0</v>
          </cell>
          <cell r="R92">
            <v>0</v>
          </cell>
        </row>
        <row r="93">
          <cell r="Q93">
            <v>0</v>
          </cell>
          <cell r="R93">
            <v>0</v>
          </cell>
        </row>
        <row r="94">
          <cell r="Q94">
            <v>0</v>
          </cell>
          <cell r="R94">
            <v>0</v>
          </cell>
        </row>
        <row r="95">
          <cell r="Q95">
            <v>0</v>
          </cell>
          <cell r="R95">
            <v>0</v>
          </cell>
        </row>
        <row r="96">
          <cell r="Q96">
            <v>0</v>
          </cell>
          <cell r="R96">
            <v>0</v>
          </cell>
        </row>
        <row r="97">
          <cell r="Q97">
            <v>0</v>
          </cell>
          <cell r="R97">
            <v>0</v>
          </cell>
        </row>
        <row r="98">
          <cell r="Q98">
            <v>0</v>
          </cell>
          <cell r="R98">
            <v>0</v>
          </cell>
        </row>
        <row r="99">
          <cell r="Q99">
            <v>0</v>
          </cell>
          <cell r="R99">
            <v>0</v>
          </cell>
        </row>
        <row r="100">
          <cell r="Q100">
            <v>0</v>
          </cell>
          <cell r="R100">
            <v>0</v>
          </cell>
        </row>
        <row r="101">
          <cell r="Q101">
            <v>0</v>
          </cell>
          <cell r="R101">
            <v>0</v>
          </cell>
        </row>
        <row r="102">
          <cell r="Q102">
            <v>0</v>
          </cell>
          <cell r="R102">
            <v>0</v>
          </cell>
        </row>
        <row r="103">
          <cell r="Q103">
            <v>0</v>
          </cell>
          <cell r="R103">
            <v>0</v>
          </cell>
        </row>
        <row r="104">
          <cell r="Q104">
            <v>0</v>
          </cell>
          <cell r="R104">
            <v>0</v>
          </cell>
        </row>
        <row r="105">
          <cell r="Q105">
            <v>0</v>
          </cell>
          <cell r="R105">
            <v>0</v>
          </cell>
        </row>
        <row r="106">
          <cell r="Q106">
            <v>0</v>
          </cell>
          <cell r="R106">
            <v>0</v>
          </cell>
        </row>
        <row r="107">
          <cell r="Q107">
            <v>0</v>
          </cell>
          <cell r="R107">
            <v>0</v>
          </cell>
        </row>
        <row r="108">
          <cell r="Q108">
            <v>0</v>
          </cell>
          <cell r="R108">
            <v>0</v>
          </cell>
        </row>
        <row r="109">
          <cell r="Q109">
            <v>0</v>
          </cell>
          <cell r="R109">
            <v>0</v>
          </cell>
        </row>
        <row r="110">
          <cell r="Q110">
            <v>0</v>
          </cell>
          <cell r="R110">
            <v>0</v>
          </cell>
        </row>
        <row r="111">
          <cell r="Q111">
            <v>0</v>
          </cell>
          <cell r="R111">
            <v>0</v>
          </cell>
        </row>
        <row r="112">
          <cell r="Q112">
            <v>0</v>
          </cell>
          <cell r="R112">
            <v>0</v>
          </cell>
        </row>
        <row r="113">
          <cell r="Q113">
            <v>0</v>
          </cell>
          <cell r="R113">
            <v>0</v>
          </cell>
        </row>
        <row r="114">
          <cell r="Q114">
            <v>0</v>
          </cell>
          <cell r="R114">
            <v>0</v>
          </cell>
        </row>
        <row r="115">
          <cell r="Q115">
            <v>0</v>
          </cell>
          <cell r="R115">
            <v>0</v>
          </cell>
        </row>
        <row r="116">
          <cell r="Q116">
            <v>0</v>
          </cell>
          <cell r="R116">
            <v>0</v>
          </cell>
        </row>
        <row r="117">
          <cell r="Q117">
            <v>0</v>
          </cell>
          <cell r="R117">
            <v>0</v>
          </cell>
        </row>
        <row r="118">
          <cell r="Q118">
            <v>0</v>
          </cell>
          <cell r="R118">
            <v>0</v>
          </cell>
        </row>
        <row r="119">
          <cell r="Q119">
            <v>0</v>
          </cell>
          <cell r="R119">
            <v>0</v>
          </cell>
        </row>
        <row r="120">
          <cell r="Q120">
            <v>0</v>
          </cell>
          <cell r="R120">
            <v>0</v>
          </cell>
        </row>
        <row r="121">
          <cell r="Q121">
            <v>0</v>
          </cell>
          <cell r="R121">
            <v>0</v>
          </cell>
        </row>
        <row r="122">
          <cell r="Q122">
            <v>0</v>
          </cell>
          <cell r="R122">
            <v>0</v>
          </cell>
        </row>
        <row r="123">
          <cell r="Q123">
            <v>0</v>
          </cell>
          <cell r="R123">
            <v>0</v>
          </cell>
        </row>
        <row r="124">
          <cell r="Q124">
            <v>0</v>
          </cell>
          <cell r="R124">
            <v>0</v>
          </cell>
        </row>
        <row r="125">
          <cell r="Q125">
            <v>0</v>
          </cell>
          <cell r="R125">
            <v>0</v>
          </cell>
        </row>
        <row r="126">
          <cell r="Q126">
            <v>0</v>
          </cell>
          <cell r="R126">
            <v>0</v>
          </cell>
        </row>
        <row r="127">
          <cell r="Q127">
            <v>0</v>
          </cell>
          <cell r="R127">
            <v>0</v>
          </cell>
        </row>
        <row r="128">
          <cell r="Q128">
            <v>0</v>
          </cell>
          <cell r="R128">
            <v>0</v>
          </cell>
        </row>
        <row r="129">
          <cell r="Q129">
            <v>0</v>
          </cell>
          <cell r="R129">
            <v>0</v>
          </cell>
        </row>
        <row r="130">
          <cell r="Q130">
            <v>0</v>
          </cell>
          <cell r="R130">
            <v>0</v>
          </cell>
        </row>
        <row r="131">
          <cell r="Q131">
            <v>0</v>
          </cell>
          <cell r="R131">
            <v>0</v>
          </cell>
        </row>
        <row r="132">
          <cell r="Q132">
            <v>0</v>
          </cell>
          <cell r="R132">
            <v>0</v>
          </cell>
        </row>
        <row r="133">
          <cell r="Q133">
            <v>0</v>
          </cell>
          <cell r="R133">
            <v>0</v>
          </cell>
        </row>
        <row r="134">
          <cell r="Q134">
            <v>0</v>
          </cell>
          <cell r="R134">
            <v>0</v>
          </cell>
        </row>
        <row r="135">
          <cell r="Q135">
            <v>0</v>
          </cell>
          <cell r="R135">
            <v>0</v>
          </cell>
        </row>
        <row r="136">
          <cell r="Q136">
            <v>0</v>
          </cell>
          <cell r="R136">
            <v>0</v>
          </cell>
        </row>
        <row r="137">
          <cell r="Q137">
            <v>0</v>
          </cell>
          <cell r="R137">
            <v>0</v>
          </cell>
        </row>
        <row r="138">
          <cell r="Q138">
            <v>0</v>
          </cell>
          <cell r="R138">
            <v>0</v>
          </cell>
        </row>
        <row r="139">
          <cell r="Q139">
            <v>0</v>
          </cell>
          <cell r="R139">
            <v>0</v>
          </cell>
        </row>
        <row r="140">
          <cell r="Q140">
            <v>0</v>
          </cell>
          <cell r="R140">
            <v>0</v>
          </cell>
        </row>
        <row r="141">
          <cell r="Q141">
            <v>0</v>
          </cell>
          <cell r="R141">
            <v>0</v>
          </cell>
        </row>
        <row r="142">
          <cell r="Q142">
            <v>0</v>
          </cell>
          <cell r="R142">
            <v>0</v>
          </cell>
        </row>
        <row r="143">
          <cell r="Q143">
            <v>0</v>
          </cell>
          <cell r="R143">
            <v>0</v>
          </cell>
        </row>
        <row r="144">
          <cell r="Q144">
            <v>0</v>
          </cell>
          <cell r="R144">
            <v>0</v>
          </cell>
        </row>
        <row r="145">
          <cell r="Q145">
            <v>0</v>
          </cell>
          <cell r="R145">
            <v>0</v>
          </cell>
        </row>
        <row r="146">
          <cell r="Q146">
            <v>0</v>
          </cell>
          <cell r="R146">
            <v>0</v>
          </cell>
        </row>
        <row r="147">
          <cell r="Q147">
            <v>0</v>
          </cell>
          <cell r="R147">
            <v>0</v>
          </cell>
        </row>
        <row r="148">
          <cell r="Q148">
            <v>0</v>
          </cell>
          <cell r="R148">
            <v>0</v>
          </cell>
        </row>
        <row r="149">
          <cell r="Q149">
            <v>0</v>
          </cell>
          <cell r="R149">
            <v>0</v>
          </cell>
        </row>
        <row r="150">
          <cell r="Q150">
            <v>0</v>
          </cell>
          <cell r="R150">
            <v>0</v>
          </cell>
        </row>
        <row r="151">
          <cell r="Q151">
            <v>0</v>
          </cell>
          <cell r="R151">
            <v>0</v>
          </cell>
        </row>
        <row r="152">
          <cell r="Q152">
            <v>0</v>
          </cell>
          <cell r="R152">
            <v>0</v>
          </cell>
        </row>
        <row r="153">
          <cell r="Q153">
            <v>0</v>
          </cell>
          <cell r="R153">
            <v>0</v>
          </cell>
        </row>
        <row r="154">
          <cell r="Q154">
            <v>0</v>
          </cell>
          <cell r="R154">
            <v>0</v>
          </cell>
        </row>
        <row r="155">
          <cell r="Q155">
            <v>0</v>
          </cell>
          <cell r="R155">
            <v>0</v>
          </cell>
        </row>
        <row r="156">
          <cell r="Q156">
            <v>0</v>
          </cell>
          <cell r="R156">
            <v>0</v>
          </cell>
        </row>
        <row r="157">
          <cell r="Q157">
            <v>0</v>
          </cell>
          <cell r="R157">
            <v>0</v>
          </cell>
        </row>
        <row r="158">
          <cell r="Q158">
            <v>0</v>
          </cell>
          <cell r="R158">
            <v>0</v>
          </cell>
        </row>
        <row r="159">
          <cell r="Q159">
            <v>0</v>
          </cell>
          <cell r="R159">
            <v>0</v>
          </cell>
        </row>
        <row r="160">
          <cell r="Q160">
            <v>0</v>
          </cell>
          <cell r="R160">
            <v>0</v>
          </cell>
        </row>
        <row r="161">
          <cell r="Q161">
            <v>0</v>
          </cell>
          <cell r="R161">
            <v>0</v>
          </cell>
        </row>
        <row r="162">
          <cell r="Q162">
            <v>0</v>
          </cell>
          <cell r="R162">
            <v>0</v>
          </cell>
        </row>
        <row r="163">
          <cell r="Q163">
            <v>0</v>
          </cell>
          <cell r="R163">
            <v>0</v>
          </cell>
        </row>
        <row r="164">
          <cell r="Q164">
            <v>0</v>
          </cell>
          <cell r="R164">
            <v>0</v>
          </cell>
        </row>
        <row r="165">
          <cell r="Q165">
            <v>0</v>
          </cell>
          <cell r="R165">
            <v>0</v>
          </cell>
        </row>
        <row r="166">
          <cell r="Q166">
            <v>0</v>
          </cell>
          <cell r="R166">
            <v>0</v>
          </cell>
        </row>
        <row r="167">
          <cell r="Q167">
            <v>0</v>
          </cell>
          <cell r="R167">
            <v>0</v>
          </cell>
        </row>
        <row r="168">
          <cell r="Q168">
            <v>0</v>
          </cell>
          <cell r="R168">
            <v>0</v>
          </cell>
        </row>
        <row r="169">
          <cell r="Q169">
            <v>0</v>
          </cell>
          <cell r="R169">
            <v>0</v>
          </cell>
        </row>
        <row r="170">
          <cell r="Q170">
            <v>0</v>
          </cell>
          <cell r="R170">
            <v>0</v>
          </cell>
        </row>
        <row r="171">
          <cell r="Q171">
            <v>0</v>
          </cell>
          <cell r="R171">
            <v>0</v>
          </cell>
        </row>
        <row r="172">
          <cell r="Q172">
            <v>0</v>
          </cell>
          <cell r="R172">
            <v>0</v>
          </cell>
        </row>
        <row r="173">
          <cell r="Q173">
            <v>0</v>
          </cell>
          <cell r="R173">
            <v>0</v>
          </cell>
        </row>
        <row r="174">
          <cell r="Q174">
            <v>0</v>
          </cell>
          <cell r="R174">
            <v>0</v>
          </cell>
        </row>
        <row r="175">
          <cell r="Q175">
            <v>0</v>
          </cell>
          <cell r="R175">
            <v>0</v>
          </cell>
        </row>
        <row r="176">
          <cell r="Q176">
            <v>0</v>
          </cell>
          <cell r="R176">
            <v>0</v>
          </cell>
        </row>
        <row r="177">
          <cell r="Q177">
            <v>0</v>
          </cell>
          <cell r="R177">
            <v>0</v>
          </cell>
        </row>
        <row r="178">
          <cell r="Q178">
            <v>0</v>
          </cell>
          <cell r="R178">
            <v>0</v>
          </cell>
        </row>
        <row r="179">
          <cell r="Q179">
            <v>0</v>
          </cell>
          <cell r="R179">
            <v>0</v>
          </cell>
        </row>
        <row r="180">
          <cell r="Q180">
            <v>0</v>
          </cell>
          <cell r="R180">
            <v>0</v>
          </cell>
        </row>
        <row r="181">
          <cell r="Q181">
            <v>0</v>
          </cell>
          <cell r="R181">
            <v>0</v>
          </cell>
        </row>
        <row r="182">
          <cell r="Q182">
            <v>0</v>
          </cell>
          <cell r="R182">
            <v>0</v>
          </cell>
        </row>
        <row r="183">
          <cell r="Q183">
            <v>0</v>
          </cell>
          <cell r="R183">
            <v>0</v>
          </cell>
        </row>
        <row r="184">
          <cell r="Q184">
            <v>0</v>
          </cell>
          <cell r="R184">
            <v>0</v>
          </cell>
        </row>
        <row r="185">
          <cell r="Q185">
            <v>0</v>
          </cell>
          <cell r="R185">
            <v>0</v>
          </cell>
        </row>
        <row r="186">
          <cell r="Q186">
            <v>0</v>
          </cell>
          <cell r="R186">
            <v>0</v>
          </cell>
        </row>
        <row r="187">
          <cell r="Q187">
            <v>0</v>
          </cell>
          <cell r="R187">
            <v>0</v>
          </cell>
        </row>
        <row r="188">
          <cell r="Q188">
            <v>0</v>
          </cell>
          <cell r="R188">
            <v>0</v>
          </cell>
        </row>
        <row r="189">
          <cell r="Q189">
            <v>2.3692804177266775</v>
          </cell>
          <cell r="R189">
            <v>0</v>
          </cell>
        </row>
        <row r="190">
          <cell r="Q190">
            <v>15.90875</v>
          </cell>
          <cell r="R190">
            <v>0</v>
          </cell>
        </row>
        <row r="191">
          <cell r="Q191">
            <v>2.0511730207520444</v>
          </cell>
          <cell r="R191">
            <v>0</v>
          </cell>
        </row>
        <row r="192">
          <cell r="Q192">
            <v>2.3692804177266775</v>
          </cell>
          <cell r="R192">
            <v>0</v>
          </cell>
        </row>
        <row r="193">
          <cell r="Q193">
            <v>2.5221372188703337</v>
          </cell>
          <cell r="R193">
            <v>0</v>
          </cell>
        </row>
        <row r="194">
          <cell r="Q194">
            <v>1.8750622058389901</v>
          </cell>
          <cell r="R194">
            <v>0</v>
          </cell>
        </row>
        <row r="195">
          <cell r="Q195">
            <v>0</v>
          </cell>
          <cell r="R195">
            <v>0</v>
          </cell>
        </row>
        <row r="196">
          <cell r="Q196">
            <v>0</v>
          </cell>
          <cell r="R196">
            <v>0</v>
          </cell>
        </row>
        <row r="197">
          <cell r="Q197">
            <v>0</v>
          </cell>
          <cell r="R197">
            <v>0</v>
          </cell>
        </row>
        <row r="198">
          <cell r="Q198">
            <v>0</v>
          </cell>
          <cell r="R198">
            <v>0</v>
          </cell>
        </row>
        <row r="199">
          <cell r="Q199">
            <v>0</v>
          </cell>
          <cell r="R199">
            <v>0</v>
          </cell>
        </row>
        <row r="200">
          <cell r="Q200">
            <v>0</v>
          </cell>
          <cell r="R200">
            <v>0</v>
          </cell>
        </row>
        <row r="201">
          <cell r="Q201">
            <v>0</v>
          </cell>
          <cell r="R201">
            <v>0</v>
          </cell>
        </row>
        <row r="202">
          <cell r="Q202">
            <v>0</v>
          </cell>
          <cell r="R202">
            <v>0</v>
          </cell>
        </row>
        <row r="203">
          <cell r="Q203">
            <v>0</v>
          </cell>
          <cell r="R203">
            <v>0</v>
          </cell>
        </row>
        <row r="204">
          <cell r="Q204">
            <v>0</v>
          </cell>
          <cell r="R204">
            <v>0</v>
          </cell>
        </row>
        <row r="205">
          <cell r="Q205">
            <v>0</v>
          </cell>
          <cell r="R205">
            <v>0</v>
          </cell>
        </row>
        <row r="206">
          <cell r="Q206">
            <v>0</v>
          </cell>
          <cell r="R206">
            <v>0</v>
          </cell>
        </row>
        <row r="207">
          <cell r="Q207">
            <v>0</v>
          </cell>
          <cell r="R207">
            <v>0</v>
          </cell>
        </row>
        <row r="208">
          <cell r="Q208">
            <v>0</v>
          </cell>
          <cell r="R208">
            <v>0</v>
          </cell>
        </row>
        <row r="209">
          <cell r="Q209">
            <v>0</v>
          </cell>
          <cell r="R209">
            <v>0</v>
          </cell>
        </row>
        <row r="210">
          <cell r="Q210">
            <v>0</v>
          </cell>
          <cell r="R210">
            <v>0</v>
          </cell>
        </row>
        <row r="211">
          <cell r="Q211">
            <v>0</v>
          </cell>
          <cell r="R211">
            <v>0</v>
          </cell>
        </row>
        <row r="212">
          <cell r="Q212">
            <v>16.331500000000002</v>
          </cell>
          <cell r="R212">
            <v>0</v>
          </cell>
        </row>
        <row r="213">
          <cell r="Q213">
            <v>2.102970319255884</v>
          </cell>
          <cell r="R213">
            <v>0</v>
          </cell>
        </row>
        <row r="214">
          <cell r="Q214">
            <v>2.7641604873477901</v>
          </cell>
          <cell r="R214">
            <v>0</v>
          </cell>
        </row>
        <row r="215">
          <cell r="Q215">
            <v>0</v>
          </cell>
          <cell r="R215">
            <v>0</v>
          </cell>
        </row>
        <row r="216">
          <cell r="Q216">
            <v>0</v>
          </cell>
          <cell r="R216">
            <v>0</v>
          </cell>
        </row>
        <row r="217">
          <cell r="Q217">
            <v>4.5835000000000008</v>
          </cell>
          <cell r="R217">
            <v>0</v>
          </cell>
        </row>
        <row r="218">
          <cell r="Q218">
            <v>0</v>
          </cell>
          <cell r="R218">
            <v>0</v>
          </cell>
        </row>
        <row r="219">
          <cell r="Q219">
            <v>4.2799904320223847</v>
          </cell>
          <cell r="R219">
            <v>0</v>
          </cell>
        </row>
        <row r="220">
          <cell r="Q220">
            <v>1.464877677626709</v>
          </cell>
          <cell r="R220">
            <v>0</v>
          </cell>
        </row>
        <row r="221">
          <cell r="Q221">
            <v>1.464877677626709</v>
          </cell>
          <cell r="R221">
            <v>0</v>
          </cell>
        </row>
        <row r="222">
          <cell r="Q222">
            <v>4.2799904320223847</v>
          </cell>
          <cell r="R222">
            <v>0</v>
          </cell>
        </row>
        <row r="223">
          <cell r="Q223">
            <v>1.464877677626709</v>
          </cell>
          <cell r="R223">
            <v>0</v>
          </cell>
        </row>
        <row r="224">
          <cell r="Q224">
            <v>1.464877677626709</v>
          </cell>
          <cell r="R224">
            <v>0</v>
          </cell>
        </row>
        <row r="225">
          <cell r="Q225">
            <v>0</v>
          </cell>
          <cell r="R225">
            <v>0</v>
          </cell>
        </row>
        <row r="226">
          <cell r="Q226">
            <v>0</v>
          </cell>
          <cell r="R226">
            <v>0</v>
          </cell>
        </row>
        <row r="227">
          <cell r="Q227">
            <v>0</v>
          </cell>
          <cell r="R227">
            <v>0</v>
          </cell>
        </row>
        <row r="228">
          <cell r="Q228">
            <v>0</v>
          </cell>
          <cell r="R228">
            <v>0</v>
          </cell>
        </row>
        <row r="229">
          <cell r="Q229">
            <v>0</v>
          </cell>
          <cell r="R229">
            <v>0</v>
          </cell>
        </row>
        <row r="230">
          <cell r="Q230">
            <v>0</v>
          </cell>
          <cell r="R230">
            <v>0</v>
          </cell>
        </row>
        <row r="231">
          <cell r="Q231">
            <v>0</v>
          </cell>
          <cell r="R231">
            <v>0</v>
          </cell>
        </row>
        <row r="232">
          <cell r="Q232">
            <v>0</v>
          </cell>
          <cell r="R232">
            <v>0</v>
          </cell>
        </row>
        <row r="233">
          <cell r="Q233">
            <v>0</v>
          </cell>
          <cell r="R233">
            <v>0</v>
          </cell>
        </row>
        <row r="234">
          <cell r="Q234">
            <v>0</v>
          </cell>
          <cell r="R234">
            <v>0</v>
          </cell>
        </row>
        <row r="235">
          <cell r="Q235">
            <v>0</v>
          </cell>
          <cell r="R235">
            <v>0</v>
          </cell>
        </row>
        <row r="236">
          <cell r="Q236">
            <v>0</v>
          </cell>
          <cell r="R236">
            <v>0</v>
          </cell>
        </row>
        <row r="237">
          <cell r="Q237">
            <v>0</v>
          </cell>
          <cell r="R237">
            <v>0</v>
          </cell>
        </row>
        <row r="238">
          <cell r="Q238">
            <v>0</v>
          </cell>
          <cell r="R238">
            <v>0</v>
          </cell>
        </row>
        <row r="239">
          <cell r="Q239">
            <v>0</v>
          </cell>
          <cell r="R239">
            <v>0</v>
          </cell>
        </row>
        <row r="240">
          <cell r="Q240">
            <v>0</v>
          </cell>
          <cell r="R240">
            <v>0</v>
          </cell>
        </row>
        <row r="241">
          <cell r="Q241">
            <v>0</v>
          </cell>
          <cell r="R241">
            <v>0</v>
          </cell>
        </row>
        <row r="242">
          <cell r="Q242">
            <v>0</v>
          </cell>
          <cell r="R242">
            <v>0</v>
          </cell>
        </row>
        <row r="243">
          <cell r="Q243">
            <v>0</v>
          </cell>
          <cell r="R243">
            <v>0</v>
          </cell>
        </row>
        <row r="244">
          <cell r="Q244">
            <v>0</v>
          </cell>
          <cell r="R244">
            <v>0</v>
          </cell>
        </row>
        <row r="245">
          <cell r="Q245">
            <v>0</v>
          </cell>
          <cell r="R245">
            <v>0</v>
          </cell>
        </row>
        <row r="246">
          <cell r="Q246">
            <v>8.7055388188949241</v>
          </cell>
          <cell r="R246">
            <v>0</v>
          </cell>
        </row>
        <row r="247">
          <cell r="Q247">
            <v>0</v>
          </cell>
          <cell r="R247">
            <v>0</v>
          </cell>
        </row>
        <row r="248">
          <cell r="Q248">
            <v>1.7578532131520508</v>
          </cell>
          <cell r="R248">
            <v>0</v>
          </cell>
        </row>
        <row r="249">
          <cell r="Q249">
            <v>1.5540441449605087</v>
          </cell>
          <cell r="R249">
            <v>0</v>
          </cell>
        </row>
        <row r="250">
          <cell r="Q250">
            <v>0</v>
          </cell>
          <cell r="R250">
            <v>0</v>
          </cell>
        </row>
        <row r="251">
          <cell r="Q251">
            <v>0</v>
          </cell>
          <cell r="R251">
            <v>0</v>
          </cell>
        </row>
        <row r="252">
          <cell r="Q252">
            <v>0</v>
          </cell>
          <cell r="R252">
            <v>0</v>
          </cell>
        </row>
        <row r="253">
          <cell r="Q253">
            <v>0</v>
          </cell>
          <cell r="R253">
            <v>0</v>
          </cell>
        </row>
        <row r="254">
          <cell r="Q254">
            <v>0</v>
          </cell>
          <cell r="R254">
            <v>0</v>
          </cell>
        </row>
        <row r="255">
          <cell r="Q255">
            <v>0</v>
          </cell>
          <cell r="R255">
            <v>0</v>
          </cell>
        </row>
        <row r="256">
          <cell r="Q256">
            <v>0</v>
          </cell>
          <cell r="R256">
            <v>0</v>
          </cell>
        </row>
        <row r="257">
          <cell r="Q257">
            <v>0</v>
          </cell>
          <cell r="R257">
            <v>0</v>
          </cell>
        </row>
        <row r="258">
          <cell r="Q258">
            <v>0</v>
          </cell>
          <cell r="R258">
            <v>0</v>
          </cell>
        </row>
        <row r="259">
          <cell r="Q259">
            <v>0</v>
          </cell>
          <cell r="R259">
            <v>0</v>
          </cell>
        </row>
        <row r="260">
          <cell r="Q260">
            <v>9.8578513199613926</v>
          </cell>
          <cell r="R260">
            <v>0</v>
          </cell>
        </row>
        <row r="261">
          <cell r="Q261">
            <v>7.2491962096695053</v>
          </cell>
          <cell r="R261">
            <v>0</v>
          </cell>
        </row>
        <row r="262">
          <cell r="Q262">
            <v>18.793979999999998</v>
          </cell>
          <cell r="R262">
            <v>0</v>
          </cell>
        </row>
        <row r="263">
          <cell r="Q263">
            <v>0</v>
          </cell>
          <cell r="R263">
            <v>0</v>
          </cell>
        </row>
        <row r="264">
          <cell r="Q264">
            <v>3.4392780257322735</v>
          </cell>
          <cell r="R264">
            <v>3.4392780257322735</v>
          </cell>
        </row>
        <row r="265">
          <cell r="Q265">
            <v>3.4520160924942447</v>
          </cell>
          <cell r="R265">
            <v>3.4520160924942447</v>
          </cell>
        </row>
        <row r="266">
          <cell r="Q266">
            <v>2.8477440543164754</v>
          </cell>
          <cell r="R266">
            <v>0</v>
          </cell>
        </row>
        <row r="267">
          <cell r="Q267">
            <v>0</v>
          </cell>
          <cell r="R267">
            <v>0</v>
          </cell>
        </row>
        <row r="268">
          <cell r="Q268">
            <v>0</v>
          </cell>
          <cell r="R268">
            <v>0</v>
          </cell>
        </row>
        <row r="269">
          <cell r="Q269">
            <v>18.793979999999998</v>
          </cell>
          <cell r="R269">
            <v>0</v>
          </cell>
        </row>
        <row r="270">
          <cell r="Q270">
            <v>3.4392780257322735</v>
          </cell>
          <cell r="R270">
            <v>3.4392780257322735</v>
          </cell>
        </row>
        <row r="271">
          <cell r="Q271">
            <v>3.0146027729234595</v>
          </cell>
          <cell r="R271">
            <v>0</v>
          </cell>
        </row>
        <row r="272">
          <cell r="Q272">
            <v>0</v>
          </cell>
          <cell r="R272">
            <v>0</v>
          </cell>
        </row>
        <row r="273">
          <cell r="Q273">
            <v>16.09248112291495</v>
          </cell>
          <cell r="R273">
            <v>0</v>
          </cell>
        </row>
        <row r="274">
          <cell r="Q274">
            <v>0</v>
          </cell>
          <cell r="R274">
            <v>0</v>
          </cell>
        </row>
        <row r="275">
          <cell r="Q275">
            <v>10.327472492259723</v>
          </cell>
          <cell r="R275">
            <v>0</v>
          </cell>
        </row>
        <row r="276">
          <cell r="Q276">
            <v>3.4392780257322735</v>
          </cell>
          <cell r="R276">
            <v>3.4392780257322735</v>
          </cell>
        </row>
        <row r="277">
          <cell r="Q277">
            <v>0</v>
          </cell>
          <cell r="R277">
            <v>0</v>
          </cell>
        </row>
        <row r="278">
          <cell r="Q278">
            <v>18.793979999999998</v>
          </cell>
          <cell r="R278">
            <v>0</v>
          </cell>
        </row>
        <row r="279">
          <cell r="Q279">
            <v>0</v>
          </cell>
          <cell r="R279">
            <v>0</v>
          </cell>
        </row>
        <row r="280">
          <cell r="Q280">
            <v>3.4392780257322735</v>
          </cell>
          <cell r="R280">
            <v>3.4392780257322735</v>
          </cell>
        </row>
        <row r="281">
          <cell r="Q281">
            <v>3.0146027729234595</v>
          </cell>
          <cell r="R281">
            <v>0</v>
          </cell>
        </row>
        <row r="282">
          <cell r="Q282">
            <v>8.7631600000000009</v>
          </cell>
          <cell r="R282">
            <v>0</v>
          </cell>
        </row>
        <row r="283">
          <cell r="Q283">
            <v>6.6907200000000007</v>
          </cell>
          <cell r="R283">
            <v>0</v>
          </cell>
        </row>
        <row r="284">
          <cell r="Q284">
            <v>1.235592475911224</v>
          </cell>
          <cell r="R284">
            <v>1.235592475911224</v>
          </cell>
        </row>
        <row r="285">
          <cell r="Q285">
            <v>6.6907200000000007</v>
          </cell>
          <cell r="R285">
            <v>0</v>
          </cell>
        </row>
        <row r="286">
          <cell r="Q286">
            <v>1.235592475911224</v>
          </cell>
          <cell r="R286">
            <v>1.235592475911224</v>
          </cell>
        </row>
        <row r="287">
          <cell r="Q287">
            <v>8.7316000000000003</v>
          </cell>
          <cell r="R287">
            <v>0</v>
          </cell>
        </row>
        <row r="288">
          <cell r="Q288">
            <v>0</v>
          </cell>
          <cell r="R288">
            <v>0</v>
          </cell>
        </row>
        <row r="289">
          <cell r="Q289">
            <v>0</v>
          </cell>
          <cell r="R289">
            <v>0</v>
          </cell>
        </row>
        <row r="290">
          <cell r="Q290">
            <v>7.2430200000000005</v>
          </cell>
          <cell r="R290">
            <v>0</v>
          </cell>
        </row>
        <row r="291">
          <cell r="Q291">
            <v>3.3248272551259714</v>
          </cell>
          <cell r="R291">
            <v>0</v>
          </cell>
        </row>
        <row r="292">
          <cell r="Q292">
            <v>10.535780000000001</v>
          </cell>
          <cell r="R292">
            <v>0</v>
          </cell>
        </row>
        <row r="293">
          <cell r="Q293">
            <v>0</v>
          </cell>
          <cell r="R293">
            <v>0</v>
          </cell>
        </row>
        <row r="294">
          <cell r="Q294">
            <v>5.6302255087913515</v>
          </cell>
          <cell r="R294">
            <v>5.6302255087913515</v>
          </cell>
        </row>
        <row r="295">
          <cell r="Q295">
            <v>6.0533503577216292</v>
          </cell>
          <cell r="R295">
            <v>0</v>
          </cell>
        </row>
        <row r="296">
          <cell r="Q296">
            <v>0</v>
          </cell>
          <cell r="R296">
            <v>0</v>
          </cell>
        </row>
        <row r="297">
          <cell r="Q297">
            <v>5.8964600000000011</v>
          </cell>
          <cell r="R297">
            <v>0</v>
          </cell>
        </row>
        <row r="298">
          <cell r="Q298">
            <v>5.5808600000000004</v>
          </cell>
          <cell r="R298">
            <v>0</v>
          </cell>
        </row>
        <row r="299">
          <cell r="Q299">
            <v>0</v>
          </cell>
          <cell r="R299">
            <v>0</v>
          </cell>
        </row>
        <row r="300">
          <cell r="Q300">
            <v>5.4756600000000004</v>
          </cell>
          <cell r="R300">
            <v>0</v>
          </cell>
        </row>
        <row r="301">
          <cell r="Q301">
            <v>5.7912600000000003</v>
          </cell>
          <cell r="R301">
            <v>0</v>
          </cell>
        </row>
        <row r="302">
          <cell r="Q302">
            <v>3.91940517320241</v>
          </cell>
          <cell r="R302">
            <v>0</v>
          </cell>
        </row>
        <row r="303">
          <cell r="Q303">
            <v>3.556174058026174</v>
          </cell>
          <cell r="R303">
            <v>0</v>
          </cell>
        </row>
        <row r="304">
          <cell r="Q304">
            <v>9.2986742852408284</v>
          </cell>
          <cell r="R304">
            <v>0</v>
          </cell>
        </row>
        <row r="305">
          <cell r="Q305">
            <v>5.2776259456772268</v>
          </cell>
          <cell r="R305">
            <v>0</v>
          </cell>
        </row>
        <row r="306">
          <cell r="Q306">
            <v>1.0052620848909004</v>
          </cell>
          <cell r="R306">
            <v>0</v>
          </cell>
        </row>
        <row r="307">
          <cell r="Q307">
            <v>0</v>
          </cell>
          <cell r="R307">
            <v>0</v>
          </cell>
        </row>
        <row r="308">
          <cell r="Q308">
            <v>0</v>
          </cell>
          <cell r="R308">
            <v>0</v>
          </cell>
        </row>
        <row r="309">
          <cell r="Q309">
            <v>0</v>
          </cell>
          <cell r="R309">
            <v>0</v>
          </cell>
        </row>
        <row r="310">
          <cell r="Q310">
            <v>0</v>
          </cell>
          <cell r="R310">
            <v>0</v>
          </cell>
        </row>
        <row r="311">
          <cell r="Q311">
            <v>0</v>
          </cell>
          <cell r="R311">
            <v>0</v>
          </cell>
        </row>
        <row r="312">
          <cell r="Q312">
            <v>21.934200000000004</v>
          </cell>
          <cell r="R312">
            <v>0</v>
          </cell>
        </row>
        <row r="314">
          <cell r="Q314">
            <v>12.7818</v>
          </cell>
          <cell r="R314">
            <v>0</v>
          </cell>
        </row>
        <row r="315">
          <cell r="Q315">
            <v>4.4545676713301976</v>
          </cell>
          <cell r="R315">
            <v>4.4545676713301976</v>
          </cell>
        </row>
        <row r="316">
          <cell r="Q316">
            <v>0</v>
          </cell>
          <cell r="R316">
            <v>0</v>
          </cell>
        </row>
        <row r="317">
          <cell r="Q317">
            <v>0</v>
          </cell>
          <cell r="R317">
            <v>0</v>
          </cell>
        </row>
        <row r="318">
          <cell r="Q318">
            <v>0</v>
          </cell>
          <cell r="R318">
            <v>0</v>
          </cell>
        </row>
        <row r="319">
          <cell r="Q319">
            <v>11.361600000000001</v>
          </cell>
          <cell r="R319">
            <v>0</v>
          </cell>
        </row>
        <row r="320">
          <cell r="Q320">
            <v>4.8689460593609137</v>
          </cell>
          <cell r="R320">
            <v>4.8689460593609137</v>
          </cell>
        </row>
        <row r="321">
          <cell r="Q321">
            <v>0</v>
          </cell>
          <cell r="R321">
            <v>0</v>
          </cell>
        </row>
        <row r="322">
          <cell r="Q322">
            <v>11.572000000000001</v>
          </cell>
          <cell r="R322">
            <v>0</v>
          </cell>
        </row>
        <row r="323">
          <cell r="Q323">
            <v>4.8689460593609137</v>
          </cell>
          <cell r="R323">
            <v>4.8689460593609137</v>
          </cell>
        </row>
        <row r="324">
          <cell r="Q324">
            <v>0</v>
          </cell>
          <cell r="R324">
            <v>0</v>
          </cell>
        </row>
        <row r="325">
          <cell r="Q325">
            <v>3.3445007891799712</v>
          </cell>
          <cell r="R325">
            <v>0</v>
          </cell>
        </row>
        <row r="326">
          <cell r="Q326">
            <v>0</v>
          </cell>
          <cell r="R326">
            <v>0</v>
          </cell>
        </row>
        <row r="327">
          <cell r="Q327">
            <v>14.728000000000002</v>
          </cell>
          <cell r="R327">
            <v>0</v>
          </cell>
        </row>
        <row r="328">
          <cell r="Q328">
            <v>4.8689460593609137</v>
          </cell>
          <cell r="R328">
            <v>4.8689460593609137</v>
          </cell>
        </row>
        <row r="329">
          <cell r="Q329">
            <v>0</v>
          </cell>
          <cell r="R329">
            <v>0</v>
          </cell>
        </row>
        <row r="330">
          <cell r="Q330">
            <v>14.0442</v>
          </cell>
          <cell r="R330">
            <v>0</v>
          </cell>
        </row>
        <row r="331">
          <cell r="Q331">
            <v>4.8689460593609137</v>
          </cell>
          <cell r="R331">
            <v>4.8689460593609137</v>
          </cell>
        </row>
        <row r="332">
          <cell r="Q332">
            <v>0</v>
          </cell>
          <cell r="R332">
            <v>0</v>
          </cell>
        </row>
        <row r="333">
          <cell r="Q333">
            <v>0</v>
          </cell>
          <cell r="R333">
            <v>0</v>
          </cell>
        </row>
        <row r="334">
          <cell r="Q334">
            <v>15.569600000000001</v>
          </cell>
          <cell r="R334">
            <v>0</v>
          </cell>
        </row>
        <row r="335">
          <cell r="Q335">
            <v>4.8689460593609137</v>
          </cell>
          <cell r="R335">
            <v>4.8689460593609137</v>
          </cell>
        </row>
        <row r="336">
          <cell r="Q336">
            <v>8.4686000000000003</v>
          </cell>
          <cell r="R336">
            <v>0</v>
          </cell>
        </row>
        <row r="337">
          <cell r="Q337">
            <v>4.8689460593609137</v>
          </cell>
          <cell r="R337">
            <v>4.8689460593609137</v>
          </cell>
        </row>
        <row r="338">
          <cell r="Q338">
            <v>6.8164649830114437</v>
          </cell>
          <cell r="R338">
            <v>0</v>
          </cell>
        </row>
        <row r="339">
          <cell r="Q339">
            <v>0</v>
          </cell>
          <cell r="R339">
            <v>0</v>
          </cell>
        </row>
        <row r="340">
          <cell r="Q340">
            <v>8.7316000000000003</v>
          </cell>
          <cell r="R340">
            <v>0</v>
          </cell>
        </row>
        <row r="341">
          <cell r="Q341">
            <v>1.1572000000000002</v>
          </cell>
          <cell r="R341">
            <v>0</v>
          </cell>
        </row>
        <row r="342">
          <cell r="Q342">
            <v>4.8689460593609137</v>
          </cell>
          <cell r="R342">
            <v>4.8689460593609137</v>
          </cell>
        </row>
        <row r="343">
          <cell r="Q343">
            <v>0</v>
          </cell>
          <cell r="R343">
            <v>0</v>
          </cell>
        </row>
        <row r="344">
          <cell r="Q344">
            <v>0</v>
          </cell>
          <cell r="R344">
            <v>0</v>
          </cell>
        </row>
        <row r="345">
          <cell r="Q345">
            <v>0</v>
          </cell>
          <cell r="R345">
            <v>0</v>
          </cell>
        </row>
        <row r="346">
          <cell r="Q346">
            <v>3.7589919475168352</v>
          </cell>
          <cell r="R346">
            <v>0</v>
          </cell>
        </row>
        <row r="347">
          <cell r="Q347">
            <v>0</v>
          </cell>
          <cell r="R347">
            <v>0</v>
          </cell>
        </row>
        <row r="348">
          <cell r="Q348">
            <v>8.2582000000000004</v>
          </cell>
          <cell r="R348">
            <v>0</v>
          </cell>
        </row>
        <row r="349">
          <cell r="Q349">
            <v>4.6617568653455557</v>
          </cell>
          <cell r="R349">
            <v>4.6617568653455557</v>
          </cell>
        </row>
        <row r="350">
          <cell r="Q350">
            <v>0</v>
          </cell>
          <cell r="R350">
            <v>0</v>
          </cell>
        </row>
        <row r="351">
          <cell r="Q351">
            <v>7.9426000000000005</v>
          </cell>
          <cell r="R351">
            <v>0</v>
          </cell>
        </row>
        <row r="352">
          <cell r="Q352">
            <v>4.8689460593609137</v>
          </cell>
          <cell r="R352">
            <v>4.8689460593609137</v>
          </cell>
        </row>
        <row r="353">
          <cell r="Q353">
            <v>0</v>
          </cell>
          <cell r="R353">
            <v>0</v>
          </cell>
        </row>
        <row r="354">
          <cell r="Q354">
            <v>0</v>
          </cell>
          <cell r="R354">
            <v>0</v>
          </cell>
        </row>
        <row r="355">
          <cell r="Q355">
            <v>10.024976141574504</v>
          </cell>
          <cell r="R355">
            <v>0</v>
          </cell>
        </row>
        <row r="356">
          <cell r="Q356">
            <v>6.2175459950502185</v>
          </cell>
          <cell r="R356">
            <v>0</v>
          </cell>
        </row>
        <row r="357">
          <cell r="Q357">
            <v>22.99146</v>
          </cell>
          <cell r="R357">
            <v>0</v>
          </cell>
        </row>
        <row r="358">
          <cell r="Q358">
            <v>0</v>
          </cell>
          <cell r="R358">
            <v>0</v>
          </cell>
        </row>
        <row r="359">
          <cell r="Q359">
            <v>0</v>
          </cell>
          <cell r="R359">
            <v>0</v>
          </cell>
        </row>
        <row r="360">
          <cell r="Q360">
            <v>0</v>
          </cell>
          <cell r="R360">
            <v>0</v>
          </cell>
        </row>
        <row r="361">
          <cell r="Q361">
            <v>17.7788</v>
          </cell>
          <cell r="R361">
            <v>0</v>
          </cell>
        </row>
        <row r="362">
          <cell r="Q362">
            <v>4.1780858979266133</v>
          </cell>
          <cell r="R362">
            <v>4.1780858979266133</v>
          </cell>
        </row>
        <row r="363">
          <cell r="Q363">
            <v>3.6672487340718369</v>
          </cell>
          <cell r="R363">
            <v>0</v>
          </cell>
        </row>
        <row r="364">
          <cell r="Q364">
            <v>17.7788</v>
          </cell>
          <cell r="R364">
            <v>0</v>
          </cell>
        </row>
        <row r="365">
          <cell r="Q365">
            <v>0</v>
          </cell>
          <cell r="R365">
            <v>0</v>
          </cell>
        </row>
        <row r="366">
          <cell r="Q366">
            <v>0</v>
          </cell>
          <cell r="R366">
            <v>0</v>
          </cell>
        </row>
        <row r="367">
          <cell r="Q367">
            <v>4.1780858979266133</v>
          </cell>
          <cell r="R367">
            <v>4.1780858979266133</v>
          </cell>
        </row>
        <row r="368">
          <cell r="Q368">
            <v>3.6672487340718369</v>
          </cell>
          <cell r="R368">
            <v>0</v>
          </cell>
        </row>
        <row r="369">
          <cell r="Q369">
            <v>17.7788</v>
          </cell>
          <cell r="R369">
            <v>0</v>
          </cell>
        </row>
        <row r="370">
          <cell r="Q370">
            <v>0</v>
          </cell>
          <cell r="R370">
            <v>0</v>
          </cell>
        </row>
        <row r="371">
          <cell r="Q371">
            <v>0</v>
          </cell>
          <cell r="R371">
            <v>0</v>
          </cell>
        </row>
        <row r="372">
          <cell r="Q372">
            <v>4.1780858979266133</v>
          </cell>
          <cell r="R372">
            <v>4.1780858979266133</v>
          </cell>
        </row>
        <row r="373">
          <cell r="Q373">
            <v>3.6672487340718369</v>
          </cell>
          <cell r="R373">
            <v>0</v>
          </cell>
        </row>
        <row r="374">
          <cell r="Q374">
            <v>13.40774</v>
          </cell>
          <cell r="R374">
            <v>0</v>
          </cell>
        </row>
        <row r="375">
          <cell r="Q375">
            <v>6.5473663156532904</v>
          </cell>
          <cell r="R375">
            <v>6.5473663156532904</v>
          </cell>
        </row>
        <row r="376">
          <cell r="Q376">
            <v>13.239420000000001</v>
          </cell>
          <cell r="R376">
            <v>0</v>
          </cell>
        </row>
        <row r="377">
          <cell r="Q377">
            <v>2.2858164222759818</v>
          </cell>
          <cell r="R377">
            <v>0</v>
          </cell>
        </row>
        <row r="378">
          <cell r="Q378">
            <v>0</v>
          </cell>
          <cell r="R378">
            <v>0</v>
          </cell>
        </row>
        <row r="379">
          <cell r="Q379">
            <v>0</v>
          </cell>
          <cell r="R379">
            <v>0</v>
          </cell>
        </row>
        <row r="380">
          <cell r="Q380">
            <v>7.2430200000000005</v>
          </cell>
          <cell r="R380">
            <v>0</v>
          </cell>
        </row>
        <row r="381">
          <cell r="Q381">
            <v>0</v>
          </cell>
          <cell r="R381">
            <v>0</v>
          </cell>
        </row>
        <row r="382">
          <cell r="Q382">
            <v>4.9678460371688393</v>
          </cell>
          <cell r="R382">
            <v>4.9678460371688393</v>
          </cell>
        </row>
        <row r="383">
          <cell r="Q383">
            <v>5.4298953989039527</v>
          </cell>
          <cell r="R383">
            <v>0</v>
          </cell>
        </row>
        <row r="384">
          <cell r="Q384">
            <v>0</v>
          </cell>
          <cell r="R384">
            <v>0</v>
          </cell>
        </row>
        <row r="385">
          <cell r="Q385">
            <v>0</v>
          </cell>
          <cell r="R385">
            <v>0</v>
          </cell>
        </row>
        <row r="386">
          <cell r="Q386">
            <v>0</v>
          </cell>
          <cell r="R386">
            <v>0</v>
          </cell>
        </row>
        <row r="387">
          <cell r="Q387">
            <v>1.5985046320308611</v>
          </cell>
          <cell r="R387">
            <v>0</v>
          </cell>
        </row>
        <row r="388">
          <cell r="Q388">
            <v>5.8964600000000011</v>
          </cell>
          <cell r="R388">
            <v>0</v>
          </cell>
        </row>
        <row r="389">
          <cell r="Q389">
            <v>0</v>
          </cell>
          <cell r="R389">
            <v>0</v>
          </cell>
        </row>
        <row r="390">
          <cell r="Q390">
            <v>0</v>
          </cell>
          <cell r="R390">
            <v>0</v>
          </cell>
        </row>
        <row r="391">
          <cell r="Q391">
            <v>4.6876085684054694</v>
          </cell>
          <cell r="R391">
            <v>4.6876085684054694</v>
          </cell>
        </row>
        <row r="392">
          <cell r="Q392">
            <v>5.6124200000000002</v>
          </cell>
          <cell r="R392">
            <v>0</v>
          </cell>
        </row>
        <row r="393">
          <cell r="Q393">
            <v>2.5348752856323054</v>
          </cell>
          <cell r="R393">
            <v>2.5348752856323054</v>
          </cell>
        </row>
        <row r="394">
          <cell r="Q394">
            <v>0</v>
          </cell>
          <cell r="R394">
            <v>0</v>
          </cell>
        </row>
        <row r="395">
          <cell r="Q395">
            <v>0</v>
          </cell>
          <cell r="R395">
            <v>0</v>
          </cell>
        </row>
        <row r="396">
          <cell r="Q396">
            <v>4.9296318368829253</v>
          </cell>
          <cell r="R396">
            <v>4.9296318368829253</v>
          </cell>
        </row>
        <row r="397">
          <cell r="Q397">
            <v>7.4070136860490496</v>
          </cell>
          <cell r="R397">
            <v>0</v>
          </cell>
        </row>
        <row r="398">
          <cell r="Q398">
            <v>0</v>
          </cell>
          <cell r="R398">
            <v>0</v>
          </cell>
        </row>
        <row r="399">
          <cell r="Q399">
            <v>6.2451907023847193</v>
          </cell>
          <cell r="R399">
            <v>0</v>
          </cell>
        </row>
        <row r="400">
          <cell r="Q400">
            <v>23.217640000000003</v>
          </cell>
          <cell r="R400">
            <v>0</v>
          </cell>
        </row>
        <row r="401">
          <cell r="Q401">
            <v>0</v>
          </cell>
          <cell r="R401">
            <v>0</v>
          </cell>
        </row>
        <row r="402">
          <cell r="Q402">
            <v>0</v>
          </cell>
          <cell r="R402">
            <v>0</v>
          </cell>
        </row>
        <row r="403">
          <cell r="Q403">
            <v>0</v>
          </cell>
          <cell r="R403">
            <v>0</v>
          </cell>
        </row>
        <row r="404">
          <cell r="Q404">
            <v>17.7788</v>
          </cell>
          <cell r="R404">
            <v>0</v>
          </cell>
        </row>
        <row r="405">
          <cell r="Q405">
            <v>4.1780858979266133</v>
          </cell>
          <cell r="R405">
            <v>4.1780858979266133</v>
          </cell>
        </row>
        <row r="406">
          <cell r="Q406">
            <v>3.6672487340718369</v>
          </cell>
          <cell r="R406">
            <v>0</v>
          </cell>
        </row>
        <row r="407">
          <cell r="Q407">
            <v>17.7788</v>
          </cell>
          <cell r="R407">
            <v>0</v>
          </cell>
        </row>
        <row r="408">
          <cell r="Q408">
            <v>6.8577553045866511</v>
          </cell>
          <cell r="R408">
            <v>0</v>
          </cell>
        </row>
        <row r="409">
          <cell r="Q409">
            <v>4.1780858979266133</v>
          </cell>
          <cell r="R409">
            <v>4.1780858979266133</v>
          </cell>
        </row>
        <row r="410">
          <cell r="Q410">
            <v>3.6672487340718369</v>
          </cell>
          <cell r="R410">
            <v>0</v>
          </cell>
        </row>
        <row r="411">
          <cell r="Q411">
            <v>0</v>
          </cell>
          <cell r="R411">
            <v>0</v>
          </cell>
        </row>
        <row r="412">
          <cell r="Q412">
            <v>17.7788</v>
          </cell>
          <cell r="R412">
            <v>0</v>
          </cell>
        </row>
        <row r="413">
          <cell r="Q413">
            <v>0</v>
          </cell>
          <cell r="R413">
            <v>0</v>
          </cell>
        </row>
        <row r="414">
          <cell r="Q414">
            <v>0</v>
          </cell>
          <cell r="R414">
            <v>0</v>
          </cell>
        </row>
        <row r="415">
          <cell r="Q415">
            <v>4.1780858979266133</v>
          </cell>
          <cell r="R415">
            <v>4.1780858979266133</v>
          </cell>
        </row>
        <row r="416">
          <cell r="Q416">
            <v>3.6672487340718369</v>
          </cell>
          <cell r="R416">
            <v>0</v>
          </cell>
        </row>
        <row r="417">
          <cell r="Q417">
            <v>13.40774</v>
          </cell>
          <cell r="R417">
            <v>0</v>
          </cell>
        </row>
        <row r="418">
          <cell r="Q418">
            <v>6.5473663156532904</v>
          </cell>
          <cell r="R418">
            <v>6.5473663156532904</v>
          </cell>
        </row>
        <row r="419">
          <cell r="Q419">
            <v>13.239420000000001</v>
          </cell>
          <cell r="R419">
            <v>0</v>
          </cell>
        </row>
        <row r="420">
          <cell r="Q420">
            <v>0</v>
          </cell>
          <cell r="R420">
            <v>0</v>
          </cell>
        </row>
        <row r="421">
          <cell r="Q421">
            <v>0</v>
          </cell>
          <cell r="R421">
            <v>0</v>
          </cell>
        </row>
        <row r="422">
          <cell r="Q422">
            <v>0</v>
          </cell>
          <cell r="R422">
            <v>0</v>
          </cell>
        </row>
        <row r="423">
          <cell r="Q423">
            <v>7.2430200000000005</v>
          </cell>
          <cell r="R423">
            <v>0</v>
          </cell>
        </row>
        <row r="424">
          <cell r="Q424">
            <v>3.9893945512953097</v>
          </cell>
          <cell r="R424">
            <v>0</v>
          </cell>
        </row>
        <row r="425">
          <cell r="Q425">
            <v>5.0824886380265824</v>
          </cell>
          <cell r="R425">
            <v>5.0824886380265824</v>
          </cell>
        </row>
        <row r="426">
          <cell r="Q426">
            <v>0</v>
          </cell>
          <cell r="R426">
            <v>0</v>
          </cell>
        </row>
        <row r="427">
          <cell r="Q427">
            <v>0</v>
          </cell>
          <cell r="R427">
            <v>0</v>
          </cell>
        </row>
        <row r="428">
          <cell r="Q428">
            <v>0</v>
          </cell>
          <cell r="R428">
            <v>0</v>
          </cell>
        </row>
        <row r="429">
          <cell r="Q429">
            <v>0</v>
          </cell>
          <cell r="R429">
            <v>0</v>
          </cell>
        </row>
        <row r="430">
          <cell r="Q430">
            <v>0</v>
          </cell>
          <cell r="R430">
            <v>0</v>
          </cell>
        </row>
        <row r="431">
          <cell r="Q431">
            <v>5.98062</v>
          </cell>
          <cell r="R431">
            <v>0</v>
          </cell>
        </row>
        <row r="432">
          <cell r="Q432">
            <v>0</v>
          </cell>
          <cell r="R432">
            <v>0</v>
          </cell>
        </row>
        <row r="433">
          <cell r="Q433">
            <v>0</v>
          </cell>
          <cell r="R433">
            <v>0</v>
          </cell>
        </row>
        <row r="434">
          <cell r="Q434">
            <v>4.6876085684054694</v>
          </cell>
          <cell r="R434">
            <v>4.6876085684054694</v>
          </cell>
        </row>
        <row r="435">
          <cell r="Q435">
            <v>5.5177400000000008</v>
          </cell>
          <cell r="R435">
            <v>0</v>
          </cell>
        </row>
        <row r="436">
          <cell r="Q436">
            <v>2.5348752856323054</v>
          </cell>
          <cell r="R436">
            <v>2.5348752856323054</v>
          </cell>
        </row>
        <row r="437">
          <cell r="Q437">
            <v>0</v>
          </cell>
          <cell r="R437">
            <v>0</v>
          </cell>
        </row>
        <row r="438">
          <cell r="Q438">
            <v>3.5778415313424037</v>
          </cell>
          <cell r="R438">
            <v>0</v>
          </cell>
        </row>
        <row r="439">
          <cell r="Q439">
            <v>4.9296318368829253</v>
          </cell>
          <cell r="R439">
            <v>4.9296318368829253</v>
          </cell>
        </row>
        <row r="440">
          <cell r="Q440">
            <v>9.1077177348095386</v>
          </cell>
          <cell r="R440">
            <v>9.1077177348095386</v>
          </cell>
        </row>
        <row r="441">
          <cell r="Q441">
            <v>10.024976141574504</v>
          </cell>
          <cell r="R441">
            <v>0</v>
          </cell>
        </row>
        <row r="442">
          <cell r="Q442">
            <v>6.2451907023847193</v>
          </cell>
          <cell r="R442">
            <v>0</v>
          </cell>
        </row>
        <row r="443">
          <cell r="Q443">
            <v>23.217640000000003</v>
          </cell>
          <cell r="R443">
            <v>0</v>
          </cell>
        </row>
        <row r="444">
          <cell r="Q444">
            <v>0</v>
          </cell>
          <cell r="R444">
            <v>0</v>
          </cell>
        </row>
        <row r="445">
          <cell r="Q445">
            <v>0</v>
          </cell>
          <cell r="R445">
            <v>0</v>
          </cell>
        </row>
        <row r="446">
          <cell r="Q446">
            <v>0</v>
          </cell>
          <cell r="R446">
            <v>0</v>
          </cell>
        </row>
        <row r="447">
          <cell r="Q447">
            <v>17.7788</v>
          </cell>
          <cell r="R447">
            <v>0</v>
          </cell>
        </row>
        <row r="448">
          <cell r="Q448">
            <v>4.1780858979266133</v>
          </cell>
          <cell r="R448">
            <v>4.1780858979266133</v>
          </cell>
        </row>
        <row r="449">
          <cell r="Q449">
            <v>3.6672487340718369</v>
          </cell>
          <cell r="R449">
            <v>0</v>
          </cell>
        </row>
        <row r="450">
          <cell r="Q450">
            <v>17.7788</v>
          </cell>
          <cell r="R450">
            <v>0</v>
          </cell>
        </row>
        <row r="451">
          <cell r="Q451">
            <v>6.8577553045866511</v>
          </cell>
          <cell r="R451">
            <v>0</v>
          </cell>
        </row>
        <row r="452">
          <cell r="Q452">
            <v>4.1780858979266133</v>
          </cell>
          <cell r="R452">
            <v>4.1780858979266133</v>
          </cell>
        </row>
        <row r="453">
          <cell r="Q453">
            <v>3.6672487340718369</v>
          </cell>
          <cell r="R453">
            <v>0</v>
          </cell>
        </row>
        <row r="454">
          <cell r="Q454">
            <v>0</v>
          </cell>
          <cell r="R454">
            <v>0</v>
          </cell>
        </row>
        <row r="455">
          <cell r="Q455">
            <v>17.7788</v>
          </cell>
          <cell r="R455">
            <v>0</v>
          </cell>
        </row>
        <row r="456">
          <cell r="Q456">
            <v>4.3425227771276704</v>
          </cell>
          <cell r="R456">
            <v>0</v>
          </cell>
        </row>
        <row r="457">
          <cell r="Q457">
            <v>0</v>
          </cell>
          <cell r="R457">
            <v>0</v>
          </cell>
        </row>
        <row r="458">
          <cell r="Q458">
            <v>3.3979027818518714</v>
          </cell>
          <cell r="R458">
            <v>0</v>
          </cell>
        </row>
        <row r="459">
          <cell r="Q459">
            <v>4.5092756337378699</v>
          </cell>
          <cell r="R459">
            <v>4.5092756337378699</v>
          </cell>
        </row>
        <row r="460">
          <cell r="Q460">
            <v>13.40774</v>
          </cell>
          <cell r="R460">
            <v>0</v>
          </cell>
        </row>
        <row r="461">
          <cell r="Q461">
            <v>6.5473663156532904</v>
          </cell>
          <cell r="R461">
            <v>6.5473663156532904</v>
          </cell>
        </row>
        <row r="462">
          <cell r="Q462">
            <v>13.239420000000001</v>
          </cell>
          <cell r="R462">
            <v>0</v>
          </cell>
        </row>
        <row r="463">
          <cell r="Q463">
            <v>2.2858164222759818</v>
          </cell>
          <cell r="R463">
            <v>0</v>
          </cell>
        </row>
        <row r="464">
          <cell r="Q464">
            <v>0</v>
          </cell>
          <cell r="R464">
            <v>0</v>
          </cell>
        </row>
        <row r="465">
          <cell r="Q465">
            <v>0</v>
          </cell>
          <cell r="R465">
            <v>0</v>
          </cell>
        </row>
        <row r="466">
          <cell r="Q466">
            <v>7.2430200000000005</v>
          </cell>
          <cell r="R466">
            <v>0</v>
          </cell>
        </row>
        <row r="467">
          <cell r="Q467">
            <v>0</v>
          </cell>
          <cell r="R467">
            <v>0</v>
          </cell>
        </row>
        <row r="468">
          <cell r="Q468">
            <v>5.0824886380265824</v>
          </cell>
          <cell r="R468">
            <v>5.0824886380265824</v>
          </cell>
        </row>
        <row r="469">
          <cell r="Q469">
            <v>5.4298953989039527</v>
          </cell>
          <cell r="R469">
            <v>0</v>
          </cell>
        </row>
        <row r="470">
          <cell r="Q470">
            <v>0</v>
          </cell>
          <cell r="R470">
            <v>0</v>
          </cell>
        </row>
        <row r="471">
          <cell r="Q471">
            <v>0</v>
          </cell>
          <cell r="R471">
            <v>0</v>
          </cell>
        </row>
        <row r="472">
          <cell r="Q472">
            <v>5.3011055924071924</v>
          </cell>
          <cell r="R472">
            <v>0</v>
          </cell>
        </row>
        <row r="473">
          <cell r="Q473">
            <v>0.98740022468196309</v>
          </cell>
          <cell r="R473">
            <v>0</v>
          </cell>
        </row>
        <row r="474">
          <cell r="Q474">
            <v>5.98062</v>
          </cell>
          <cell r="R474">
            <v>0</v>
          </cell>
        </row>
        <row r="475">
          <cell r="Q475">
            <v>0</v>
          </cell>
          <cell r="R475">
            <v>0</v>
          </cell>
        </row>
        <row r="476">
          <cell r="Q476">
            <v>0</v>
          </cell>
          <cell r="R476">
            <v>0</v>
          </cell>
        </row>
        <row r="477">
          <cell r="Q477">
            <v>4.6876085684054694</v>
          </cell>
          <cell r="R477">
            <v>4.6876085684054694</v>
          </cell>
        </row>
        <row r="478">
          <cell r="Q478">
            <v>5.5177400000000008</v>
          </cell>
          <cell r="R478">
            <v>0</v>
          </cell>
        </row>
        <row r="479">
          <cell r="Q479">
            <v>2.5348752856323054</v>
          </cell>
          <cell r="R479">
            <v>2.5348752856323054</v>
          </cell>
        </row>
        <row r="480">
          <cell r="Q480">
            <v>3.3855427056608662</v>
          </cell>
          <cell r="R480">
            <v>0</v>
          </cell>
        </row>
        <row r="481">
          <cell r="Q481">
            <v>3.5778415313424037</v>
          </cell>
          <cell r="R481">
            <v>0</v>
          </cell>
        </row>
        <row r="482">
          <cell r="Q482">
            <v>4.9296318368829253</v>
          </cell>
          <cell r="R482">
            <v>4.9296318368829253</v>
          </cell>
        </row>
        <row r="483">
          <cell r="Q483">
            <v>9.1077177348095386</v>
          </cell>
          <cell r="R483">
            <v>9.1077177348095386</v>
          </cell>
        </row>
        <row r="484">
          <cell r="Q484">
            <v>10.024976141574504</v>
          </cell>
          <cell r="R484">
            <v>0</v>
          </cell>
        </row>
        <row r="485">
          <cell r="Q485">
            <v>6.2451907023847193</v>
          </cell>
          <cell r="R485">
            <v>0</v>
          </cell>
        </row>
        <row r="486">
          <cell r="Q486">
            <v>23.217640000000003</v>
          </cell>
          <cell r="R486">
            <v>0</v>
          </cell>
        </row>
        <row r="487">
          <cell r="Q487">
            <v>0</v>
          </cell>
          <cell r="R487">
            <v>0</v>
          </cell>
        </row>
        <row r="488">
          <cell r="Q488">
            <v>0</v>
          </cell>
          <cell r="R488">
            <v>0</v>
          </cell>
        </row>
        <row r="489">
          <cell r="Q489">
            <v>0</v>
          </cell>
          <cell r="R489">
            <v>0</v>
          </cell>
        </row>
        <row r="490">
          <cell r="Q490">
            <v>17.7788</v>
          </cell>
          <cell r="R490">
            <v>0</v>
          </cell>
        </row>
        <row r="491">
          <cell r="Q491">
            <v>4.1780858979266133</v>
          </cell>
          <cell r="R491">
            <v>4.1780858979266133</v>
          </cell>
        </row>
        <row r="492">
          <cell r="Q492">
            <v>3.6672487340718369</v>
          </cell>
          <cell r="R492">
            <v>0</v>
          </cell>
        </row>
        <row r="493">
          <cell r="Q493">
            <v>17.7788</v>
          </cell>
          <cell r="R493">
            <v>0</v>
          </cell>
        </row>
        <row r="494">
          <cell r="Q494">
            <v>11.40390769751488</v>
          </cell>
          <cell r="R494">
            <v>0</v>
          </cell>
        </row>
        <row r="495">
          <cell r="Q495">
            <v>4.1780858979266133</v>
          </cell>
          <cell r="R495">
            <v>4.1780858979266133</v>
          </cell>
        </row>
        <row r="496">
          <cell r="Q496">
            <v>3.6672487340718369</v>
          </cell>
          <cell r="R496">
            <v>0</v>
          </cell>
        </row>
        <row r="497">
          <cell r="Q497">
            <v>0</v>
          </cell>
          <cell r="R497">
            <v>0</v>
          </cell>
        </row>
        <row r="498">
          <cell r="Q498">
            <v>17.7788</v>
          </cell>
          <cell r="R498">
            <v>0</v>
          </cell>
        </row>
        <row r="499">
          <cell r="Q499">
            <v>0</v>
          </cell>
          <cell r="R499">
            <v>0</v>
          </cell>
        </row>
        <row r="500">
          <cell r="Q500">
            <v>0</v>
          </cell>
          <cell r="R500">
            <v>0</v>
          </cell>
        </row>
        <row r="501">
          <cell r="Q501">
            <v>4.1780858979266133</v>
          </cell>
          <cell r="R501">
            <v>4.1780858979266133</v>
          </cell>
        </row>
        <row r="502">
          <cell r="Q502">
            <v>3.6672487340718369</v>
          </cell>
          <cell r="R502">
            <v>0</v>
          </cell>
        </row>
        <row r="503">
          <cell r="Q503">
            <v>13.40774</v>
          </cell>
          <cell r="R503">
            <v>0</v>
          </cell>
        </row>
        <row r="504">
          <cell r="Q504">
            <v>6.5473663156532904</v>
          </cell>
          <cell r="R504">
            <v>6.5473663156532904</v>
          </cell>
        </row>
        <row r="505">
          <cell r="Q505">
            <v>13.239420000000001</v>
          </cell>
          <cell r="R505">
            <v>0</v>
          </cell>
        </row>
        <row r="506">
          <cell r="Q506">
            <v>0</v>
          </cell>
          <cell r="R506">
            <v>0</v>
          </cell>
        </row>
        <row r="507">
          <cell r="Q507">
            <v>0</v>
          </cell>
          <cell r="R507">
            <v>0</v>
          </cell>
        </row>
        <row r="508">
          <cell r="Q508">
            <v>0</v>
          </cell>
          <cell r="R508">
            <v>0</v>
          </cell>
        </row>
        <row r="509">
          <cell r="Q509">
            <v>7.2430200000000005</v>
          </cell>
          <cell r="R509">
            <v>0</v>
          </cell>
        </row>
        <row r="510">
          <cell r="Q510">
            <v>3.9893945512953097</v>
          </cell>
          <cell r="R510">
            <v>0</v>
          </cell>
        </row>
        <row r="511">
          <cell r="Q511">
            <v>5.0824886380265824</v>
          </cell>
          <cell r="R511">
            <v>5.0824886380265824</v>
          </cell>
        </row>
        <row r="512">
          <cell r="Q512">
            <v>5.4298953989039527</v>
          </cell>
          <cell r="R512">
            <v>0</v>
          </cell>
        </row>
        <row r="513">
          <cell r="Q513">
            <v>0</v>
          </cell>
          <cell r="R513">
            <v>0</v>
          </cell>
        </row>
        <row r="514">
          <cell r="Q514">
            <v>0</v>
          </cell>
          <cell r="R514">
            <v>0</v>
          </cell>
        </row>
        <row r="515">
          <cell r="Q515">
            <v>5.7662563362815868</v>
          </cell>
          <cell r="R515">
            <v>0</v>
          </cell>
        </row>
        <row r="516">
          <cell r="Q516">
            <v>0</v>
          </cell>
          <cell r="R516">
            <v>0</v>
          </cell>
        </row>
        <row r="517">
          <cell r="Q517">
            <v>5.98062</v>
          </cell>
          <cell r="R517">
            <v>0</v>
          </cell>
        </row>
        <row r="518">
          <cell r="Q518">
            <v>0</v>
          </cell>
          <cell r="R518">
            <v>0</v>
          </cell>
        </row>
        <row r="519">
          <cell r="Q519">
            <v>0</v>
          </cell>
          <cell r="R519">
            <v>0</v>
          </cell>
        </row>
        <row r="520">
          <cell r="Q520">
            <v>4.6876085684054694</v>
          </cell>
          <cell r="R520">
            <v>4.6876085684054694</v>
          </cell>
        </row>
        <row r="521">
          <cell r="Q521">
            <v>5.5177400000000008</v>
          </cell>
          <cell r="R521">
            <v>0</v>
          </cell>
        </row>
        <row r="522">
          <cell r="Q522">
            <v>2.5348752856323054</v>
          </cell>
          <cell r="R522">
            <v>2.5348752856323054</v>
          </cell>
        </row>
        <row r="523">
          <cell r="Q523">
            <v>3.3855427056608662</v>
          </cell>
          <cell r="R523">
            <v>0</v>
          </cell>
        </row>
        <row r="524">
          <cell r="Q524">
            <v>0</v>
          </cell>
          <cell r="R524">
            <v>0</v>
          </cell>
        </row>
        <row r="525">
          <cell r="Q525">
            <v>4.9296318368829253</v>
          </cell>
          <cell r="R525">
            <v>4.9296318368829253</v>
          </cell>
        </row>
        <row r="526">
          <cell r="Q526">
            <v>9.1077177348095386</v>
          </cell>
          <cell r="R526">
            <v>9.1077177348095386</v>
          </cell>
        </row>
        <row r="527">
          <cell r="Q527">
            <v>0</v>
          </cell>
          <cell r="R527">
            <v>0</v>
          </cell>
        </row>
        <row r="528">
          <cell r="Q528">
            <v>0</v>
          </cell>
          <cell r="R528">
            <v>0</v>
          </cell>
        </row>
        <row r="529">
          <cell r="Q529">
            <v>0</v>
          </cell>
          <cell r="R529">
            <v>0</v>
          </cell>
        </row>
        <row r="530">
          <cell r="Q530">
            <v>0</v>
          </cell>
          <cell r="R530">
            <v>0</v>
          </cell>
        </row>
        <row r="531">
          <cell r="Q531">
            <v>0</v>
          </cell>
          <cell r="R531">
            <v>0</v>
          </cell>
        </row>
        <row r="532">
          <cell r="Q532">
            <v>0</v>
          </cell>
          <cell r="R532">
            <v>0</v>
          </cell>
        </row>
        <row r="533">
          <cell r="Q533">
            <v>0</v>
          </cell>
          <cell r="R533">
            <v>0</v>
          </cell>
        </row>
        <row r="534">
          <cell r="Q534">
            <v>0</v>
          </cell>
          <cell r="R534">
            <v>0</v>
          </cell>
        </row>
        <row r="535">
          <cell r="Q535">
            <v>0</v>
          </cell>
          <cell r="R535">
            <v>0</v>
          </cell>
        </row>
        <row r="536">
          <cell r="Q536">
            <v>0</v>
          </cell>
          <cell r="R536">
            <v>0</v>
          </cell>
        </row>
        <row r="537">
          <cell r="Q537">
            <v>0</v>
          </cell>
          <cell r="R537">
            <v>0</v>
          </cell>
        </row>
        <row r="538">
          <cell r="Q538">
            <v>0</v>
          </cell>
          <cell r="R538">
            <v>0</v>
          </cell>
        </row>
        <row r="539">
          <cell r="Q539">
            <v>0</v>
          </cell>
          <cell r="R539">
            <v>0</v>
          </cell>
        </row>
        <row r="540">
          <cell r="Q540">
            <v>0</v>
          </cell>
          <cell r="R540">
            <v>0</v>
          </cell>
        </row>
        <row r="541">
          <cell r="Q541">
            <v>0</v>
          </cell>
          <cell r="R541">
            <v>0</v>
          </cell>
        </row>
        <row r="542">
          <cell r="Q542">
            <v>0</v>
          </cell>
          <cell r="R542">
            <v>0</v>
          </cell>
        </row>
        <row r="543">
          <cell r="Q543">
            <v>0</v>
          </cell>
          <cell r="R543">
            <v>0</v>
          </cell>
        </row>
        <row r="544">
          <cell r="Q544">
            <v>0</v>
          </cell>
          <cell r="R544">
            <v>0</v>
          </cell>
        </row>
        <row r="545">
          <cell r="Q545">
            <v>0</v>
          </cell>
          <cell r="R545">
            <v>0</v>
          </cell>
        </row>
        <row r="546">
          <cell r="Q546">
            <v>0</v>
          </cell>
          <cell r="R546">
            <v>0</v>
          </cell>
        </row>
        <row r="547">
          <cell r="Q547">
            <v>0</v>
          </cell>
          <cell r="R547">
            <v>0</v>
          </cell>
        </row>
        <row r="548">
          <cell r="Q548">
            <v>0</v>
          </cell>
          <cell r="R548">
            <v>0</v>
          </cell>
        </row>
        <row r="549">
          <cell r="Q549">
            <v>0</v>
          </cell>
          <cell r="R549">
            <v>0</v>
          </cell>
        </row>
        <row r="550">
          <cell r="Q550">
            <v>0</v>
          </cell>
          <cell r="R550">
            <v>0</v>
          </cell>
        </row>
        <row r="551">
          <cell r="Q551">
            <v>0</v>
          </cell>
          <cell r="R551">
            <v>0</v>
          </cell>
        </row>
        <row r="552">
          <cell r="Q552">
            <v>0</v>
          </cell>
          <cell r="R552">
            <v>0</v>
          </cell>
        </row>
        <row r="553">
          <cell r="Q553">
            <v>0</v>
          </cell>
          <cell r="R553">
            <v>0</v>
          </cell>
        </row>
        <row r="554">
          <cell r="Q554">
            <v>0</v>
          </cell>
          <cell r="R554">
            <v>0</v>
          </cell>
        </row>
        <row r="555">
          <cell r="Q555">
            <v>0</v>
          </cell>
          <cell r="R555">
            <v>0</v>
          </cell>
        </row>
        <row r="556">
          <cell r="Q556">
            <v>0</v>
          </cell>
          <cell r="R556">
            <v>0</v>
          </cell>
        </row>
        <row r="557">
          <cell r="Q557">
            <v>0</v>
          </cell>
          <cell r="R557">
            <v>0</v>
          </cell>
        </row>
        <row r="558">
          <cell r="Q558">
            <v>0</v>
          </cell>
          <cell r="R558">
            <v>0</v>
          </cell>
        </row>
        <row r="559">
          <cell r="Q559">
            <v>0</v>
          </cell>
          <cell r="R559">
            <v>0</v>
          </cell>
        </row>
        <row r="560">
          <cell r="Q560">
            <v>0</v>
          </cell>
          <cell r="R560">
            <v>0</v>
          </cell>
        </row>
        <row r="561">
          <cell r="Q561">
            <v>0</v>
          </cell>
          <cell r="R561">
            <v>0</v>
          </cell>
        </row>
        <row r="562">
          <cell r="Q562">
            <v>0</v>
          </cell>
          <cell r="R562">
            <v>0</v>
          </cell>
        </row>
        <row r="563">
          <cell r="Q563">
            <v>0</v>
          </cell>
          <cell r="R563">
            <v>0</v>
          </cell>
        </row>
        <row r="564">
          <cell r="Q564">
            <v>0</v>
          </cell>
          <cell r="R564">
            <v>0</v>
          </cell>
        </row>
        <row r="565">
          <cell r="Q565">
            <v>0</v>
          </cell>
          <cell r="R565">
            <v>0</v>
          </cell>
        </row>
        <row r="566">
          <cell r="Q566">
            <v>0</v>
          </cell>
          <cell r="R566">
            <v>0</v>
          </cell>
        </row>
        <row r="567">
          <cell r="Q567">
            <v>0</v>
          </cell>
          <cell r="R567">
            <v>0</v>
          </cell>
        </row>
        <row r="568">
          <cell r="Q568">
            <v>3.2507662670159494</v>
          </cell>
          <cell r="R568">
            <v>0</v>
          </cell>
        </row>
        <row r="569">
          <cell r="Q569">
            <v>10.652008367025203</v>
          </cell>
          <cell r="R569">
            <v>0</v>
          </cell>
        </row>
        <row r="570">
          <cell r="Q570">
            <v>3.6126606175766733</v>
          </cell>
          <cell r="R570">
            <v>0</v>
          </cell>
        </row>
        <row r="571">
          <cell r="Q571">
            <v>0</v>
          </cell>
          <cell r="R571">
            <v>0</v>
          </cell>
        </row>
        <row r="572">
          <cell r="Q572">
            <v>0</v>
          </cell>
          <cell r="R572">
            <v>0</v>
          </cell>
        </row>
        <row r="573">
          <cell r="Q573">
            <v>0</v>
          </cell>
          <cell r="R573">
            <v>0</v>
          </cell>
        </row>
        <row r="574">
          <cell r="Q574">
            <v>0</v>
          </cell>
          <cell r="R574">
            <v>0</v>
          </cell>
        </row>
        <row r="575">
          <cell r="Q575">
            <v>0</v>
          </cell>
          <cell r="R575">
            <v>0</v>
          </cell>
        </row>
        <row r="576">
          <cell r="Q576">
            <v>0</v>
          </cell>
          <cell r="R576">
            <v>0</v>
          </cell>
        </row>
        <row r="577">
          <cell r="Q577">
            <v>0</v>
          </cell>
          <cell r="R577">
            <v>0</v>
          </cell>
        </row>
        <row r="578">
          <cell r="Q578">
            <v>0</v>
          </cell>
          <cell r="R578">
            <v>0</v>
          </cell>
        </row>
        <row r="579">
          <cell r="Q579">
            <v>0</v>
          </cell>
          <cell r="R579">
            <v>0</v>
          </cell>
        </row>
        <row r="580">
          <cell r="Q580">
            <v>6.7773500000000002</v>
          </cell>
          <cell r="R580">
            <v>0</v>
          </cell>
        </row>
        <row r="581">
          <cell r="Q581">
            <v>2.5587865460896717</v>
          </cell>
          <cell r="R581">
            <v>0</v>
          </cell>
        </row>
        <row r="582">
          <cell r="Q582">
            <v>1.9871384148675357</v>
          </cell>
          <cell r="R582">
            <v>1.9871384148675357</v>
          </cell>
        </row>
        <row r="583">
          <cell r="Q583">
            <v>5.42455</v>
          </cell>
          <cell r="R583">
            <v>0</v>
          </cell>
        </row>
        <row r="584">
          <cell r="Q584">
            <v>2.5898649251919754</v>
          </cell>
          <cell r="R584">
            <v>0</v>
          </cell>
        </row>
        <row r="585">
          <cell r="Q585">
            <v>1.8215435469619077</v>
          </cell>
          <cell r="R585">
            <v>1.8215435469619077</v>
          </cell>
        </row>
        <row r="586">
          <cell r="Q586">
            <v>0</v>
          </cell>
          <cell r="R586">
            <v>0</v>
          </cell>
        </row>
        <row r="587">
          <cell r="Q587">
            <v>0</v>
          </cell>
          <cell r="R587">
            <v>0</v>
          </cell>
        </row>
        <row r="588">
          <cell r="Q588">
            <v>0</v>
          </cell>
          <cell r="R588">
            <v>0</v>
          </cell>
        </row>
        <row r="589">
          <cell r="Q589">
            <v>0</v>
          </cell>
          <cell r="R589">
            <v>0</v>
          </cell>
        </row>
        <row r="590">
          <cell r="Q590">
            <v>3.5442621066244642</v>
          </cell>
          <cell r="R590">
            <v>0</v>
          </cell>
        </row>
        <row r="591">
          <cell r="Q591">
            <v>0</v>
          </cell>
          <cell r="R591">
            <v>0</v>
          </cell>
        </row>
        <row r="592">
          <cell r="Q592">
            <v>0</v>
          </cell>
          <cell r="R592">
            <v>0</v>
          </cell>
        </row>
        <row r="593">
          <cell r="Q593">
            <v>2.5868074143135904</v>
          </cell>
          <cell r="R593">
            <v>0</v>
          </cell>
        </row>
        <row r="594">
          <cell r="Q594">
            <v>0</v>
          </cell>
          <cell r="R594">
            <v>0</v>
          </cell>
        </row>
        <row r="595">
          <cell r="Q595">
            <v>0</v>
          </cell>
          <cell r="R595">
            <v>0</v>
          </cell>
        </row>
        <row r="596">
          <cell r="Q596">
            <v>0</v>
          </cell>
          <cell r="R596">
            <v>0</v>
          </cell>
        </row>
        <row r="597">
          <cell r="Q597">
            <v>0</v>
          </cell>
          <cell r="R597">
            <v>0</v>
          </cell>
        </row>
        <row r="598">
          <cell r="Q598">
            <v>0</v>
          </cell>
          <cell r="R598">
            <v>0</v>
          </cell>
        </row>
        <row r="599">
          <cell r="Q599">
            <v>0</v>
          </cell>
          <cell r="R599">
            <v>0</v>
          </cell>
        </row>
        <row r="600">
          <cell r="Q600">
            <v>0</v>
          </cell>
          <cell r="R600">
            <v>0</v>
          </cell>
        </row>
        <row r="601">
          <cell r="Q601">
            <v>0</v>
          </cell>
          <cell r="R601">
            <v>0</v>
          </cell>
        </row>
        <row r="602">
          <cell r="Q602">
            <v>0</v>
          </cell>
          <cell r="R602">
            <v>0</v>
          </cell>
        </row>
        <row r="603">
          <cell r="Q603">
            <v>0</v>
          </cell>
          <cell r="R603">
            <v>0</v>
          </cell>
        </row>
        <row r="604">
          <cell r="Q604">
            <v>0</v>
          </cell>
          <cell r="R604">
            <v>0</v>
          </cell>
        </row>
        <row r="605">
          <cell r="Q605">
            <v>0</v>
          </cell>
          <cell r="R605">
            <v>0</v>
          </cell>
        </row>
        <row r="606">
          <cell r="Q606">
            <v>0</v>
          </cell>
          <cell r="R606">
            <v>0</v>
          </cell>
        </row>
        <row r="607">
          <cell r="Q607">
            <v>0</v>
          </cell>
          <cell r="R607">
            <v>0</v>
          </cell>
        </row>
        <row r="608">
          <cell r="Q608">
            <v>0</v>
          </cell>
          <cell r="R608">
            <v>0</v>
          </cell>
        </row>
        <row r="609">
          <cell r="Q609">
            <v>0</v>
          </cell>
          <cell r="R609">
            <v>0</v>
          </cell>
        </row>
        <row r="610">
          <cell r="Q610">
            <v>0</v>
          </cell>
          <cell r="R610">
            <v>0</v>
          </cell>
        </row>
        <row r="611">
          <cell r="Q611">
            <v>0</v>
          </cell>
          <cell r="R611">
            <v>0</v>
          </cell>
        </row>
        <row r="612">
          <cell r="Q612">
            <v>0</v>
          </cell>
          <cell r="R612">
            <v>0</v>
          </cell>
        </row>
        <row r="613">
          <cell r="Q613">
            <v>0</v>
          </cell>
          <cell r="R613">
            <v>0</v>
          </cell>
        </row>
        <row r="614">
          <cell r="Q614">
            <v>0</v>
          </cell>
          <cell r="R614">
            <v>0</v>
          </cell>
        </row>
        <row r="615">
          <cell r="Q615">
            <v>0</v>
          </cell>
          <cell r="R615">
            <v>0</v>
          </cell>
        </row>
        <row r="616">
          <cell r="Q616">
            <v>0</v>
          </cell>
          <cell r="R616">
            <v>0</v>
          </cell>
        </row>
        <row r="617">
          <cell r="Q617">
            <v>0</v>
          </cell>
          <cell r="R617">
            <v>0</v>
          </cell>
        </row>
        <row r="618">
          <cell r="Q618">
            <v>0</v>
          </cell>
          <cell r="R618">
            <v>0</v>
          </cell>
        </row>
        <row r="619">
          <cell r="Q619">
            <v>0</v>
          </cell>
          <cell r="R619">
            <v>0</v>
          </cell>
        </row>
        <row r="620">
          <cell r="Q620">
            <v>0</v>
          </cell>
          <cell r="R620">
            <v>0</v>
          </cell>
        </row>
        <row r="621">
          <cell r="Q621">
            <v>0</v>
          </cell>
          <cell r="R621">
            <v>0</v>
          </cell>
        </row>
        <row r="622">
          <cell r="Q622">
            <v>0</v>
          </cell>
          <cell r="R622">
            <v>0</v>
          </cell>
        </row>
        <row r="623">
          <cell r="Q623">
            <v>0</v>
          </cell>
          <cell r="R623">
            <v>0</v>
          </cell>
        </row>
        <row r="624">
          <cell r="Q624">
            <v>0</v>
          </cell>
          <cell r="R624">
            <v>0</v>
          </cell>
        </row>
        <row r="625">
          <cell r="Q625">
            <v>0</v>
          </cell>
          <cell r="R625">
            <v>0</v>
          </cell>
        </row>
        <row r="626">
          <cell r="Q626">
            <v>0</v>
          </cell>
          <cell r="R626">
            <v>0</v>
          </cell>
        </row>
        <row r="627">
          <cell r="Q627">
            <v>0</v>
          </cell>
          <cell r="R627">
            <v>0</v>
          </cell>
        </row>
        <row r="628">
          <cell r="Q628">
            <v>0</v>
          </cell>
          <cell r="R628">
            <v>0</v>
          </cell>
        </row>
        <row r="629">
          <cell r="Q629">
            <v>0</v>
          </cell>
          <cell r="R629">
            <v>0</v>
          </cell>
        </row>
        <row r="630">
          <cell r="Q630">
            <v>0</v>
          </cell>
          <cell r="R630">
            <v>0</v>
          </cell>
        </row>
        <row r="631">
          <cell r="Q631">
            <v>0</v>
          </cell>
          <cell r="R631">
            <v>0</v>
          </cell>
        </row>
        <row r="632">
          <cell r="Q632">
            <v>0</v>
          </cell>
          <cell r="R632">
            <v>0</v>
          </cell>
        </row>
        <row r="633">
          <cell r="Q633">
            <v>0</v>
          </cell>
          <cell r="R633">
            <v>0</v>
          </cell>
        </row>
        <row r="634">
          <cell r="Q634">
            <v>0</v>
          </cell>
          <cell r="R634">
            <v>0</v>
          </cell>
        </row>
        <row r="635">
          <cell r="Q635">
            <v>0</v>
          </cell>
          <cell r="R635">
            <v>0</v>
          </cell>
        </row>
        <row r="636">
          <cell r="Q636">
            <v>0</v>
          </cell>
          <cell r="R636">
            <v>0</v>
          </cell>
        </row>
        <row r="637">
          <cell r="Q637">
            <v>0</v>
          </cell>
          <cell r="R637">
            <v>0</v>
          </cell>
        </row>
        <row r="638">
          <cell r="Q638">
            <v>0</v>
          </cell>
          <cell r="R638">
            <v>0</v>
          </cell>
        </row>
        <row r="639">
          <cell r="Q639">
            <v>0</v>
          </cell>
          <cell r="R639">
            <v>0</v>
          </cell>
        </row>
        <row r="640">
          <cell r="Q640">
            <v>0</v>
          </cell>
          <cell r="R640">
            <v>0</v>
          </cell>
        </row>
        <row r="641">
          <cell r="Q641">
            <v>0</v>
          </cell>
          <cell r="R641">
            <v>0</v>
          </cell>
        </row>
        <row r="642">
          <cell r="Q642">
            <v>20.633004292385728</v>
          </cell>
          <cell r="R642">
            <v>0</v>
          </cell>
        </row>
        <row r="643">
          <cell r="Q643">
            <v>10.531376916838296</v>
          </cell>
          <cell r="R643">
            <v>0</v>
          </cell>
        </row>
        <row r="644">
          <cell r="Q644">
            <v>36.974796059893428</v>
          </cell>
          <cell r="R644">
            <v>0</v>
          </cell>
        </row>
        <row r="645">
          <cell r="Q645">
            <v>24.775940659742353</v>
          </cell>
          <cell r="R645">
            <v>0</v>
          </cell>
        </row>
        <row r="646">
          <cell r="Q646">
            <v>26.57410321409095</v>
          </cell>
          <cell r="R646">
            <v>0</v>
          </cell>
        </row>
        <row r="647">
          <cell r="Q647">
            <v>0</v>
          </cell>
          <cell r="R647">
            <v>0</v>
          </cell>
        </row>
        <row r="648">
          <cell r="Q648">
            <v>0</v>
          </cell>
          <cell r="R648">
            <v>0</v>
          </cell>
        </row>
        <row r="649">
          <cell r="Q649">
            <v>0</v>
          </cell>
          <cell r="R649">
            <v>0</v>
          </cell>
        </row>
        <row r="650">
          <cell r="Q650">
            <v>0</v>
          </cell>
          <cell r="R650">
            <v>0</v>
          </cell>
        </row>
        <row r="651">
          <cell r="Q651">
            <v>0</v>
          </cell>
          <cell r="R651">
            <v>0</v>
          </cell>
        </row>
        <row r="652">
          <cell r="Q652">
            <v>0</v>
          </cell>
          <cell r="R652">
            <v>0</v>
          </cell>
        </row>
        <row r="653">
          <cell r="Q653">
            <v>0</v>
          </cell>
          <cell r="R653">
            <v>0</v>
          </cell>
        </row>
        <row r="654">
          <cell r="Q654">
            <v>0</v>
          </cell>
          <cell r="R654">
            <v>0</v>
          </cell>
        </row>
        <row r="655">
          <cell r="Q655">
            <v>0</v>
          </cell>
          <cell r="R655">
            <v>0</v>
          </cell>
        </row>
        <row r="656">
          <cell r="Q656">
            <v>0</v>
          </cell>
          <cell r="R656">
            <v>0</v>
          </cell>
        </row>
        <row r="657">
          <cell r="Q657">
            <v>0</v>
          </cell>
          <cell r="R657">
            <v>0</v>
          </cell>
        </row>
        <row r="658">
          <cell r="Q658">
            <v>0</v>
          </cell>
          <cell r="R658">
            <v>0</v>
          </cell>
        </row>
        <row r="659">
          <cell r="Q659">
            <v>0</v>
          </cell>
          <cell r="R659">
            <v>0</v>
          </cell>
        </row>
        <row r="660">
          <cell r="Q660">
            <v>0</v>
          </cell>
          <cell r="R660">
            <v>0</v>
          </cell>
        </row>
        <row r="661">
          <cell r="Q661">
            <v>0</v>
          </cell>
          <cell r="R661">
            <v>0</v>
          </cell>
        </row>
        <row r="662">
          <cell r="Q662">
            <v>0</v>
          </cell>
          <cell r="R662">
            <v>0</v>
          </cell>
        </row>
        <row r="663">
          <cell r="Q663">
            <v>0</v>
          </cell>
          <cell r="R663">
            <v>0</v>
          </cell>
        </row>
        <row r="664">
          <cell r="Q664">
            <v>0</v>
          </cell>
          <cell r="R664">
            <v>0</v>
          </cell>
        </row>
        <row r="665">
          <cell r="Q665">
            <v>0</v>
          </cell>
          <cell r="R665">
            <v>0</v>
          </cell>
        </row>
        <row r="666">
          <cell r="Q666">
            <v>0</v>
          </cell>
          <cell r="R666">
            <v>0</v>
          </cell>
        </row>
        <row r="667">
          <cell r="Q667">
            <v>0</v>
          </cell>
          <cell r="R667">
            <v>0</v>
          </cell>
        </row>
        <row r="668">
          <cell r="Q668">
            <v>0</v>
          </cell>
          <cell r="R668">
            <v>0</v>
          </cell>
        </row>
        <row r="669">
          <cell r="Q669">
            <v>0</v>
          </cell>
          <cell r="R669">
            <v>0</v>
          </cell>
        </row>
        <row r="670">
          <cell r="Q670">
            <v>0</v>
          </cell>
          <cell r="R670">
            <v>0</v>
          </cell>
        </row>
        <row r="671">
          <cell r="Q671">
            <v>0</v>
          </cell>
          <cell r="R671">
            <v>0</v>
          </cell>
        </row>
        <row r="672">
          <cell r="Q672">
            <v>0</v>
          </cell>
          <cell r="R672">
            <v>0</v>
          </cell>
        </row>
        <row r="673">
          <cell r="Q673">
            <v>0</v>
          </cell>
          <cell r="R673">
            <v>0</v>
          </cell>
        </row>
        <row r="674">
          <cell r="Q674">
            <v>0</v>
          </cell>
          <cell r="R674">
            <v>0</v>
          </cell>
        </row>
        <row r="675">
          <cell r="Q675">
            <v>0</v>
          </cell>
          <cell r="R675">
            <v>0</v>
          </cell>
        </row>
        <row r="676">
          <cell r="Q676">
            <v>0</v>
          </cell>
          <cell r="R676">
            <v>0</v>
          </cell>
        </row>
        <row r="677">
          <cell r="Q677">
            <v>0</v>
          </cell>
          <cell r="R677">
            <v>0</v>
          </cell>
        </row>
        <row r="678">
          <cell r="Q678">
            <v>0</v>
          </cell>
          <cell r="R678">
            <v>0</v>
          </cell>
        </row>
        <row r="679">
          <cell r="Q679">
            <v>0</v>
          </cell>
          <cell r="R679">
            <v>0</v>
          </cell>
        </row>
        <row r="680">
          <cell r="Q680">
            <v>0</v>
          </cell>
          <cell r="R680">
            <v>0</v>
          </cell>
        </row>
        <row r="681">
          <cell r="Q681">
            <v>0</v>
          </cell>
          <cell r="R681">
            <v>0</v>
          </cell>
        </row>
        <row r="682">
          <cell r="Q682">
            <v>0</v>
          </cell>
          <cell r="R682">
            <v>0</v>
          </cell>
        </row>
        <row r="683">
          <cell r="Q683">
            <v>0</v>
          </cell>
          <cell r="R683">
            <v>0</v>
          </cell>
        </row>
        <row r="684">
          <cell r="Q684">
            <v>0</v>
          </cell>
          <cell r="R684">
            <v>0</v>
          </cell>
        </row>
        <row r="685">
          <cell r="Q685">
            <v>0</v>
          </cell>
          <cell r="R685">
            <v>0</v>
          </cell>
        </row>
        <row r="686">
          <cell r="Q686">
            <v>11.999258889777042</v>
          </cell>
          <cell r="R686">
            <v>35.997776669331131</v>
          </cell>
        </row>
        <row r="687">
          <cell r="Q687">
            <v>12.934037071567952</v>
          </cell>
          <cell r="R687">
            <v>38.802111214703856</v>
          </cell>
        </row>
        <row r="688">
          <cell r="Q688">
            <v>2.292852017154849</v>
          </cell>
          <cell r="R688">
            <v>6.878556051464547</v>
          </cell>
        </row>
        <row r="689">
          <cell r="Q689">
            <v>2.292852017154849</v>
          </cell>
          <cell r="R689">
            <v>6.878556051464547</v>
          </cell>
        </row>
        <row r="690">
          <cell r="Q690">
            <v>3.3373734916365025</v>
          </cell>
          <cell r="R690">
            <v>10.012120474909507</v>
          </cell>
        </row>
        <row r="691">
          <cell r="Q691">
            <v>3.3373734916365025</v>
          </cell>
          <cell r="R691">
            <v>10.012120474909507</v>
          </cell>
        </row>
        <row r="692">
          <cell r="Q692">
            <v>4.2329575870586025</v>
          </cell>
          <cell r="R692">
            <v>12.698872761175807</v>
          </cell>
        </row>
        <row r="693">
          <cell r="Q693">
            <v>0</v>
          </cell>
          <cell r="R693">
            <v>0</v>
          </cell>
        </row>
        <row r="694">
          <cell r="Q694">
            <v>0</v>
          </cell>
          <cell r="R694">
            <v>0</v>
          </cell>
        </row>
        <row r="695">
          <cell r="Q695">
            <v>16.881437996007524</v>
          </cell>
          <cell r="R695">
            <v>50.644313988022567</v>
          </cell>
        </row>
        <row r="696">
          <cell r="Q696">
            <v>3.1845166904928455</v>
          </cell>
          <cell r="R696">
            <v>9.5535500714785364</v>
          </cell>
        </row>
        <row r="697">
          <cell r="Q697">
            <v>3.1845166904928455</v>
          </cell>
          <cell r="R697">
            <v>9.5535500714785364</v>
          </cell>
        </row>
        <row r="698">
          <cell r="Q698">
            <v>0</v>
          </cell>
          <cell r="R698">
            <v>0</v>
          </cell>
        </row>
        <row r="699">
          <cell r="Q699">
            <v>0</v>
          </cell>
          <cell r="R699">
            <v>0</v>
          </cell>
        </row>
        <row r="700">
          <cell r="Q700">
            <v>0</v>
          </cell>
          <cell r="R700">
            <v>0</v>
          </cell>
        </row>
        <row r="701">
          <cell r="Q701">
            <v>0</v>
          </cell>
          <cell r="R701">
            <v>0</v>
          </cell>
        </row>
        <row r="702">
          <cell r="Q702">
            <v>0</v>
          </cell>
          <cell r="R702">
            <v>0</v>
          </cell>
        </row>
        <row r="703">
          <cell r="Q703">
            <v>0</v>
          </cell>
          <cell r="R703">
            <v>0</v>
          </cell>
        </row>
        <row r="704">
          <cell r="Q704">
            <v>0</v>
          </cell>
          <cell r="R704">
            <v>0</v>
          </cell>
        </row>
        <row r="705">
          <cell r="Q705">
            <v>0</v>
          </cell>
          <cell r="R705">
            <v>0</v>
          </cell>
        </row>
        <row r="706">
          <cell r="Q706">
            <v>0</v>
          </cell>
          <cell r="R706">
            <v>0</v>
          </cell>
        </row>
        <row r="707">
          <cell r="Q707">
            <v>2.0870500000000001</v>
          </cell>
          <cell r="R707">
            <v>0</v>
          </cell>
        </row>
        <row r="708">
          <cell r="Q708">
            <v>3.1663194649228035</v>
          </cell>
          <cell r="R708">
            <v>15.831597324614018</v>
          </cell>
        </row>
        <row r="709">
          <cell r="Q709">
            <v>3.4138018922083306</v>
          </cell>
          <cell r="R709">
            <v>6.8276037844166613</v>
          </cell>
        </row>
        <row r="710">
          <cell r="Q710">
            <v>3.4138018922083306</v>
          </cell>
          <cell r="R710">
            <v>6.8276037844166613</v>
          </cell>
        </row>
        <row r="711">
          <cell r="Q711">
            <v>3.1159271126959154</v>
          </cell>
          <cell r="R711">
            <v>15.579635563479576</v>
          </cell>
        </row>
        <row r="712">
          <cell r="Q712">
            <v>3.4138018922083306</v>
          </cell>
          <cell r="R712">
            <v>6.8276037844166613</v>
          </cell>
        </row>
        <row r="713">
          <cell r="Q713">
            <v>3.4138018922083306</v>
          </cell>
          <cell r="R713">
            <v>6.8276037844166613</v>
          </cell>
        </row>
        <row r="714">
          <cell r="Q714">
            <v>38.129468286974671</v>
          </cell>
          <cell r="R714">
            <v>0</v>
          </cell>
        </row>
        <row r="715">
          <cell r="Q715">
            <v>0</v>
          </cell>
          <cell r="R715">
            <v>0</v>
          </cell>
        </row>
        <row r="716">
          <cell r="Q716">
            <v>33.280423280423278</v>
          </cell>
          <cell r="R716">
            <v>0</v>
          </cell>
        </row>
        <row r="717">
          <cell r="Q717">
            <v>226.35337301587299</v>
          </cell>
          <cell r="R717">
            <v>0</v>
          </cell>
        </row>
        <row r="718">
          <cell r="Q718">
            <v>0</v>
          </cell>
          <cell r="R718">
            <v>0</v>
          </cell>
        </row>
        <row r="719">
          <cell r="Q719">
            <v>0</v>
          </cell>
          <cell r="R719">
            <v>0</v>
          </cell>
        </row>
        <row r="720">
          <cell r="Q720">
            <v>0</v>
          </cell>
          <cell r="R720">
            <v>0</v>
          </cell>
        </row>
        <row r="721">
          <cell r="Q721">
            <v>0</v>
          </cell>
          <cell r="R721">
            <v>0</v>
          </cell>
        </row>
        <row r="722">
          <cell r="Q722">
            <v>0</v>
          </cell>
          <cell r="R722">
            <v>0</v>
          </cell>
        </row>
        <row r="723">
          <cell r="Q723">
            <v>27.965343915343915</v>
          </cell>
          <cell r="R723">
            <v>0</v>
          </cell>
        </row>
        <row r="724">
          <cell r="Q724">
            <v>0</v>
          </cell>
          <cell r="R724">
            <v>0</v>
          </cell>
        </row>
        <row r="725">
          <cell r="Q725">
            <v>0</v>
          </cell>
          <cell r="R725">
            <v>0</v>
          </cell>
        </row>
        <row r="726">
          <cell r="Q726">
            <v>0</v>
          </cell>
          <cell r="R726">
            <v>0</v>
          </cell>
        </row>
        <row r="727">
          <cell r="Q727">
            <v>0</v>
          </cell>
          <cell r="R727">
            <v>0</v>
          </cell>
        </row>
        <row r="728">
          <cell r="Q728">
            <v>0</v>
          </cell>
          <cell r="R728">
            <v>0</v>
          </cell>
        </row>
        <row r="729">
          <cell r="Q729">
            <v>0</v>
          </cell>
          <cell r="R729">
            <v>0</v>
          </cell>
        </row>
        <row r="730">
          <cell r="Q730">
            <v>0</v>
          </cell>
          <cell r="R730">
            <v>0</v>
          </cell>
        </row>
        <row r="731">
          <cell r="Q731">
            <v>0</v>
          </cell>
          <cell r="R731">
            <v>0</v>
          </cell>
        </row>
        <row r="732">
          <cell r="Q732">
            <v>0</v>
          </cell>
          <cell r="R732">
            <v>0</v>
          </cell>
        </row>
        <row r="733">
          <cell r="Q733">
            <v>3.1159271126959154</v>
          </cell>
          <cell r="R733">
            <v>15.579635563479576</v>
          </cell>
        </row>
        <row r="734">
          <cell r="Q734">
            <v>3.6176109603998725</v>
          </cell>
          <cell r="R734">
            <v>7.235221920799745</v>
          </cell>
        </row>
        <row r="735">
          <cell r="Q735">
            <v>3.6176109603998725</v>
          </cell>
          <cell r="R735">
            <v>7.235221920799745</v>
          </cell>
        </row>
        <row r="736">
          <cell r="Q736">
            <v>3.1159271126959154</v>
          </cell>
          <cell r="R736">
            <v>15.579635563479576</v>
          </cell>
        </row>
        <row r="737">
          <cell r="Q737">
            <v>3.6176109603998725</v>
          </cell>
          <cell r="R737">
            <v>7.235221920799745</v>
          </cell>
        </row>
        <row r="738">
          <cell r="Q738">
            <v>3.6176109603998725</v>
          </cell>
          <cell r="R738">
            <v>7.235221920799745</v>
          </cell>
        </row>
        <row r="739">
          <cell r="Q739">
            <v>0</v>
          </cell>
          <cell r="R739">
            <v>0</v>
          </cell>
        </row>
        <row r="740">
          <cell r="Q740">
            <v>0</v>
          </cell>
          <cell r="R740">
            <v>0</v>
          </cell>
        </row>
        <row r="741">
          <cell r="Q741">
            <v>0</v>
          </cell>
          <cell r="R741">
            <v>0</v>
          </cell>
        </row>
        <row r="742">
          <cell r="Q742">
            <v>0</v>
          </cell>
          <cell r="R742">
            <v>0</v>
          </cell>
        </row>
        <row r="743">
          <cell r="Q743">
            <v>0</v>
          </cell>
          <cell r="R743">
            <v>0</v>
          </cell>
        </row>
        <row r="744">
          <cell r="Q744">
            <v>0</v>
          </cell>
          <cell r="R744">
            <v>0</v>
          </cell>
        </row>
        <row r="745">
          <cell r="Q745">
            <v>0</v>
          </cell>
          <cell r="R745">
            <v>0</v>
          </cell>
        </row>
        <row r="746">
          <cell r="Q746">
            <v>0</v>
          </cell>
          <cell r="R746">
            <v>0</v>
          </cell>
        </row>
        <row r="747">
          <cell r="Q747">
            <v>0</v>
          </cell>
          <cell r="R747">
            <v>0</v>
          </cell>
        </row>
        <row r="748">
          <cell r="Q748">
            <v>0</v>
          </cell>
          <cell r="R748">
            <v>0</v>
          </cell>
        </row>
        <row r="749">
          <cell r="Q749">
            <v>0</v>
          </cell>
          <cell r="R749">
            <v>0</v>
          </cell>
        </row>
        <row r="750">
          <cell r="Q750">
            <v>0</v>
          </cell>
          <cell r="R750">
            <v>0</v>
          </cell>
        </row>
        <row r="751">
          <cell r="Q751">
            <v>7.4131850323439217</v>
          </cell>
          <cell r="R751">
            <v>0</v>
          </cell>
        </row>
        <row r="752">
          <cell r="Q752">
            <v>0</v>
          </cell>
          <cell r="R752">
            <v>0</v>
          </cell>
        </row>
        <row r="753">
          <cell r="Q753">
            <v>0</v>
          </cell>
          <cell r="R753">
            <v>0</v>
          </cell>
        </row>
        <row r="754">
          <cell r="Q754">
            <v>0</v>
          </cell>
          <cell r="R754">
            <v>0</v>
          </cell>
        </row>
        <row r="755">
          <cell r="Q755">
            <v>0</v>
          </cell>
          <cell r="R755">
            <v>0</v>
          </cell>
        </row>
        <row r="756">
          <cell r="Q756">
            <v>0</v>
          </cell>
          <cell r="R756">
            <v>0</v>
          </cell>
        </row>
        <row r="757">
          <cell r="Q757">
            <v>0</v>
          </cell>
          <cell r="R757">
            <v>0</v>
          </cell>
        </row>
        <row r="758">
          <cell r="Q758">
            <v>0</v>
          </cell>
          <cell r="R758">
            <v>0</v>
          </cell>
        </row>
        <row r="759">
          <cell r="Q759">
            <v>0</v>
          </cell>
          <cell r="R759">
            <v>0</v>
          </cell>
        </row>
        <row r="760">
          <cell r="Q760">
            <v>0</v>
          </cell>
          <cell r="R760">
            <v>0</v>
          </cell>
        </row>
        <row r="761">
          <cell r="Q761">
            <v>0</v>
          </cell>
          <cell r="R761">
            <v>0</v>
          </cell>
        </row>
        <row r="762">
          <cell r="Q762">
            <v>0</v>
          </cell>
          <cell r="R762">
            <v>0</v>
          </cell>
        </row>
        <row r="763">
          <cell r="Q763">
            <v>0</v>
          </cell>
          <cell r="R763">
            <v>0</v>
          </cell>
        </row>
        <row r="764">
          <cell r="Q764">
            <v>23.493337672595509</v>
          </cell>
          <cell r="R764">
            <v>0</v>
          </cell>
        </row>
        <row r="765">
          <cell r="Q765">
            <v>0</v>
          </cell>
          <cell r="R765">
            <v>0</v>
          </cell>
        </row>
        <row r="766">
          <cell r="Q766">
            <v>0</v>
          </cell>
          <cell r="R766">
            <v>0</v>
          </cell>
        </row>
        <row r="767">
          <cell r="Q767">
            <v>0</v>
          </cell>
          <cell r="R767">
            <v>0</v>
          </cell>
        </row>
        <row r="768">
          <cell r="Q768">
            <v>0</v>
          </cell>
          <cell r="R768">
            <v>0</v>
          </cell>
        </row>
        <row r="769">
          <cell r="Q769">
            <v>0</v>
          </cell>
          <cell r="R769">
            <v>0</v>
          </cell>
        </row>
        <row r="770">
          <cell r="Q770">
            <v>0</v>
          </cell>
          <cell r="R770">
            <v>0</v>
          </cell>
        </row>
        <row r="771">
          <cell r="Q771">
            <v>0</v>
          </cell>
          <cell r="R771">
            <v>0</v>
          </cell>
        </row>
        <row r="772">
          <cell r="Q772">
            <v>0</v>
          </cell>
          <cell r="R772">
            <v>0</v>
          </cell>
        </row>
        <row r="773">
          <cell r="Q773">
            <v>0</v>
          </cell>
          <cell r="R773">
            <v>0</v>
          </cell>
        </row>
        <row r="774">
          <cell r="Q774">
            <v>0</v>
          </cell>
          <cell r="R774">
            <v>0</v>
          </cell>
        </row>
        <row r="775">
          <cell r="Q775">
            <v>0</v>
          </cell>
          <cell r="R775">
            <v>0</v>
          </cell>
        </row>
        <row r="776">
          <cell r="Q776">
            <v>0</v>
          </cell>
          <cell r="R776">
            <v>0</v>
          </cell>
        </row>
        <row r="777">
          <cell r="Q777">
            <v>0</v>
          </cell>
          <cell r="R777">
            <v>0</v>
          </cell>
        </row>
        <row r="778">
          <cell r="Q778">
            <v>0</v>
          </cell>
          <cell r="R778">
            <v>0</v>
          </cell>
        </row>
        <row r="779">
          <cell r="Q779">
            <v>0</v>
          </cell>
          <cell r="R779">
            <v>0</v>
          </cell>
        </row>
        <row r="780">
          <cell r="Q780">
            <v>0</v>
          </cell>
          <cell r="R780">
            <v>0</v>
          </cell>
        </row>
        <row r="781">
          <cell r="Q781">
            <v>0</v>
          </cell>
          <cell r="R781">
            <v>0</v>
          </cell>
        </row>
        <row r="782">
          <cell r="Q782">
            <v>0</v>
          </cell>
          <cell r="R782">
            <v>0</v>
          </cell>
        </row>
        <row r="783">
          <cell r="Q783">
            <v>0</v>
          </cell>
          <cell r="R783">
            <v>0</v>
          </cell>
        </row>
        <row r="784">
          <cell r="Q784">
            <v>0</v>
          </cell>
          <cell r="R784">
            <v>0</v>
          </cell>
        </row>
        <row r="785">
          <cell r="Q785">
            <v>28.590839677655786</v>
          </cell>
          <cell r="R785">
            <v>0</v>
          </cell>
        </row>
        <row r="786">
          <cell r="Q786">
            <v>0</v>
          </cell>
          <cell r="R786">
            <v>0</v>
          </cell>
        </row>
        <row r="787">
          <cell r="Q787">
            <v>0</v>
          </cell>
          <cell r="R787">
            <v>0</v>
          </cell>
        </row>
        <row r="788">
          <cell r="Q788">
            <v>0</v>
          </cell>
          <cell r="R788">
            <v>0</v>
          </cell>
        </row>
        <row r="789">
          <cell r="Q789">
            <v>0</v>
          </cell>
          <cell r="R789">
            <v>0</v>
          </cell>
        </row>
        <row r="790">
          <cell r="Q790">
            <v>0</v>
          </cell>
          <cell r="R790">
            <v>0</v>
          </cell>
        </row>
        <row r="791">
          <cell r="Q791">
            <v>0</v>
          </cell>
          <cell r="R791">
            <v>0</v>
          </cell>
        </row>
        <row r="792">
          <cell r="Q792">
            <v>0</v>
          </cell>
          <cell r="R792">
            <v>0</v>
          </cell>
        </row>
        <row r="793">
          <cell r="Q793">
            <v>0</v>
          </cell>
          <cell r="R793">
            <v>0</v>
          </cell>
        </row>
        <row r="794">
          <cell r="Q794">
            <v>0</v>
          </cell>
          <cell r="R794">
            <v>0</v>
          </cell>
        </row>
        <row r="795">
          <cell r="Q795">
            <v>0</v>
          </cell>
          <cell r="R795">
            <v>0</v>
          </cell>
        </row>
        <row r="796">
          <cell r="Q796">
            <v>0</v>
          </cell>
          <cell r="R796">
            <v>0</v>
          </cell>
        </row>
        <row r="797">
          <cell r="Q797">
            <v>0</v>
          </cell>
          <cell r="R797">
            <v>0</v>
          </cell>
        </row>
        <row r="798">
          <cell r="Q798">
            <v>0</v>
          </cell>
          <cell r="R798">
            <v>0</v>
          </cell>
        </row>
        <row r="799">
          <cell r="Q799">
            <v>0</v>
          </cell>
          <cell r="R799">
            <v>0</v>
          </cell>
        </row>
        <row r="800">
          <cell r="Q800">
            <v>0</v>
          </cell>
          <cell r="R800">
            <v>0</v>
          </cell>
        </row>
        <row r="801">
          <cell r="Q801">
            <v>0</v>
          </cell>
          <cell r="R801">
            <v>0</v>
          </cell>
        </row>
        <row r="802">
          <cell r="Q802">
            <v>0</v>
          </cell>
          <cell r="R802">
            <v>0</v>
          </cell>
        </row>
        <row r="803">
          <cell r="Q803">
            <v>0</v>
          </cell>
          <cell r="R803">
            <v>0</v>
          </cell>
        </row>
        <row r="804">
          <cell r="Q804">
            <v>0</v>
          </cell>
          <cell r="R804">
            <v>0</v>
          </cell>
        </row>
        <row r="805">
          <cell r="Q805">
            <v>0</v>
          </cell>
          <cell r="R805">
            <v>0</v>
          </cell>
        </row>
        <row r="806">
          <cell r="Q806">
            <v>0</v>
          </cell>
          <cell r="R806">
            <v>0</v>
          </cell>
        </row>
        <row r="807">
          <cell r="Q807">
            <v>0</v>
          </cell>
          <cell r="R807">
            <v>0</v>
          </cell>
        </row>
        <row r="808">
          <cell r="Q808">
            <v>0</v>
          </cell>
          <cell r="R808">
            <v>0</v>
          </cell>
        </row>
        <row r="809">
          <cell r="Q809">
            <v>0</v>
          </cell>
          <cell r="R809">
            <v>0</v>
          </cell>
        </row>
        <row r="810">
          <cell r="Q810">
            <v>0</v>
          </cell>
          <cell r="R810">
            <v>0</v>
          </cell>
        </row>
        <row r="811">
          <cell r="Q811">
            <v>0</v>
          </cell>
          <cell r="R811">
            <v>0</v>
          </cell>
        </row>
        <row r="812">
          <cell r="Q812">
            <v>0</v>
          </cell>
          <cell r="R812">
            <v>0</v>
          </cell>
        </row>
        <row r="813">
          <cell r="Q813">
            <v>0</v>
          </cell>
          <cell r="R813">
            <v>0</v>
          </cell>
        </row>
        <row r="814">
          <cell r="Q814">
            <v>0</v>
          </cell>
          <cell r="R814">
            <v>0</v>
          </cell>
        </row>
        <row r="815">
          <cell r="Q815">
            <v>0</v>
          </cell>
          <cell r="R815">
            <v>0</v>
          </cell>
        </row>
        <row r="816">
          <cell r="Q816">
            <v>0</v>
          </cell>
          <cell r="R816">
            <v>0</v>
          </cell>
        </row>
        <row r="817">
          <cell r="Q817">
            <v>0</v>
          </cell>
          <cell r="R817">
            <v>0</v>
          </cell>
        </row>
        <row r="818">
          <cell r="Q818">
            <v>0</v>
          </cell>
          <cell r="R818">
            <v>0</v>
          </cell>
        </row>
        <row r="819">
          <cell r="Q819">
            <v>0</v>
          </cell>
          <cell r="R819">
            <v>0</v>
          </cell>
        </row>
        <row r="820">
          <cell r="Q820">
            <v>0</v>
          </cell>
          <cell r="R820">
            <v>0</v>
          </cell>
        </row>
        <row r="821">
          <cell r="Q821">
            <v>0</v>
          </cell>
          <cell r="R821">
            <v>0</v>
          </cell>
        </row>
        <row r="822">
          <cell r="Q822">
            <v>0</v>
          </cell>
          <cell r="R822">
            <v>0</v>
          </cell>
        </row>
        <row r="823">
          <cell r="Q823">
            <v>0</v>
          </cell>
          <cell r="R823">
            <v>0</v>
          </cell>
        </row>
        <row r="824">
          <cell r="Q824">
            <v>0</v>
          </cell>
          <cell r="R824">
            <v>0</v>
          </cell>
        </row>
        <row r="825">
          <cell r="Q825">
            <v>0</v>
          </cell>
          <cell r="R825">
            <v>0</v>
          </cell>
        </row>
        <row r="826">
          <cell r="Q826">
            <v>0</v>
          </cell>
          <cell r="R826">
            <v>0</v>
          </cell>
        </row>
        <row r="827">
          <cell r="Q827">
            <v>0</v>
          </cell>
          <cell r="R827">
            <v>0</v>
          </cell>
        </row>
        <row r="828">
          <cell r="Q828">
            <v>0</v>
          </cell>
          <cell r="R828">
            <v>0</v>
          </cell>
        </row>
        <row r="829">
          <cell r="Q829">
            <v>0</v>
          </cell>
          <cell r="R829">
            <v>0</v>
          </cell>
        </row>
        <row r="830">
          <cell r="Q830">
            <v>0</v>
          </cell>
          <cell r="R830">
            <v>0</v>
          </cell>
        </row>
        <row r="831">
          <cell r="Q831">
            <v>0</v>
          </cell>
          <cell r="R831">
            <v>0</v>
          </cell>
        </row>
        <row r="832">
          <cell r="Q832">
            <v>0</v>
          </cell>
          <cell r="R832">
            <v>0</v>
          </cell>
        </row>
        <row r="833">
          <cell r="Q833">
            <v>0</v>
          </cell>
          <cell r="R833">
            <v>0</v>
          </cell>
        </row>
        <row r="834">
          <cell r="Q834">
            <v>0</v>
          </cell>
          <cell r="R834">
            <v>0</v>
          </cell>
        </row>
        <row r="835">
          <cell r="Q835">
            <v>0</v>
          </cell>
          <cell r="R835">
            <v>0</v>
          </cell>
        </row>
        <row r="836">
          <cell r="Q836">
            <v>0</v>
          </cell>
          <cell r="R836">
            <v>0</v>
          </cell>
        </row>
        <row r="837">
          <cell r="Q837">
            <v>0</v>
          </cell>
          <cell r="R837">
            <v>0</v>
          </cell>
        </row>
        <row r="838">
          <cell r="Q838">
            <v>0</v>
          </cell>
          <cell r="R838">
            <v>0</v>
          </cell>
        </row>
        <row r="839">
          <cell r="Q839">
            <v>0</v>
          </cell>
          <cell r="R839">
            <v>0</v>
          </cell>
        </row>
        <row r="840">
          <cell r="Q840">
            <v>0</v>
          </cell>
          <cell r="R840">
            <v>0</v>
          </cell>
        </row>
        <row r="841">
          <cell r="Q841">
            <v>0</v>
          </cell>
          <cell r="R841">
            <v>0</v>
          </cell>
        </row>
        <row r="842">
          <cell r="Q842">
            <v>0</v>
          </cell>
          <cell r="R842">
            <v>0</v>
          </cell>
        </row>
        <row r="843">
          <cell r="Q843">
            <v>0</v>
          </cell>
          <cell r="R843">
            <v>0</v>
          </cell>
        </row>
        <row r="844">
          <cell r="Q844">
            <v>0</v>
          </cell>
          <cell r="R844">
            <v>0</v>
          </cell>
        </row>
        <row r="845">
          <cell r="Q845">
            <v>0</v>
          </cell>
          <cell r="R845">
            <v>0</v>
          </cell>
        </row>
        <row r="846">
          <cell r="Q846">
            <v>0</v>
          </cell>
          <cell r="R846">
            <v>0</v>
          </cell>
        </row>
        <row r="847">
          <cell r="Q847">
            <v>1.3623922332394882</v>
          </cell>
          <cell r="R847">
            <v>0</v>
          </cell>
        </row>
        <row r="848">
          <cell r="Q848">
            <v>0</v>
          </cell>
          <cell r="R848">
            <v>0</v>
          </cell>
        </row>
        <row r="849">
          <cell r="Q849">
            <v>0</v>
          </cell>
          <cell r="R849">
            <v>0</v>
          </cell>
        </row>
        <row r="850">
          <cell r="Q850">
            <v>0</v>
          </cell>
          <cell r="R850">
            <v>0</v>
          </cell>
        </row>
        <row r="851">
          <cell r="Q851">
            <v>0</v>
          </cell>
          <cell r="R851">
            <v>0</v>
          </cell>
        </row>
        <row r="852">
          <cell r="Q852">
            <v>0</v>
          </cell>
          <cell r="R852">
            <v>0</v>
          </cell>
        </row>
        <row r="853">
          <cell r="Q853">
            <v>0</v>
          </cell>
          <cell r="R853">
            <v>0</v>
          </cell>
        </row>
        <row r="854">
          <cell r="Q854">
            <v>0</v>
          </cell>
          <cell r="R854">
            <v>0</v>
          </cell>
        </row>
        <row r="855">
          <cell r="Q855">
            <v>0</v>
          </cell>
          <cell r="R855">
            <v>0</v>
          </cell>
        </row>
        <row r="856">
          <cell r="Q856">
            <v>0</v>
          </cell>
          <cell r="R856">
            <v>0</v>
          </cell>
        </row>
        <row r="857">
          <cell r="Q857">
            <v>0</v>
          </cell>
          <cell r="R857">
            <v>0</v>
          </cell>
        </row>
        <row r="858">
          <cell r="Q858">
            <v>0</v>
          </cell>
          <cell r="R858">
            <v>0</v>
          </cell>
        </row>
        <row r="859">
          <cell r="Q859">
            <v>0</v>
          </cell>
          <cell r="R859">
            <v>0</v>
          </cell>
        </row>
        <row r="860">
          <cell r="Q860">
            <v>4.1511156853939637</v>
          </cell>
          <cell r="R860">
            <v>0</v>
          </cell>
        </row>
        <row r="861">
          <cell r="Q861">
            <v>0</v>
          </cell>
          <cell r="R861">
            <v>0</v>
          </cell>
        </row>
        <row r="862">
          <cell r="Q862">
            <v>0</v>
          </cell>
          <cell r="R862">
            <v>0</v>
          </cell>
        </row>
        <row r="863">
          <cell r="Q863">
            <v>0</v>
          </cell>
          <cell r="R863">
            <v>0</v>
          </cell>
        </row>
        <row r="864">
          <cell r="Q864">
            <v>0</v>
          </cell>
          <cell r="R864">
            <v>0</v>
          </cell>
        </row>
        <row r="865">
          <cell r="Q865">
            <v>0</v>
          </cell>
          <cell r="R865">
            <v>0</v>
          </cell>
        </row>
        <row r="866">
          <cell r="Q866">
            <v>0</v>
          </cell>
          <cell r="R866">
            <v>0</v>
          </cell>
        </row>
        <row r="867">
          <cell r="Q867">
            <v>0</v>
          </cell>
          <cell r="R867">
            <v>0</v>
          </cell>
        </row>
        <row r="868">
          <cell r="Q868">
            <v>0</v>
          </cell>
          <cell r="R868">
            <v>0</v>
          </cell>
        </row>
        <row r="869">
          <cell r="Q869">
            <v>0</v>
          </cell>
          <cell r="R869">
            <v>0</v>
          </cell>
        </row>
        <row r="870">
          <cell r="Q870">
            <v>0</v>
          </cell>
          <cell r="R870">
            <v>0</v>
          </cell>
        </row>
        <row r="871">
          <cell r="Q871">
            <v>0</v>
          </cell>
          <cell r="R871">
            <v>0</v>
          </cell>
        </row>
        <row r="872">
          <cell r="Q872">
            <v>0</v>
          </cell>
          <cell r="R872">
            <v>0</v>
          </cell>
        </row>
        <row r="873">
          <cell r="Q873">
            <v>0</v>
          </cell>
          <cell r="R873">
            <v>0</v>
          </cell>
        </row>
        <row r="874">
          <cell r="Q874">
            <v>0</v>
          </cell>
          <cell r="R874">
            <v>0</v>
          </cell>
        </row>
        <row r="875">
          <cell r="Q875">
            <v>0</v>
          </cell>
          <cell r="R875">
            <v>0</v>
          </cell>
        </row>
        <row r="876">
          <cell r="Q876">
            <v>2.6626879473547724</v>
          </cell>
          <cell r="R876">
            <v>0</v>
          </cell>
        </row>
        <row r="877">
          <cell r="Q877">
            <v>3.7533973094613997</v>
          </cell>
          <cell r="R877">
            <v>0</v>
          </cell>
        </row>
        <row r="878">
          <cell r="Q878">
            <v>15.286266578372254</v>
          </cell>
          <cell r="R878">
            <v>0</v>
          </cell>
        </row>
        <row r="879">
          <cell r="Q879">
            <v>0</v>
          </cell>
          <cell r="R879">
            <v>0</v>
          </cell>
        </row>
        <row r="880">
          <cell r="Q880">
            <v>0</v>
          </cell>
          <cell r="R880">
            <v>0</v>
          </cell>
        </row>
        <row r="881">
          <cell r="Q881">
            <v>0</v>
          </cell>
          <cell r="R881">
            <v>0</v>
          </cell>
        </row>
        <row r="882">
          <cell r="Q882">
            <v>0</v>
          </cell>
          <cell r="R882">
            <v>0</v>
          </cell>
        </row>
        <row r="883">
          <cell r="Q883">
            <v>0</v>
          </cell>
          <cell r="R883">
            <v>0</v>
          </cell>
        </row>
        <row r="884">
          <cell r="Q884">
            <v>0</v>
          </cell>
          <cell r="R884">
            <v>0</v>
          </cell>
        </row>
        <row r="885">
          <cell r="Q885">
            <v>3.60005</v>
          </cell>
          <cell r="R885">
            <v>0</v>
          </cell>
        </row>
        <row r="886">
          <cell r="Q886">
            <v>1.7451151463900796</v>
          </cell>
          <cell r="R886">
            <v>1.7451151463900796</v>
          </cell>
        </row>
        <row r="887">
          <cell r="Q887">
            <v>2.2272838356650988</v>
          </cell>
          <cell r="R887">
            <v>0</v>
          </cell>
        </row>
        <row r="888">
          <cell r="Q888">
            <v>0</v>
          </cell>
          <cell r="R888">
            <v>0</v>
          </cell>
        </row>
        <row r="889">
          <cell r="Q889">
            <v>0</v>
          </cell>
          <cell r="R889">
            <v>0</v>
          </cell>
        </row>
        <row r="890">
          <cell r="Q890">
            <v>0</v>
          </cell>
          <cell r="R890">
            <v>0</v>
          </cell>
        </row>
        <row r="891">
          <cell r="Q891">
            <v>2.4267570114177093</v>
          </cell>
          <cell r="R891">
            <v>0</v>
          </cell>
        </row>
        <row r="892">
          <cell r="Q892">
            <v>0</v>
          </cell>
          <cell r="R892">
            <v>0</v>
          </cell>
        </row>
        <row r="893">
          <cell r="Q893">
            <v>1.7361893802654849</v>
          </cell>
          <cell r="R893">
            <v>0</v>
          </cell>
        </row>
        <row r="894">
          <cell r="Q894">
            <v>0</v>
          </cell>
          <cell r="R894">
            <v>0</v>
          </cell>
        </row>
        <row r="895">
          <cell r="Q895">
            <v>13.286760000000001</v>
          </cell>
          <cell r="R895">
            <v>0</v>
          </cell>
        </row>
        <row r="896">
          <cell r="Q896">
            <v>6.2383600000000001</v>
          </cell>
          <cell r="R896">
            <v>0</v>
          </cell>
        </row>
        <row r="897">
          <cell r="Q897">
            <v>0</v>
          </cell>
          <cell r="R897">
            <v>0</v>
          </cell>
        </row>
        <row r="898">
          <cell r="Q898">
            <v>0</v>
          </cell>
          <cell r="R898">
            <v>0</v>
          </cell>
        </row>
        <row r="899">
          <cell r="Q899">
            <v>0</v>
          </cell>
          <cell r="R899">
            <v>0</v>
          </cell>
        </row>
        <row r="900">
          <cell r="Q900">
            <v>0</v>
          </cell>
          <cell r="R900">
            <v>0</v>
          </cell>
        </row>
        <row r="901">
          <cell r="Q901">
            <v>3.6133999999999995</v>
          </cell>
          <cell r="R901">
            <v>0</v>
          </cell>
        </row>
        <row r="902">
          <cell r="Q902">
            <v>2.2272838356650988</v>
          </cell>
          <cell r="R902">
            <v>0</v>
          </cell>
        </row>
        <row r="903">
          <cell r="Q903">
            <v>1.7451151463900796</v>
          </cell>
          <cell r="R903">
            <v>1.7451151463900796</v>
          </cell>
        </row>
        <row r="904">
          <cell r="Q904">
            <v>0</v>
          </cell>
          <cell r="R904">
            <v>0</v>
          </cell>
        </row>
        <row r="905">
          <cell r="Q905">
            <v>0</v>
          </cell>
          <cell r="R905">
            <v>0</v>
          </cell>
        </row>
        <row r="906">
          <cell r="Q906">
            <v>0</v>
          </cell>
          <cell r="R906">
            <v>0</v>
          </cell>
        </row>
        <row r="907">
          <cell r="Q907">
            <v>0</v>
          </cell>
          <cell r="R907">
            <v>0</v>
          </cell>
        </row>
        <row r="908">
          <cell r="Q908">
            <v>0</v>
          </cell>
          <cell r="R908">
            <v>0</v>
          </cell>
        </row>
        <row r="909">
          <cell r="Q909">
            <v>0</v>
          </cell>
          <cell r="R909">
            <v>0</v>
          </cell>
        </row>
        <row r="910">
          <cell r="Q910">
            <v>3.7478082372869679</v>
          </cell>
          <cell r="R910">
            <v>0</v>
          </cell>
        </row>
        <row r="911">
          <cell r="Q911">
            <v>2.3255561539050014</v>
          </cell>
          <cell r="R911">
            <v>0</v>
          </cell>
        </row>
        <row r="912">
          <cell r="Q912">
            <v>0</v>
          </cell>
          <cell r="R912">
            <v>0</v>
          </cell>
        </row>
        <row r="913">
          <cell r="Q913">
            <v>5.4591714912462139</v>
          </cell>
          <cell r="R913">
            <v>0</v>
          </cell>
        </row>
        <row r="914">
          <cell r="Q914">
            <v>4.8277273027871539</v>
          </cell>
          <cell r="R914">
            <v>4.8277273027871539</v>
          </cell>
        </row>
        <row r="915">
          <cell r="Q915">
            <v>3.6672198587718503</v>
          </cell>
          <cell r="R915">
            <v>0</v>
          </cell>
        </row>
        <row r="916">
          <cell r="Q916">
            <v>5.4687154973497911</v>
          </cell>
          <cell r="R916">
            <v>0</v>
          </cell>
        </row>
        <row r="917">
          <cell r="Q917">
            <v>4.3309426990702704</v>
          </cell>
          <cell r="R917">
            <v>4.3309426990702704</v>
          </cell>
        </row>
        <row r="918">
          <cell r="Q918">
            <v>1.3168933312070796</v>
          </cell>
          <cell r="R918">
            <v>0</v>
          </cell>
        </row>
        <row r="919">
          <cell r="Q919">
            <v>0</v>
          </cell>
          <cell r="R919">
            <v>0</v>
          </cell>
        </row>
        <row r="920">
          <cell r="Q920">
            <v>0</v>
          </cell>
          <cell r="R920">
            <v>0</v>
          </cell>
        </row>
        <row r="921">
          <cell r="Q921">
            <v>1.2565776061136256</v>
          </cell>
          <cell r="R921">
            <v>0</v>
          </cell>
        </row>
        <row r="922">
          <cell r="Q922">
            <v>0</v>
          </cell>
          <cell r="R922">
            <v>0</v>
          </cell>
        </row>
        <row r="923">
          <cell r="Q923">
            <v>0</v>
          </cell>
          <cell r="R923">
            <v>0</v>
          </cell>
        </row>
        <row r="924">
          <cell r="Q924">
            <v>5.5196168632355374</v>
          </cell>
          <cell r="R924">
            <v>0</v>
          </cell>
        </row>
        <row r="925">
          <cell r="Q925">
            <v>4.4201091664040701</v>
          </cell>
          <cell r="R925">
            <v>4.4201091664040701</v>
          </cell>
        </row>
        <row r="926">
          <cell r="Q926">
            <v>5.4782595034533683</v>
          </cell>
          <cell r="R926">
            <v>0</v>
          </cell>
        </row>
        <row r="927">
          <cell r="Q927">
            <v>4.7130847019294118</v>
          </cell>
          <cell r="R927">
            <v>4.7130847019294118</v>
          </cell>
        </row>
        <row r="928">
          <cell r="Q928">
            <v>5.8918331012750507</v>
          </cell>
          <cell r="R928">
            <v>0</v>
          </cell>
        </row>
        <row r="929">
          <cell r="Q929">
            <v>4.738560835453355</v>
          </cell>
          <cell r="R929">
            <v>4.738560835453355</v>
          </cell>
        </row>
        <row r="930">
          <cell r="Q930">
            <v>5.5132541924998177</v>
          </cell>
          <cell r="R930">
            <v>0</v>
          </cell>
        </row>
        <row r="931">
          <cell r="Q931">
            <v>4.8914176365970112</v>
          </cell>
          <cell r="R931">
            <v>4.8914176365970112</v>
          </cell>
        </row>
        <row r="932">
          <cell r="Q932">
            <v>0</v>
          </cell>
          <cell r="R932">
            <v>0</v>
          </cell>
        </row>
        <row r="933">
          <cell r="Q933">
            <v>17.756113927116182</v>
          </cell>
          <cell r="R933">
            <v>0</v>
          </cell>
        </row>
        <row r="934">
          <cell r="Q934">
            <v>2.1782094162971064</v>
          </cell>
          <cell r="R934">
            <v>2.1782094162971064</v>
          </cell>
        </row>
        <row r="935">
          <cell r="Q935">
            <v>1.9361861478196503</v>
          </cell>
          <cell r="R935">
            <v>1.9361861478196503</v>
          </cell>
        </row>
        <row r="936">
          <cell r="Q936">
            <v>17.249986762038699</v>
          </cell>
          <cell r="R936">
            <v>0</v>
          </cell>
        </row>
        <row r="937">
          <cell r="Q937">
            <v>4.4432584152177794</v>
          </cell>
          <cell r="R937">
            <v>0</v>
          </cell>
        </row>
        <row r="938">
          <cell r="Q938">
            <v>4.0788509094448289</v>
          </cell>
          <cell r="R938">
            <v>0</v>
          </cell>
        </row>
        <row r="939">
          <cell r="Q939">
            <v>6.5593351039131251</v>
          </cell>
          <cell r="R939">
            <v>0</v>
          </cell>
        </row>
        <row r="940">
          <cell r="Q940">
            <v>0</v>
          </cell>
          <cell r="R940">
            <v>0</v>
          </cell>
        </row>
        <row r="941">
          <cell r="Q941">
            <v>0</v>
          </cell>
          <cell r="R941">
            <v>0</v>
          </cell>
        </row>
        <row r="942">
          <cell r="Q942">
            <v>0</v>
          </cell>
          <cell r="R942">
            <v>0</v>
          </cell>
        </row>
        <row r="943">
          <cell r="Q943">
            <v>0</v>
          </cell>
          <cell r="R943">
            <v>0</v>
          </cell>
        </row>
        <row r="944">
          <cell r="Q944">
            <v>0</v>
          </cell>
          <cell r="R944">
            <v>0</v>
          </cell>
        </row>
        <row r="945">
          <cell r="Q945">
            <v>0</v>
          </cell>
          <cell r="R945">
            <v>0</v>
          </cell>
        </row>
        <row r="946">
          <cell r="Q946">
            <v>0</v>
          </cell>
          <cell r="R946">
            <v>0</v>
          </cell>
        </row>
        <row r="947">
          <cell r="Q947">
            <v>0</v>
          </cell>
          <cell r="R947">
            <v>0</v>
          </cell>
        </row>
        <row r="948">
          <cell r="Q948">
            <v>0</v>
          </cell>
          <cell r="R948">
            <v>0</v>
          </cell>
        </row>
        <row r="949">
          <cell r="Q949">
            <v>2.5273822264795198</v>
          </cell>
          <cell r="R949">
            <v>0</v>
          </cell>
        </row>
        <row r="950">
          <cell r="Q950">
            <v>0</v>
          </cell>
          <cell r="R950">
            <v>0</v>
          </cell>
        </row>
        <row r="951">
          <cell r="Q951">
            <v>0</v>
          </cell>
          <cell r="R951">
            <v>0</v>
          </cell>
        </row>
        <row r="952">
          <cell r="Q952">
            <v>0</v>
          </cell>
          <cell r="R952">
            <v>0</v>
          </cell>
        </row>
        <row r="953">
          <cell r="Q953">
            <v>0</v>
          </cell>
          <cell r="R953">
            <v>0</v>
          </cell>
        </row>
        <row r="954">
          <cell r="Q954">
            <v>0</v>
          </cell>
          <cell r="R954">
            <v>0</v>
          </cell>
        </row>
        <row r="955">
          <cell r="Q955">
            <v>0</v>
          </cell>
          <cell r="R955">
            <v>0</v>
          </cell>
        </row>
        <row r="956">
          <cell r="Q956">
            <v>0</v>
          </cell>
          <cell r="R956">
            <v>0</v>
          </cell>
        </row>
        <row r="957">
          <cell r="Q957">
            <v>0</v>
          </cell>
          <cell r="R957">
            <v>0</v>
          </cell>
        </row>
        <row r="958">
          <cell r="Q958">
            <v>0</v>
          </cell>
          <cell r="R958">
            <v>0</v>
          </cell>
        </row>
        <row r="959">
          <cell r="Q959">
            <v>4.6528938556160035</v>
          </cell>
          <cell r="R959">
            <v>4.6528938556160035</v>
          </cell>
        </row>
        <row r="960">
          <cell r="Q960">
            <v>1.6814248125802227</v>
          </cell>
          <cell r="R960">
            <v>1.6814248125802227</v>
          </cell>
        </row>
        <row r="961">
          <cell r="Q961">
            <v>1.6814248125802227</v>
          </cell>
          <cell r="R961">
            <v>1.6814248125802227</v>
          </cell>
        </row>
        <row r="962">
          <cell r="Q962">
            <v>1.6814248125802227</v>
          </cell>
          <cell r="R962">
            <v>1.6814248125802227</v>
          </cell>
        </row>
        <row r="963">
          <cell r="Q963">
            <v>0</v>
          </cell>
          <cell r="R963">
            <v>0</v>
          </cell>
        </row>
        <row r="964">
          <cell r="Q964">
            <v>0</v>
          </cell>
          <cell r="R964">
            <v>0</v>
          </cell>
        </row>
        <row r="965">
          <cell r="Q965">
            <v>0</v>
          </cell>
          <cell r="R965">
            <v>0</v>
          </cell>
        </row>
        <row r="966">
          <cell r="Q966">
            <v>0</v>
          </cell>
          <cell r="R966">
            <v>0</v>
          </cell>
        </row>
        <row r="967">
          <cell r="Q967">
            <v>0</v>
          </cell>
          <cell r="R967">
            <v>0</v>
          </cell>
        </row>
        <row r="968">
          <cell r="Q968">
            <v>0</v>
          </cell>
          <cell r="R968">
            <v>0</v>
          </cell>
        </row>
        <row r="969">
          <cell r="Q969">
            <v>0</v>
          </cell>
          <cell r="R969">
            <v>0</v>
          </cell>
        </row>
        <row r="970">
          <cell r="Q970">
            <v>2.8034246392394984</v>
          </cell>
          <cell r="R970">
            <v>0</v>
          </cell>
        </row>
        <row r="971">
          <cell r="Q971">
            <v>0</v>
          </cell>
          <cell r="R971">
            <v>0</v>
          </cell>
        </row>
        <row r="972">
          <cell r="Q972">
            <v>0</v>
          </cell>
          <cell r="R972">
            <v>0</v>
          </cell>
        </row>
        <row r="973">
          <cell r="Q973">
            <v>0</v>
          </cell>
          <cell r="R973">
            <v>0</v>
          </cell>
        </row>
        <row r="974">
          <cell r="Q974">
            <v>0</v>
          </cell>
          <cell r="R974">
            <v>0</v>
          </cell>
        </row>
        <row r="975">
          <cell r="Q975">
            <v>0</v>
          </cell>
          <cell r="R975">
            <v>0</v>
          </cell>
        </row>
        <row r="976">
          <cell r="Q976">
            <v>15.609207023143457</v>
          </cell>
          <cell r="R976">
            <v>0</v>
          </cell>
        </row>
        <row r="977">
          <cell r="Q977">
            <v>7.2931764258834821</v>
          </cell>
          <cell r="R977">
            <v>0</v>
          </cell>
        </row>
        <row r="978">
          <cell r="Q978">
            <v>0</v>
          </cell>
          <cell r="R978">
            <v>0</v>
          </cell>
        </row>
        <row r="979">
          <cell r="Q979">
            <v>0</v>
          </cell>
          <cell r="R979">
            <v>0</v>
          </cell>
        </row>
        <row r="980">
          <cell r="Q980">
            <v>3.3771838624503356</v>
          </cell>
          <cell r="R980">
            <v>0</v>
          </cell>
        </row>
        <row r="981">
          <cell r="Q981">
            <v>18.388960000000001</v>
          </cell>
          <cell r="R981">
            <v>0</v>
          </cell>
        </row>
        <row r="982">
          <cell r="Q982">
            <v>3.4647541592562163</v>
          </cell>
          <cell r="R982">
            <v>3.4647541592562163</v>
          </cell>
        </row>
        <row r="983">
          <cell r="Q983">
            <v>3.0353216923249953</v>
          </cell>
          <cell r="R983">
            <v>0</v>
          </cell>
        </row>
        <row r="984">
          <cell r="Q984">
            <v>18.388960000000001</v>
          </cell>
          <cell r="R984">
            <v>0</v>
          </cell>
        </row>
        <row r="985">
          <cell r="Q985">
            <v>0</v>
          </cell>
          <cell r="R985">
            <v>0</v>
          </cell>
        </row>
        <row r="986">
          <cell r="Q986">
            <v>3.4647541592562163</v>
          </cell>
          <cell r="R986">
            <v>3.4647541592562163</v>
          </cell>
        </row>
        <row r="987">
          <cell r="Q987">
            <v>18.694040000000001</v>
          </cell>
          <cell r="R987">
            <v>0</v>
          </cell>
        </row>
        <row r="988">
          <cell r="Q988">
            <v>2.7266740149474393</v>
          </cell>
          <cell r="R988">
            <v>0</v>
          </cell>
        </row>
        <row r="989">
          <cell r="Q989">
            <v>0</v>
          </cell>
          <cell r="R989">
            <v>0</v>
          </cell>
        </row>
        <row r="990">
          <cell r="Q990">
            <v>4.0507052303068996</v>
          </cell>
          <cell r="R990">
            <v>4.0507052303068996</v>
          </cell>
        </row>
        <row r="991">
          <cell r="Q991">
            <v>3.0353216923249953</v>
          </cell>
          <cell r="R991">
            <v>0</v>
          </cell>
        </row>
        <row r="992">
          <cell r="Q992">
            <v>0</v>
          </cell>
          <cell r="R992">
            <v>0</v>
          </cell>
        </row>
        <row r="993">
          <cell r="Q993">
            <v>9.809899999999999</v>
          </cell>
          <cell r="R993">
            <v>0</v>
          </cell>
        </row>
        <row r="994">
          <cell r="Q994">
            <v>2.8074135789081014</v>
          </cell>
          <cell r="R994">
            <v>0</v>
          </cell>
        </row>
        <row r="995">
          <cell r="Q995">
            <v>9.6310599999999997</v>
          </cell>
          <cell r="R995">
            <v>0</v>
          </cell>
        </row>
        <row r="996">
          <cell r="Q996">
            <v>3.120826356682989</v>
          </cell>
          <cell r="R996">
            <v>3.120826356682989</v>
          </cell>
        </row>
        <row r="997">
          <cell r="Q997">
            <v>17.531579999999998</v>
          </cell>
          <cell r="R997">
            <v>0</v>
          </cell>
        </row>
        <row r="998">
          <cell r="Q998">
            <v>3.4647541592562163</v>
          </cell>
          <cell r="R998">
            <v>3.4647541592562163</v>
          </cell>
        </row>
        <row r="999">
          <cell r="Q999">
            <v>2.8281324983096372</v>
          </cell>
          <cell r="R999">
            <v>0</v>
          </cell>
        </row>
        <row r="1000">
          <cell r="Q1000">
            <v>7.8479200000000002</v>
          </cell>
          <cell r="R1000">
            <v>0</v>
          </cell>
        </row>
        <row r="1001">
          <cell r="Q1001">
            <v>3.9615387629730998</v>
          </cell>
          <cell r="R1001">
            <v>3.9615387629730998</v>
          </cell>
        </row>
        <row r="1002">
          <cell r="Q1002">
            <v>0</v>
          </cell>
          <cell r="R1002">
            <v>0</v>
          </cell>
        </row>
        <row r="1003">
          <cell r="Q1003">
            <v>6.5750000000000002</v>
          </cell>
          <cell r="R1003">
            <v>0</v>
          </cell>
        </row>
        <row r="1004">
          <cell r="Q1004">
            <v>3.541182559828044</v>
          </cell>
          <cell r="R1004">
            <v>3.541182559828044</v>
          </cell>
        </row>
        <row r="1005">
          <cell r="Q1005">
            <v>0</v>
          </cell>
          <cell r="R1005">
            <v>0</v>
          </cell>
        </row>
        <row r="1006">
          <cell r="Q1006">
            <v>6.5750000000000002</v>
          </cell>
          <cell r="R1006">
            <v>0</v>
          </cell>
        </row>
        <row r="1007">
          <cell r="Q1007">
            <v>4.4455852999280125</v>
          </cell>
          <cell r="R1007">
            <v>4.4455852999280125</v>
          </cell>
        </row>
        <row r="1008">
          <cell r="Q1008">
            <v>0</v>
          </cell>
          <cell r="R1008">
            <v>0</v>
          </cell>
        </row>
        <row r="1009">
          <cell r="Q1009">
            <v>6.5750000000000002</v>
          </cell>
          <cell r="R1009">
            <v>0</v>
          </cell>
        </row>
        <row r="1010">
          <cell r="Q1010">
            <v>3.7322535612576155</v>
          </cell>
          <cell r="R1010">
            <v>3.7322535612576155</v>
          </cell>
        </row>
        <row r="1011">
          <cell r="Q1011">
            <v>0.54352305945796131</v>
          </cell>
          <cell r="R1011">
            <v>0</v>
          </cell>
        </row>
        <row r="1012">
          <cell r="Q1012">
            <v>9.6205400000000001</v>
          </cell>
          <cell r="R1012">
            <v>0</v>
          </cell>
        </row>
        <row r="1013">
          <cell r="Q1013">
            <v>2.7132082202999044</v>
          </cell>
          <cell r="R1013">
            <v>2.7132082202999044</v>
          </cell>
        </row>
        <row r="1014">
          <cell r="Q1014">
            <v>18.183820000000001</v>
          </cell>
          <cell r="R1014">
            <v>0</v>
          </cell>
        </row>
        <row r="1015">
          <cell r="Q1015">
            <v>2.4862703281842964</v>
          </cell>
          <cell r="R1015">
            <v>0</v>
          </cell>
        </row>
        <row r="1016">
          <cell r="Q1016">
            <v>2.8981965201196389</v>
          </cell>
          <cell r="R1016">
            <v>0</v>
          </cell>
        </row>
        <row r="1017">
          <cell r="Q1017">
            <v>2.4209962149407742</v>
          </cell>
          <cell r="R1017">
            <v>0</v>
          </cell>
        </row>
        <row r="1018">
          <cell r="Q1018">
            <v>4.6693404996474666</v>
          </cell>
          <cell r="R1018">
            <v>0</v>
          </cell>
        </row>
        <row r="1019">
          <cell r="Q1019">
            <v>0</v>
          </cell>
          <cell r="R1019">
            <v>0</v>
          </cell>
        </row>
        <row r="1020">
          <cell r="Q1020">
            <v>4.70197463890596</v>
          </cell>
          <cell r="R1020">
            <v>0</v>
          </cell>
        </row>
        <row r="1021">
          <cell r="Q1021">
            <v>0</v>
          </cell>
          <cell r="R1021">
            <v>0</v>
          </cell>
        </row>
        <row r="1022">
          <cell r="Q1022">
            <v>0</v>
          </cell>
          <cell r="R1022">
            <v>0</v>
          </cell>
        </row>
        <row r="1023">
          <cell r="Q1023">
            <v>0</v>
          </cell>
          <cell r="R1023">
            <v>0</v>
          </cell>
        </row>
        <row r="1024">
          <cell r="Q1024">
            <v>0</v>
          </cell>
          <cell r="R1024">
            <v>0</v>
          </cell>
        </row>
        <row r="1025">
          <cell r="Q1025">
            <v>0</v>
          </cell>
          <cell r="R1025">
            <v>0</v>
          </cell>
        </row>
        <row r="1026">
          <cell r="Q1026">
            <v>20.952175004338592</v>
          </cell>
          <cell r="R1026">
            <v>0</v>
          </cell>
        </row>
        <row r="1027">
          <cell r="Q1027">
            <v>0</v>
          </cell>
          <cell r="R1027">
            <v>0</v>
          </cell>
        </row>
        <row r="1028">
          <cell r="Q1028">
            <v>18.394220000000001</v>
          </cell>
          <cell r="R1028">
            <v>0</v>
          </cell>
        </row>
        <row r="1029">
          <cell r="Q1029">
            <v>3.9488006962111286</v>
          </cell>
          <cell r="R1029">
            <v>3.9488006962111286</v>
          </cell>
        </row>
        <row r="1030">
          <cell r="Q1030">
            <v>3.3771838624503356</v>
          </cell>
          <cell r="R1030">
            <v>0</v>
          </cell>
        </row>
        <row r="1031">
          <cell r="Q1031">
            <v>18.399480000000001</v>
          </cell>
          <cell r="R1031">
            <v>0</v>
          </cell>
        </row>
        <row r="1032">
          <cell r="Q1032">
            <v>3.4647541592562163</v>
          </cell>
          <cell r="R1032">
            <v>3.4647541592562163</v>
          </cell>
        </row>
        <row r="1033">
          <cell r="Q1033">
            <v>3.0353216923249953</v>
          </cell>
          <cell r="R1033">
            <v>0</v>
          </cell>
        </row>
        <row r="1034">
          <cell r="Q1034">
            <v>18.399480000000001</v>
          </cell>
          <cell r="R1034">
            <v>0</v>
          </cell>
        </row>
        <row r="1035">
          <cell r="Q1035">
            <v>0</v>
          </cell>
          <cell r="R1035">
            <v>0</v>
          </cell>
        </row>
        <row r="1036">
          <cell r="Q1036">
            <v>3.4647541592562163</v>
          </cell>
          <cell r="R1036">
            <v>3.4647541592562163</v>
          </cell>
        </row>
        <row r="1037">
          <cell r="Q1037">
            <v>18.704560000000001</v>
          </cell>
          <cell r="R1037">
            <v>0</v>
          </cell>
        </row>
        <row r="1038">
          <cell r="Q1038">
            <v>2.7266740149474393</v>
          </cell>
          <cell r="R1038">
            <v>0</v>
          </cell>
        </row>
        <row r="1039">
          <cell r="Q1039">
            <v>0</v>
          </cell>
          <cell r="R1039">
            <v>0</v>
          </cell>
        </row>
        <row r="1040">
          <cell r="Q1040">
            <v>4.0507052303068996</v>
          </cell>
          <cell r="R1040">
            <v>4.0507052303068996</v>
          </cell>
        </row>
        <row r="1041">
          <cell r="Q1041">
            <v>3.0353216923249953</v>
          </cell>
          <cell r="R1041">
            <v>0</v>
          </cell>
        </row>
        <row r="1042">
          <cell r="Q1042">
            <v>0</v>
          </cell>
          <cell r="R1042">
            <v>0</v>
          </cell>
        </row>
        <row r="1043">
          <cell r="Q1043">
            <v>0</v>
          </cell>
          <cell r="R1043">
            <v>0</v>
          </cell>
        </row>
        <row r="1044">
          <cell r="Q1044">
            <v>2.8074135789081014</v>
          </cell>
          <cell r="R1044">
            <v>0</v>
          </cell>
        </row>
        <row r="1045">
          <cell r="Q1045">
            <v>9.6415799999999994</v>
          </cell>
          <cell r="R1045">
            <v>0</v>
          </cell>
        </row>
        <row r="1046">
          <cell r="Q1046">
            <v>3.120826356682989</v>
          </cell>
          <cell r="R1046">
            <v>3.120826356682989</v>
          </cell>
        </row>
        <row r="1047">
          <cell r="Q1047">
            <v>17.531579999999998</v>
          </cell>
          <cell r="R1047">
            <v>0</v>
          </cell>
        </row>
        <row r="1048">
          <cell r="Q1048">
            <v>3.4647541592562163</v>
          </cell>
          <cell r="R1048">
            <v>3.4647541592562163</v>
          </cell>
        </row>
        <row r="1049">
          <cell r="Q1049">
            <v>2.8281324983096372</v>
          </cell>
          <cell r="R1049">
            <v>0</v>
          </cell>
        </row>
        <row r="1050">
          <cell r="Q1050">
            <v>7.8426600000000004</v>
          </cell>
          <cell r="R1050">
            <v>0</v>
          </cell>
        </row>
        <row r="1051">
          <cell r="Q1051">
            <v>3.9615387629730998</v>
          </cell>
          <cell r="R1051">
            <v>3.9615387629730998</v>
          </cell>
        </row>
        <row r="1052">
          <cell r="Q1052">
            <v>0</v>
          </cell>
          <cell r="R1052">
            <v>0</v>
          </cell>
        </row>
        <row r="1053">
          <cell r="Q1053">
            <v>6.5697400000000004</v>
          </cell>
          <cell r="R1053">
            <v>0</v>
          </cell>
        </row>
        <row r="1054">
          <cell r="Q1054">
            <v>3.5793967601139585</v>
          </cell>
          <cell r="R1054">
            <v>3.5793967601139585</v>
          </cell>
        </row>
        <row r="1055">
          <cell r="Q1055">
            <v>0</v>
          </cell>
          <cell r="R1055">
            <v>0</v>
          </cell>
        </row>
        <row r="1056">
          <cell r="Q1056">
            <v>6.5750000000000002</v>
          </cell>
          <cell r="R1056">
            <v>0</v>
          </cell>
        </row>
        <row r="1057">
          <cell r="Q1057">
            <v>4.4455852999280125</v>
          </cell>
          <cell r="R1057">
            <v>4.4455852999280125</v>
          </cell>
        </row>
        <row r="1058">
          <cell r="Q1058">
            <v>0</v>
          </cell>
          <cell r="R1058">
            <v>0</v>
          </cell>
        </row>
        <row r="1059">
          <cell r="Q1059">
            <v>6.5697400000000004</v>
          </cell>
          <cell r="R1059">
            <v>0</v>
          </cell>
        </row>
        <row r="1060">
          <cell r="Q1060">
            <v>3.7322535612576155</v>
          </cell>
          <cell r="R1060">
            <v>3.7322535612576155</v>
          </cell>
        </row>
        <row r="1061">
          <cell r="Q1061">
            <v>0.24754578840438421</v>
          </cell>
          <cell r="R1061">
            <v>0</v>
          </cell>
        </row>
        <row r="1062">
          <cell r="Q1062">
            <v>4.9537260869229796</v>
          </cell>
          <cell r="R1062">
            <v>0</v>
          </cell>
        </row>
        <row r="1063">
          <cell r="Q1063">
            <v>3.2227308907787595</v>
          </cell>
          <cell r="R1063">
            <v>3.2227308907787595</v>
          </cell>
        </row>
        <row r="1064">
          <cell r="Q1064">
            <v>18.183820000000001</v>
          </cell>
          <cell r="R1064">
            <v>0</v>
          </cell>
        </row>
        <row r="1065">
          <cell r="Q1065">
            <v>2.4862703281842964</v>
          </cell>
          <cell r="R1065">
            <v>0</v>
          </cell>
        </row>
        <row r="1066">
          <cell r="Q1066">
            <v>2.8981965201196389</v>
          </cell>
          <cell r="R1066">
            <v>0</v>
          </cell>
        </row>
        <row r="1067">
          <cell r="Q1067">
            <v>0</v>
          </cell>
          <cell r="R1067">
            <v>0</v>
          </cell>
        </row>
        <row r="1068">
          <cell r="Q1068">
            <v>0</v>
          </cell>
          <cell r="R1068">
            <v>0</v>
          </cell>
        </row>
        <row r="1069">
          <cell r="Q1069">
            <v>0.95751213585858264</v>
          </cell>
          <cell r="R1069">
            <v>0</v>
          </cell>
        </row>
        <row r="1070">
          <cell r="Q1070">
            <v>0</v>
          </cell>
          <cell r="R1070">
            <v>0</v>
          </cell>
        </row>
        <row r="1071">
          <cell r="Q1071">
            <v>0</v>
          </cell>
          <cell r="R1071">
            <v>0</v>
          </cell>
        </row>
        <row r="1072">
          <cell r="Q1072">
            <v>0</v>
          </cell>
          <cell r="R1072">
            <v>0</v>
          </cell>
        </row>
        <row r="1073">
          <cell r="Q1073">
            <v>0</v>
          </cell>
          <cell r="R1073">
            <v>0</v>
          </cell>
        </row>
        <row r="1074">
          <cell r="Q1074">
            <v>0</v>
          </cell>
          <cell r="R1074">
            <v>0</v>
          </cell>
        </row>
        <row r="1075">
          <cell r="Q1075">
            <v>0</v>
          </cell>
          <cell r="R1075">
            <v>0</v>
          </cell>
        </row>
        <row r="1076">
          <cell r="Q1076">
            <v>20.952175004338592</v>
          </cell>
          <cell r="R1076">
            <v>0</v>
          </cell>
        </row>
        <row r="1077">
          <cell r="Q1077">
            <v>7.2944330034895959</v>
          </cell>
          <cell r="R1077">
            <v>0</v>
          </cell>
        </row>
        <row r="1078">
          <cell r="Q1078">
            <v>0</v>
          </cell>
          <cell r="R1078">
            <v>0</v>
          </cell>
        </row>
        <row r="1079">
          <cell r="Q1079">
            <v>10.547119278912303</v>
          </cell>
          <cell r="R1079">
            <v>21.094238557824607</v>
          </cell>
        </row>
        <row r="1080">
          <cell r="Q1080">
            <v>0</v>
          </cell>
          <cell r="R1080">
            <v>0</v>
          </cell>
        </row>
        <row r="1081">
          <cell r="Q1081">
            <v>0</v>
          </cell>
          <cell r="R1081">
            <v>0</v>
          </cell>
        </row>
        <row r="1082">
          <cell r="Q1082">
            <v>5.2480835059322102</v>
          </cell>
          <cell r="R1082">
            <v>10.49616701186442</v>
          </cell>
        </row>
        <row r="1083">
          <cell r="Q1083">
            <v>0</v>
          </cell>
          <cell r="R1083">
            <v>0</v>
          </cell>
        </row>
        <row r="1084">
          <cell r="Q1084">
            <v>0</v>
          </cell>
          <cell r="R1084">
            <v>0</v>
          </cell>
        </row>
        <row r="1085">
          <cell r="Q1085">
            <v>3.0353216923249953</v>
          </cell>
          <cell r="R1085">
            <v>0</v>
          </cell>
        </row>
        <row r="1086">
          <cell r="Q1086">
            <v>18.399480000000001</v>
          </cell>
          <cell r="R1086">
            <v>0</v>
          </cell>
        </row>
        <row r="1087">
          <cell r="Q1087">
            <v>0</v>
          </cell>
          <cell r="R1087">
            <v>0</v>
          </cell>
        </row>
        <row r="1088">
          <cell r="Q1088">
            <v>3.4647541592562163</v>
          </cell>
          <cell r="R1088">
            <v>6.9295083185124327</v>
          </cell>
        </row>
        <row r="1089">
          <cell r="Q1089">
            <v>18.704560000000001</v>
          </cell>
          <cell r="R1089">
            <v>0</v>
          </cell>
        </row>
        <row r="1090">
          <cell r="Q1090">
            <v>2.7266740149474393</v>
          </cell>
          <cell r="R1090">
            <v>0</v>
          </cell>
        </row>
        <row r="1091">
          <cell r="Q1091">
            <v>4.0507052303068996</v>
          </cell>
          <cell r="R1091">
            <v>8.1014104606137991</v>
          </cell>
        </row>
        <row r="1092">
          <cell r="Q1092">
            <v>3.0353216923249953</v>
          </cell>
          <cell r="R1092">
            <v>0</v>
          </cell>
        </row>
        <row r="1093">
          <cell r="Q1093">
            <v>0</v>
          </cell>
          <cell r="R1093">
            <v>0</v>
          </cell>
        </row>
        <row r="1094">
          <cell r="Q1094">
            <v>1.2953966250414746</v>
          </cell>
          <cell r="R1094">
            <v>0</v>
          </cell>
        </row>
        <row r="1095">
          <cell r="Q1095">
            <v>0</v>
          </cell>
          <cell r="R1095">
            <v>0</v>
          </cell>
        </row>
        <row r="1096">
          <cell r="Q1096">
            <v>0</v>
          </cell>
          <cell r="R1096">
            <v>0</v>
          </cell>
        </row>
        <row r="1097">
          <cell r="Q1097">
            <v>9.8151600000000006</v>
          </cell>
          <cell r="R1097">
            <v>0</v>
          </cell>
        </row>
        <row r="1098">
          <cell r="Q1098">
            <v>2.8074135789081014</v>
          </cell>
          <cell r="R1098">
            <v>0</v>
          </cell>
        </row>
        <row r="1099">
          <cell r="Q1099">
            <v>9.6415799999999994</v>
          </cell>
          <cell r="R1099">
            <v>0</v>
          </cell>
        </row>
        <row r="1100">
          <cell r="Q1100">
            <v>3.120826356682989</v>
          </cell>
          <cell r="R1100">
            <v>6.241652713365978</v>
          </cell>
        </row>
        <row r="1101">
          <cell r="Q1101">
            <v>17.531579999999998</v>
          </cell>
          <cell r="R1101">
            <v>0</v>
          </cell>
        </row>
        <row r="1102">
          <cell r="Q1102">
            <v>3.4647541592562163</v>
          </cell>
          <cell r="R1102">
            <v>6.9295083185124327</v>
          </cell>
        </row>
        <row r="1103">
          <cell r="Q1103">
            <v>2.8281324983096372</v>
          </cell>
          <cell r="R1103">
            <v>0</v>
          </cell>
        </row>
        <row r="1104">
          <cell r="Q1104">
            <v>7.8426600000000004</v>
          </cell>
          <cell r="R1104">
            <v>0</v>
          </cell>
        </row>
        <row r="1105">
          <cell r="Q1105">
            <v>3.9615387629730998</v>
          </cell>
          <cell r="R1105">
            <v>7.9230775259461996</v>
          </cell>
        </row>
        <row r="1106">
          <cell r="Q1106">
            <v>1.512805848824659</v>
          </cell>
          <cell r="R1106">
            <v>0</v>
          </cell>
        </row>
        <row r="1107">
          <cell r="Q1107">
            <v>6.5697400000000004</v>
          </cell>
          <cell r="R1107">
            <v>0</v>
          </cell>
        </row>
        <row r="1108">
          <cell r="Q1108">
            <v>3.5793967601139585</v>
          </cell>
          <cell r="R1108">
            <v>7.1587935202279169</v>
          </cell>
        </row>
        <row r="1109">
          <cell r="Q1109">
            <v>0.79414758131913232</v>
          </cell>
          <cell r="R1109">
            <v>0</v>
          </cell>
        </row>
        <row r="1110">
          <cell r="Q1110">
            <v>6.5750000000000002</v>
          </cell>
          <cell r="R1110">
            <v>0</v>
          </cell>
        </row>
        <row r="1111">
          <cell r="Q1111">
            <v>4.4455852999280125</v>
          </cell>
          <cell r="R1111">
            <v>8.8911705998560251</v>
          </cell>
        </row>
        <row r="1112">
          <cell r="Q1112">
            <v>0</v>
          </cell>
          <cell r="R1112">
            <v>0</v>
          </cell>
        </row>
        <row r="1113">
          <cell r="Q1113">
            <v>0.79414758131913232</v>
          </cell>
          <cell r="R1113">
            <v>0</v>
          </cell>
        </row>
        <row r="1114">
          <cell r="Q1114">
            <v>6.5697400000000004</v>
          </cell>
          <cell r="R1114">
            <v>0</v>
          </cell>
        </row>
        <row r="1115">
          <cell r="Q1115">
            <v>3.7322535612576155</v>
          </cell>
          <cell r="R1115">
            <v>7.4645071225152311</v>
          </cell>
        </row>
        <row r="1116">
          <cell r="Q1116">
            <v>0.59485579285121326</v>
          </cell>
          <cell r="R1116">
            <v>0</v>
          </cell>
        </row>
        <row r="1117">
          <cell r="Q1117">
            <v>0</v>
          </cell>
          <cell r="R1117">
            <v>0</v>
          </cell>
        </row>
        <row r="1118">
          <cell r="Q1118">
            <v>3.2227308907787595</v>
          </cell>
          <cell r="R1118">
            <v>6.445461781557519</v>
          </cell>
        </row>
        <row r="1119">
          <cell r="Q1119">
            <v>18.183820000000001</v>
          </cell>
          <cell r="R1119">
            <v>0</v>
          </cell>
        </row>
        <row r="1120">
          <cell r="Q1120">
            <v>2.4862703281842964</v>
          </cell>
          <cell r="R1120">
            <v>0</v>
          </cell>
        </row>
        <row r="1121">
          <cell r="Q1121">
            <v>2.8981965201196389</v>
          </cell>
          <cell r="R1121">
            <v>0</v>
          </cell>
        </row>
        <row r="1122">
          <cell r="Q1122">
            <v>2.4241775503086336</v>
          </cell>
          <cell r="R1122">
            <v>0</v>
          </cell>
        </row>
        <row r="1123">
          <cell r="Q1123">
            <v>1.5410990396168265</v>
          </cell>
          <cell r="R1123">
            <v>0</v>
          </cell>
        </row>
        <row r="1124">
          <cell r="Q1124">
            <v>5.0806901694454565</v>
          </cell>
          <cell r="R1124">
            <v>0</v>
          </cell>
        </row>
        <row r="1125">
          <cell r="Q1125">
            <v>0</v>
          </cell>
          <cell r="R1125">
            <v>0</v>
          </cell>
        </row>
        <row r="1126">
          <cell r="Q1126">
            <v>0</v>
          </cell>
          <cell r="R1126">
            <v>0</v>
          </cell>
        </row>
        <row r="1127">
          <cell r="Q1127">
            <v>0</v>
          </cell>
          <cell r="R1127">
            <v>0</v>
          </cell>
        </row>
        <row r="1128">
          <cell r="Q1128">
            <v>0</v>
          </cell>
          <cell r="R1128">
            <v>0</v>
          </cell>
        </row>
        <row r="1129">
          <cell r="Q1129">
            <v>0</v>
          </cell>
          <cell r="R1129">
            <v>0</v>
          </cell>
        </row>
        <row r="1130">
          <cell r="Q1130">
            <v>21.317839087717658</v>
          </cell>
          <cell r="R1130">
            <v>0</v>
          </cell>
        </row>
        <row r="1131">
          <cell r="Q1131">
            <v>7.2944330034895959</v>
          </cell>
          <cell r="R1131">
            <v>0</v>
          </cell>
        </row>
        <row r="1132">
          <cell r="Q1132">
            <v>18.394220000000001</v>
          </cell>
          <cell r="R1132">
            <v>0</v>
          </cell>
        </row>
        <row r="1133">
          <cell r="Q1133">
            <v>3.9488006962111286</v>
          </cell>
          <cell r="R1133">
            <v>3.9488006962111286</v>
          </cell>
        </row>
        <row r="1134">
          <cell r="Q1134">
            <v>3.3771838624503356</v>
          </cell>
          <cell r="R1134">
            <v>0</v>
          </cell>
        </row>
        <row r="1135">
          <cell r="Q1135">
            <v>18.399480000000001</v>
          </cell>
          <cell r="R1135">
            <v>0</v>
          </cell>
        </row>
        <row r="1136">
          <cell r="Q1136">
            <v>3.4647541592562163</v>
          </cell>
          <cell r="R1136">
            <v>3.4647541592562163</v>
          </cell>
        </row>
        <row r="1137">
          <cell r="Q1137">
            <v>3.0353216923249953</v>
          </cell>
          <cell r="R1137">
            <v>0</v>
          </cell>
        </row>
        <row r="1138">
          <cell r="Q1138">
            <v>18.399480000000001</v>
          </cell>
          <cell r="R1138">
            <v>0</v>
          </cell>
        </row>
        <row r="1139">
          <cell r="Q1139">
            <v>0</v>
          </cell>
          <cell r="R1139">
            <v>0</v>
          </cell>
        </row>
        <row r="1140">
          <cell r="Q1140">
            <v>3.4647541592562163</v>
          </cell>
          <cell r="R1140">
            <v>3.4647541592562163</v>
          </cell>
        </row>
        <row r="1141">
          <cell r="Q1141">
            <v>16.015914602039064</v>
          </cell>
          <cell r="R1141">
            <v>0</v>
          </cell>
        </row>
        <row r="1142">
          <cell r="Q1142">
            <v>2.7266740149474393</v>
          </cell>
          <cell r="R1142">
            <v>0</v>
          </cell>
        </row>
        <row r="1143">
          <cell r="Q1143">
            <v>15.840261995323788</v>
          </cell>
          <cell r="R1143">
            <v>0</v>
          </cell>
        </row>
        <row r="1144">
          <cell r="Q1144">
            <v>4.0507052303068996</v>
          </cell>
          <cell r="R1144">
            <v>4.0507052303068996</v>
          </cell>
        </row>
        <row r="1145">
          <cell r="Q1145">
            <v>3.0353216923249953</v>
          </cell>
          <cell r="R1145">
            <v>0</v>
          </cell>
        </row>
        <row r="1146">
          <cell r="Q1146">
            <v>0</v>
          </cell>
          <cell r="R1146">
            <v>0</v>
          </cell>
        </row>
        <row r="1147">
          <cell r="Q1147">
            <v>9.8151600000000006</v>
          </cell>
          <cell r="R1147">
            <v>0</v>
          </cell>
        </row>
        <row r="1148">
          <cell r="Q1148">
            <v>2.8074135789081014</v>
          </cell>
          <cell r="R1148">
            <v>0</v>
          </cell>
        </row>
        <row r="1149">
          <cell r="Q1149">
            <v>9.6415799999999994</v>
          </cell>
          <cell r="R1149">
            <v>0</v>
          </cell>
        </row>
        <row r="1150">
          <cell r="Q1150">
            <v>3.120826356682989</v>
          </cell>
          <cell r="R1150">
            <v>3.120826356682989</v>
          </cell>
        </row>
        <row r="1151">
          <cell r="Q1151">
            <v>17.531579999999998</v>
          </cell>
          <cell r="R1151">
            <v>0</v>
          </cell>
        </row>
        <row r="1152">
          <cell r="Q1152">
            <v>3.4647541592562163</v>
          </cell>
          <cell r="R1152">
            <v>3.4647541592562163</v>
          </cell>
        </row>
        <row r="1153">
          <cell r="Q1153">
            <v>2.8281324983096372</v>
          </cell>
          <cell r="R1153">
            <v>0</v>
          </cell>
        </row>
        <row r="1154">
          <cell r="Q1154">
            <v>7.8426600000000004</v>
          </cell>
          <cell r="R1154">
            <v>0</v>
          </cell>
        </row>
        <row r="1155">
          <cell r="Q1155">
            <v>3.9615387629730998</v>
          </cell>
          <cell r="R1155">
            <v>3.9615387629730998</v>
          </cell>
        </row>
        <row r="1156">
          <cell r="Q1156">
            <v>1.512805848824659</v>
          </cell>
          <cell r="R1156">
            <v>0</v>
          </cell>
        </row>
        <row r="1157">
          <cell r="Q1157">
            <v>6.5697400000000004</v>
          </cell>
          <cell r="R1157">
            <v>0</v>
          </cell>
        </row>
        <row r="1158">
          <cell r="Q1158">
            <v>3.5793967601139585</v>
          </cell>
          <cell r="R1158">
            <v>3.5793967601139585</v>
          </cell>
        </row>
        <row r="1159">
          <cell r="Q1159">
            <v>0.79414758131913232</v>
          </cell>
          <cell r="R1159">
            <v>0</v>
          </cell>
        </row>
        <row r="1160">
          <cell r="Q1160">
            <v>6.5750000000000002</v>
          </cell>
          <cell r="R1160">
            <v>0</v>
          </cell>
        </row>
        <row r="1161">
          <cell r="Q1161">
            <v>4.4455852999280125</v>
          </cell>
          <cell r="R1161">
            <v>4.4455852999280125</v>
          </cell>
        </row>
        <row r="1162">
          <cell r="Q1162">
            <v>0</v>
          </cell>
          <cell r="R1162">
            <v>0</v>
          </cell>
        </row>
        <row r="1163">
          <cell r="Q1163">
            <v>0.79414758131913232</v>
          </cell>
          <cell r="R1163">
            <v>0</v>
          </cell>
        </row>
        <row r="1164">
          <cell r="Q1164">
            <v>6.5697400000000004</v>
          </cell>
          <cell r="R1164">
            <v>0</v>
          </cell>
        </row>
        <row r="1165">
          <cell r="Q1165">
            <v>3.7322535612576155</v>
          </cell>
          <cell r="R1165">
            <v>3.7322535612576155</v>
          </cell>
        </row>
        <row r="1166">
          <cell r="Q1166">
            <v>0.59485579285121326</v>
          </cell>
          <cell r="R1166">
            <v>0</v>
          </cell>
        </row>
        <row r="1167">
          <cell r="Q1167">
            <v>4.9537260869229796</v>
          </cell>
          <cell r="R1167">
            <v>0</v>
          </cell>
        </row>
        <row r="1168">
          <cell r="Q1168">
            <v>4.3182046323082988</v>
          </cell>
          <cell r="R1168">
            <v>4.3182046323082988</v>
          </cell>
        </row>
        <row r="1169">
          <cell r="Q1169">
            <v>18.183820000000001</v>
          </cell>
          <cell r="R1169">
            <v>0</v>
          </cell>
        </row>
        <row r="1170">
          <cell r="Q1170">
            <v>4.5270838892355734</v>
          </cell>
          <cell r="R1170">
            <v>0</v>
          </cell>
        </row>
        <row r="1171">
          <cell r="Q1171">
            <v>0</v>
          </cell>
          <cell r="R1171">
            <v>0</v>
          </cell>
        </row>
        <row r="1172">
          <cell r="Q1172">
            <v>2.4241775503086336</v>
          </cell>
          <cell r="R1172">
            <v>0</v>
          </cell>
        </row>
        <row r="1173">
          <cell r="Q1173">
            <v>1.5410990396168265</v>
          </cell>
          <cell r="R1173">
            <v>0</v>
          </cell>
        </row>
        <row r="1174">
          <cell r="Q1174">
            <v>4.70197463890596</v>
          </cell>
          <cell r="R1174">
            <v>0</v>
          </cell>
        </row>
        <row r="1175">
          <cell r="Q1175">
            <v>0</v>
          </cell>
          <cell r="R1175">
            <v>0</v>
          </cell>
        </row>
        <row r="1176">
          <cell r="Q1176">
            <v>0</v>
          </cell>
          <cell r="R1176">
            <v>0</v>
          </cell>
        </row>
        <row r="1177">
          <cell r="Q1177">
            <v>0</v>
          </cell>
          <cell r="R1177">
            <v>0</v>
          </cell>
        </row>
        <row r="1178">
          <cell r="Q1178">
            <v>0</v>
          </cell>
          <cell r="R1178">
            <v>0</v>
          </cell>
        </row>
        <row r="1179">
          <cell r="Q1179">
            <v>0</v>
          </cell>
          <cell r="R1179">
            <v>0</v>
          </cell>
        </row>
        <row r="1180">
          <cell r="Q1180">
            <v>15.296319199221164</v>
          </cell>
          <cell r="R1180">
            <v>0</v>
          </cell>
        </row>
        <row r="1181">
          <cell r="Q1181">
            <v>5.5842308815689519</v>
          </cell>
          <cell r="R1181">
            <v>0</v>
          </cell>
        </row>
        <row r="1182">
          <cell r="Q1182">
            <v>0</v>
          </cell>
          <cell r="R1182">
            <v>0</v>
          </cell>
        </row>
        <row r="1183">
          <cell r="Q1183">
            <v>18.399480000000001</v>
          </cell>
          <cell r="R1183">
            <v>0</v>
          </cell>
        </row>
        <row r="1184">
          <cell r="Q1184">
            <v>3.9488006962111286</v>
          </cell>
          <cell r="R1184">
            <v>3.9488006962111286</v>
          </cell>
        </row>
        <row r="1185">
          <cell r="Q1185">
            <v>3.3564649430488003</v>
          </cell>
          <cell r="R1185">
            <v>0</v>
          </cell>
        </row>
        <row r="1186">
          <cell r="Q1186">
            <v>18.399480000000001</v>
          </cell>
          <cell r="R1186">
            <v>0</v>
          </cell>
        </row>
        <row r="1187">
          <cell r="Q1187">
            <v>3.4647541592562163</v>
          </cell>
          <cell r="R1187">
            <v>3.4647541592562163</v>
          </cell>
        </row>
        <row r="1188">
          <cell r="Q1188">
            <v>3.0767595311280669</v>
          </cell>
          <cell r="R1188">
            <v>0</v>
          </cell>
        </row>
        <row r="1189">
          <cell r="Q1189">
            <v>18.399480000000001</v>
          </cell>
          <cell r="R1189">
            <v>0</v>
          </cell>
        </row>
        <row r="1190">
          <cell r="Q1190">
            <v>3.4647541592562163</v>
          </cell>
          <cell r="R1190">
            <v>3.4647541592562163</v>
          </cell>
        </row>
        <row r="1191">
          <cell r="Q1191">
            <v>3.0767595311280669</v>
          </cell>
          <cell r="R1191">
            <v>0</v>
          </cell>
        </row>
        <row r="1192">
          <cell r="Q1192">
            <v>18.704560000000001</v>
          </cell>
          <cell r="R1192">
            <v>0</v>
          </cell>
        </row>
        <row r="1193">
          <cell r="Q1193">
            <v>3.4647541592562163</v>
          </cell>
          <cell r="R1193">
            <v>3.4647541592562163</v>
          </cell>
        </row>
        <row r="1194">
          <cell r="Q1194">
            <v>3.3564649430488003</v>
          </cell>
          <cell r="R1194">
            <v>0</v>
          </cell>
        </row>
        <row r="1195">
          <cell r="Q1195">
            <v>2.6330672658185685</v>
          </cell>
          <cell r="R1195">
            <v>0</v>
          </cell>
        </row>
        <row r="1196">
          <cell r="Q1196">
            <v>0</v>
          </cell>
          <cell r="R1196">
            <v>0</v>
          </cell>
        </row>
        <row r="1197">
          <cell r="Q1197">
            <v>0</v>
          </cell>
          <cell r="R1197">
            <v>0</v>
          </cell>
        </row>
        <row r="1198">
          <cell r="Q1198">
            <v>0</v>
          </cell>
          <cell r="R1198">
            <v>0</v>
          </cell>
        </row>
        <row r="1199">
          <cell r="Q1199">
            <v>0</v>
          </cell>
          <cell r="R1199">
            <v>0</v>
          </cell>
        </row>
        <row r="1200">
          <cell r="Q1200">
            <v>9.5100800000000003</v>
          </cell>
          <cell r="R1200">
            <v>0</v>
          </cell>
        </row>
        <row r="1201">
          <cell r="Q1201">
            <v>5.2098693056462952</v>
          </cell>
          <cell r="R1201">
            <v>5.2098693056462952</v>
          </cell>
        </row>
        <row r="1202">
          <cell r="Q1202">
            <v>9.5100800000000003</v>
          </cell>
          <cell r="R1202">
            <v>0</v>
          </cell>
        </row>
        <row r="1203">
          <cell r="Q1203">
            <v>4.6748705016434977</v>
          </cell>
          <cell r="R1203">
            <v>4.6748705016434977</v>
          </cell>
        </row>
        <row r="1204">
          <cell r="Q1204">
            <v>0</v>
          </cell>
          <cell r="R1204">
            <v>0</v>
          </cell>
        </row>
        <row r="1205">
          <cell r="Q1205">
            <v>0</v>
          </cell>
          <cell r="R1205">
            <v>0</v>
          </cell>
        </row>
        <row r="1206">
          <cell r="Q1206">
            <v>7.38504</v>
          </cell>
          <cell r="R1206">
            <v>0</v>
          </cell>
        </row>
        <row r="1207">
          <cell r="Q1207">
            <v>4.3818949661181552</v>
          </cell>
          <cell r="R1207">
            <v>4.3818949661181552</v>
          </cell>
        </row>
        <row r="1208">
          <cell r="Q1208">
            <v>0</v>
          </cell>
          <cell r="R1208">
            <v>0</v>
          </cell>
        </row>
        <row r="1209">
          <cell r="Q1209">
            <v>7.2640600000000006</v>
          </cell>
          <cell r="R1209">
            <v>0</v>
          </cell>
        </row>
        <row r="1210">
          <cell r="Q1210">
            <v>4.4710614334519549</v>
          </cell>
          <cell r="R1210">
            <v>4.4710614334519549</v>
          </cell>
        </row>
        <row r="1211">
          <cell r="Q1211">
            <v>0</v>
          </cell>
          <cell r="R1211">
            <v>0</v>
          </cell>
        </row>
        <row r="1212">
          <cell r="Q1212">
            <v>0</v>
          </cell>
          <cell r="R1212">
            <v>0</v>
          </cell>
        </row>
        <row r="1213">
          <cell r="Q1213">
            <v>0</v>
          </cell>
          <cell r="R1213">
            <v>0</v>
          </cell>
        </row>
        <row r="1214">
          <cell r="Q1214">
            <v>7.2535400000000001</v>
          </cell>
          <cell r="R1214">
            <v>0</v>
          </cell>
        </row>
        <row r="1215">
          <cell r="Q1215">
            <v>4.4073710996420985</v>
          </cell>
          <cell r="R1215">
            <v>4.4073710996420985</v>
          </cell>
        </row>
        <row r="1216">
          <cell r="Q1216">
            <v>0</v>
          </cell>
          <cell r="R1216">
            <v>0</v>
          </cell>
        </row>
        <row r="1217">
          <cell r="Q1217">
            <v>7.2535400000000001</v>
          </cell>
          <cell r="R1217">
            <v>0</v>
          </cell>
        </row>
        <row r="1218">
          <cell r="Q1218">
            <v>4.4073710996420985</v>
          </cell>
          <cell r="R1218">
            <v>4.4073710996420985</v>
          </cell>
        </row>
        <row r="1219">
          <cell r="Q1219">
            <v>0</v>
          </cell>
          <cell r="R1219">
            <v>0</v>
          </cell>
        </row>
        <row r="1220">
          <cell r="Q1220">
            <v>7.1588599999999998</v>
          </cell>
          <cell r="R1220">
            <v>0</v>
          </cell>
        </row>
        <row r="1221">
          <cell r="Q1221">
            <v>4.2417762317364707</v>
          </cell>
          <cell r="R1221">
            <v>4.2417762317364707</v>
          </cell>
        </row>
        <row r="1222">
          <cell r="Q1222">
            <v>0</v>
          </cell>
          <cell r="R1222">
            <v>0</v>
          </cell>
        </row>
        <row r="1223">
          <cell r="Q1223">
            <v>0</v>
          </cell>
          <cell r="R1223">
            <v>0</v>
          </cell>
        </row>
        <row r="1224">
          <cell r="Q1224">
            <v>0</v>
          </cell>
          <cell r="R1224">
            <v>0</v>
          </cell>
        </row>
        <row r="1225">
          <cell r="Q1225">
            <v>18.762420000000002</v>
          </cell>
          <cell r="R1225">
            <v>0</v>
          </cell>
        </row>
        <row r="1226">
          <cell r="Q1226">
            <v>6.4709379150814623</v>
          </cell>
          <cell r="R1226">
            <v>6.4709379150814623</v>
          </cell>
        </row>
        <row r="1227">
          <cell r="Q1227">
            <v>0</v>
          </cell>
          <cell r="R1227">
            <v>0</v>
          </cell>
        </row>
        <row r="1228">
          <cell r="Q1228">
            <v>0</v>
          </cell>
          <cell r="R1228">
            <v>0</v>
          </cell>
        </row>
        <row r="1229">
          <cell r="Q1229">
            <v>0</v>
          </cell>
          <cell r="R1229">
            <v>0</v>
          </cell>
        </row>
        <row r="1230">
          <cell r="Q1230">
            <v>3.3936680081544521</v>
          </cell>
          <cell r="R1230">
            <v>0</v>
          </cell>
        </row>
        <row r="1231">
          <cell r="Q1231">
            <v>4.2494833556639637</v>
          </cell>
          <cell r="R1231">
            <v>0</v>
          </cell>
        </row>
        <row r="1232">
          <cell r="Q1232">
            <v>0</v>
          </cell>
          <cell r="R1232">
            <v>0</v>
          </cell>
        </row>
        <row r="1233">
          <cell r="Q1233">
            <v>0</v>
          </cell>
          <cell r="R1233">
            <v>0</v>
          </cell>
        </row>
        <row r="1234">
          <cell r="Q1234">
            <v>0</v>
          </cell>
          <cell r="R1234">
            <v>0</v>
          </cell>
        </row>
        <row r="1235">
          <cell r="Q1235">
            <v>0</v>
          </cell>
          <cell r="R1235">
            <v>0</v>
          </cell>
        </row>
        <row r="1236">
          <cell r="Q1236">
            <v>18.215348978223115</v>
          </cell>
          <cell r="R1236">
            <v>0</v>
          </cell>
        </row>
        <row r="1237">
          <cell r="Q1237">
            <v>0</v>
          </cell>
          <cell r="R1237">
            <v>0</v>
          </cell>
        </row>
        <row r="1238">
          <cell r="Q1238">
            <v>9.7711474651395527</v>
          </cell>
          <cell r="R1238">
            <v>0</v>
          </cell>
        </row>
        <row r="1239">
          <cell r="Q1239">
            <v>0</v>
          </cell>
          <cell r="R1239">
            <v>0</v>
          </cell>
        </row>
        <row r="1240">
          <cell r="Q1240">
            <v>0</v>
          </cell>
          <cell r="R1240">
            <v>0</v>
          </cell>
        </row>
        <row r="1241">
          <cell r="Q1241">
            <v>0</v>
          </cell>
          <cell r="R1241">
            <v>0</v>
          </cell>
        </row>
        <row r="1242">
          <cell r="Q1242">
            <v>0</v>
          </cell>
          <cell r="R1242">
            <v>0</v>
          </cell>
        </row>
        <row r="1243">
          <cell r="Q1243">
            <v>0</v>
          </cell>
          <cell r="R1243">
            <v>0</v>
          </cell>
        </row>
        <row r="1244">
          <cell r="Q1244">
            <v>0</v>
          </cell>
          <cell r="R1244">
            <v>0</v>
          </cell>
        </row>
        <row r="1245">
          <cell r="Q1245">
            <v>0</v>
          </cell>
          <cell r="R1245">
            <v>0</v>
          </cell>
        </row>
        <row r="1246">
          <cell r="Q1246">
            <v>0</v>
          </cell>
          <cell r="R1246">
            <v>0</v>
          </cell>
        </row>
        <row r="1247">
          <cell r="Q1247">
            <v>0</v>
          </cell>
          <cell r="R1247">
            <v>0</v>
          </cell>
        </row>
        <row r="1248">
          <cell r="Q1248">
            <v>0</v>
          </cell>
          <cell r="R1248">
            <v>0</v>
          </cell>
        </row>
        <row r="1249">
          <cell r="Q1249">
            <v>0</v>
          </cell>
          <cell r="R1249">
            <v>0</v>
          </cell>
        </row>
        <row r="1250">
          <cell r="Q1250">
            <v>0</v>
          </cell>
          <cell r="R1250">
            <v>0</v>
          </cell>
        </row>
        <row r="1251">
          <cell r="Q1251">
            <v>0</v>
          </cell>
          <cell r="R1251">
            <v>0</v>
          </cell>
        </row>
        <row r="1252">
          <cell r="Q1252">
            <v>0</v>
          </cell>
          <cell r="R1252">
            <v>0</v>
          </cell>
        </row>
        <row r="1253">
          <cell r="Q1253">
            <v>0</v>
          </cell>
          <cell r="R1253">
            <v>0</v>
          </cell>
        </row>
        <row r="1254">
          <cell r="Q1254">
            <v>0</v>
          </cell>
          <cell r="R1254">
            <v>0</v>
          </cell>
        </row>
        <row r="1255">
          <cell r="Q1255">
            <v>0</v>
          </cell>
          <cell r="R1255">
            <v>0</v>
          </cell>
        </row>
        <row r="1256">
          <cell r="Q1256">
            <v>0</v>
          </cell>
          <cell r="R1256">
            <v>0</v>
          </cell>
        </row>
        <row r="1257">
          <cell r="Q1257">
            <v>0</v>
          </cell>
          <cell r="R1257">
            <v>0</v>
          </cell>
        </row>
        <row r="1258">
          <cell r="Q1258">
            <v>0</v>
          </cell>
          <cell r="R1258">
            <v>0</v>
          </cell>
        </row>
        <row r="1259">
          <cell r="Q1259">
            <v>0</v>
          </cell>
          <cell r="R1259">
            <v>0</v>
          </cell>
        </row>
        <row r="1260">
          <cell r="Q1260">
            <v>0</v>
          </cell>
          <cell r="R1260">
            <v>0</v>
          </cell>
        </row>
        <row r="1261">
          <cell r="Q1261">
            <v>0</v>
          </cell>
          <cell r="R1261">
            <v>0</v>
          </cell>
        </row>
        <row r="1262">
          <cell r="Q1262">
            <v>0</v>
          </cell>
          <cell r="R1262">
            <v>0</v>
          </cell>
        </row>
        <row r="1263">
          <cell r="Q1263">
            <v>0</v>
          </cell>
          <cell r="R1263">
            <v>0</v>
          </cell>
        </row>
        <row r="1264">
          <cell r="Q1264">
            <v>0</v>
          </cell>
          <cell r="R1264">
            <v>0</v>
          </cell>
        </row>
        <row r="1265">
          <cell r="Q1265">
            <v>0</v>
          </cell>
          <cell r="R1265">
            <v>0</v>
          </cell>
        </row>
        <row r="1266">
          <cell r="Q1266">
            <v>0</v>
          </cell>
          <cell r="R1266">
            <v>0</v>
          </cell>
        </row>
        <row r="1267">
          <cell r="Q1267">
            <v>0</v>
          </cell>
          <cell r="R1267">
            <v>0</v>
          </cell>
        </row>
        <row r="1268">
          <cell r="Q1268">
            <v>0</v>
          </cell>
          <cell r="R1268">
            <v>0</v>
          </cell>
        </row>
        <row r="1269">
          <cell r="Q1269">
            <v>0</v>
          </cell>
          <cell r="R1269">
            <v>0</v>
          </cell>
        </row>
        <row r="1270">
          <cell r="Q1270">
            <v>0</v>
          </cell>
          <cell r="R1270">
            <v>0</v>
          </cell>
        </row>
        <row r="1271">
          <cell r="Q1271">
            <v>0</v>
          </cell>
          <cell r="R1271">
            <v>0</v>
          </cell>
        </row>
        <row r="1272">
          <cell r="Q1272">
            <v>0</v>
          </cell>
          <cell r="R1272">
            <v>0</v>
          </cell>
        </row>
        <row r="1273">
          <cell r="Q1273">
            <v>0</v>
          </cell>
          <cell r="R1273">
            <v>0</v>
          </cell>
        </row>
        <row r="1274">
          <cell r="Q1274">
            <v>0</v>
          </cell>
          <cell r="R1274">
            <v>0</v>
          </cell>
        </row>
        <row r="1275">
          <cell r="Q1275">
            <v>0</v>
          </cell>
          <cell r="R1275">
            <v>0</v>
          </cell>
        </row>
        <row r="1276">
          <cell r="Q1276">
            <v>0</v>
          </cell>
          <cell r="R1276">
            <v>0</v>
          </cell>
        </row>
        <row r="1277">
          <cell r="Q1277">
            <v>0</v>
          </cell>
          <cell r="R1277">
            <v>0</v>
          </cell>
        </row>
        <row r="1278">
          <cell r="Q1278">
            <v>0</v>
          </cell>
          <cell r="R1278">
            <v>0</v>
          </cell>
        </row>
        <row r="1279">
          <cell r="Q1279">
            <v>0</v>
          </cell>
          <cell r="R1279">
            <v>0</v>
          </cell>
        </row>
        <row r="1280">
          <cell r="Q1280">
            <v>0</v>
          </cell>
          <cell r="R1280">
            <v>0</v>
          </cell>
        </row>
        <row r="1281">
          <cell r="Q1281">
            <v>0</v>
          </cell>
          <cell r="R1281">
            <v>0</v>
          </cell>
        </row>
        <row r="1282">
          <cell r="Q1282">
            <v>0</v>
          </cell>
          <cell r="R1282">
            <v>0</v>
          </cell>
        </row>
        <row r="1283">
          <cell r="Q1283">
            <v>5.5872836713359515</v>
          </cell>
          <cell r="R1283">
            <v>0</v>
          </cell>
        </row>
        <row r="1284">
          <cell r="Q1284">
            <v>0</v>
          </cell>
          <cell r="R1284">
            <v>0</v>
          </cell>
        </row>
        <row r="1285">
          <cell r="Q1285">
            <v>0</v>
          </cell>
          <cell r="R1285">
            <v>0</v>
          </cell>
        </row>
        <row r="1286">
          <cell r="Q1286">
            <v>0</v>
          </cell>
          <cell r="R1286">
            <v>0</v>
          </cell>
        </row>
        <row r="1287">
          <cell r="Q1287">
            <v>0</v>
          </cell>
          <cell r="R1287">
            <v>0</v>
          </cell>
        </row>
        <row r="1288">
          <cell r="Q1288">
            <v>0</v>
          </cell>
          <cell r="R1288">
            <v>0</v>
          </cell>
        </row>
        <row r="1289">
          <cell r="Q1289">
            <v>0</v>
          </cell>
          <cell r="R1289">
            <v>0</v>
          </cell>
        </row>
        <row r="1290">
          <cell r="Q1290">
            <v>0</v>
          </cell>
          <cell r="R1290">
            <v>0</v>
          </cell>
        </row>
        <row r="1291">
          <cell r="Q1291">
            <v>0</v>
          </cell>
          <cell r="R1291">
            <v>0</v>
          </cell>
        </row>
        <row r="1292">
          <cell r="Q1292">
            <v>0</v>
          </cell>
          <cell r="R1292">
            <v>0</v>
          </cell>
        </row>
        <row r="1293">
          <cell r="Q1293">
            <v>0</v>
          </cell>
          <cell r="R1293">
            <v>0</v>
          </cell>
        </row>
        <row r="1294">
          <cell r="Q1294">
            <v>0</v>
          </cell>
          <cell r="R1294">
            <v>0</v>
          </cell>
        </row>
        <row r="1295">
          <cell r="Q1295">
            <v>0</v>
          </cell>
          <cell r="R1295">
            <v>0</v>
          </cell>
        </row>
        <row r="1296">
          <cell r="Q1296">
            <v>0</v>
          </cell>
          <cell r="R1296">
            <v>0</v>
          </cell>
        </row>
        <row r="1297">
          <cell r="Q1297">
            <v>0</v>
          </cell>
          <cell r="R1297">
            <v>0</v>
          </cell>
        </row>
        <row r="1298">
          <cell r="Q1298">
            <v>0</v>
          </cell>
          <cell r="R1298">
            <v>0</v>
          </cell>
        </row>
        <row r="1299">
          <cell r="Q1299">
            <v>0</v>
          </cell>
          <cell r="R1299">
            <v>0</v>
          </cell>
        </row>
        <row r="1300">
          <cell r="Q1300">
            <v>0</v>
          </cell>
          <cell r="R1300">
            <v>0</v>
          </cell>
        </row>
        <row r="1301">
          <cell r="Q1301">
            <v>0</v>
          </cell>
          <cell r="R1301">
            <v>0</v>
          </cell>
        </row>
        <row r="1302">
          <cell r="Q1302">
            <v>0</v>
          </cell>
          <cell r="R1302">
            <v>0</v>
          </cell>
        </row>
        <row r="1303">
          <cell r="Q1303">
            <v>0</v>
          </cell>
          <cell r="R1303">
            <v>0</v>
          </cell>
        </row>
        <row r="1304">
          <cell r="Q1304">
            <v>0</v>
          </cell>
          <cell r="R1304">
            <v>0</v>
          </cell>
        </row>
        <row r="1305">
          <cell r="Q1305">
            <v>0</v>
          </cell>
          <cell r="R1305">
            <v>0</v>
          </cell>
        </row>
        <row r="1306">
          <cell r="Q1306">
            <v>0</v>
          </cell>
          <cell r="R1306">
            <v>0</v>
          </cell>
        </row>
        <row r="1307">
          <cell r="Q1307">
            <v>0</v>
          </cell>
          <cell r="R1307">
            <v>0</v>
          </cell>
        </row>
        <row r="1308">
          <cell r="Q1308">
            <v>0</v>
          </cell>
          <cell r="R1308">
            <v>0</v>
          </cell>
        </row>
        <row r="1309">
          <cell r="Q1309">
            <v>0</v>
          </cell>
          <cell r="R1309">
            <v>0</v>
          </cell>
        </row>
        <row r="1310">
          <cell r="Q1310">
            <v>0</v>
          </cell>
          <cell r="R1310">
            <v>0</v>
          </cell>
        </row>
        <row r="1311">
          <cell r="Q1311">
            <v>0</v>
          </cell>
          <cell r="R1311">
            <v>0</v>
          </cell>
        </row>
        <row r="1312">
          <cell r="Q1312">
            <v>0</v>
          </cell>
          <cell r="R1312">
            <v>0</v>
          </cell>
        </row>
        <row r="1313">
          <cell r="Q1313">
            <v>0.79716715387167669</v>
          </cell>
          <cell r="R1313">
            <v>0</v>
          </cell>
        </row>
        <row r="1314">
          <cell r="Q1314">
            <v>0</v>
          </cell>
          <cell r="R1314">
            <v>0</v>
          </cell>
        </row>
        <row r="1315">
          <cell r="Q1315">
            <v>0</v>
          </cell>
          <cell r="R1315">
            <v>0</v>
          </cell>
        </row>
        <row r="1316">
          <cell r="Q1316">
            <v>0</v>
          </cell>
          <cell r="R1316">
            <v>0</v>
          </cell>
        </row>
        <row r="1317">
          <cell r="Q1317">
            <v>0</v>
          </cell>
          <cell r="R1317">
            <v>0</v>
          </cell>
        </row>
        <row r="1318">
          <cell r="Q1318">
            <v>0</v>
          </cell>
          <cell r="R1318">
            <v>0</v>
          </cell>
        </row>
        <row r="1319">
          <cell r="Q1319">
            <v>0</v>
          </cell>
          <cell r="R1319">
            <v>0</v>
          </cell>
        </row>
        <row r="1320">
          <cell r="Q1320">
            <v>0</v>
          </cell>
          <cell r="R1320">
            <v>0</v>
          </cell>
        </row>
        <row r="1321">
          <cell r="Q1321">
            <v>0</v>
          </cell>
          <cell r="R1321">
            <v>0</v>
          </cell>
        </row>
        <row r="1322">
          <cell r="Q1322">
            <v>0</v>
          </cell>
          <cell r="R1322">
            <v>0</v>
          </cell>
        </row>
        <row r="1323">
          <cell r="Q1323">
            <v>0</v>
          </cell>
          <cell r="R1323">
            <v>0</v>
          </cell>
        </row>
        <row r="1324">
          <cell r="Q1324">
            <v>0</v>
          </cell>
          <cell r="R1324">
            <v>0</v>
          </cell>
        </row>
        <row r="1325">
          <cell r="Q1325">
            <v>0</v>
          </cell>
          <cell r="R1325">
            <v>0</v>
          </cell>
        </row>
        <row r="1326">
          <cell r="Q1326">
            <v>0</v>
          </cell>
          <cell r="R1326">
            <v>0</v>
          </cell>
        </row>
        <row r="1327">
          <cell r="Q1327">
            <v>5.2743794622645925</v>
          </cell>
          <cell r="R1327">
            <v>0</v>
          </cell>
        </row>
        <row r="1328">
          <cell r="Q1328">
            <v>0</v>
          </cell>
          <cell r="R1328">
            <v>0</v>
          </cell>
        </row>
        <row r="1329">
          <cell r="Q1329">
            <v>0</v>
          </cell>
          <cell r="R1329">
            <v>0</v>
          </cell>
        </row>
        <row r="1330">
          <cell r="Q1330">
            <v>0</v>
          </cell>
          <cell r="R1330">
            <v>0</v>
          </cell>
        </row>
        <row r="1331">
          <cell r="Q1331">
            <v>0</v>
          </cell>
          <cell r="R1331">
            <v>0</v>
          </cell>
        </row>
        <row r="1332">
          <cell r="Q1332">
            <v>0</v>
          </cell>
          <cell r="R1332">
            <v>0</v>
          </cell>
        </row>
        <row r="1333">
          <cell r="Q1333">
            <v>10.673380159167277</v>
          </cell>
          <cell r="R1333">
            <v>0</v>
          </cell>
        </row>
        <row r="1334">
          <cell r="Q1334">
            <v>0</v>
          </cell>
          <cell r="R1334">
            <v>0</v>
          </cell>
        </row>
        <row r="1335">
          <cell r="Q1335">
            <v>0</v>
          </cell>
          <cell r="R1335">
            <v>0</v>
          </cell>
        </row>
        <row r="1336">
          <cell r="Q1336">
            <v>0</v>
          </cell>
          <cell r="R1336">
            <v>0</v>
          </cell>
        </row>
        <row r="1337">
          <cell r="Q1337">
            <v>0</v>
          </cell>
          <cell r="R1337">
            <v>0</v>
          </cell>
        </row>
        <row r="1338">
          <cell r="Q1338">
            <v>0</v>
          </cell>
          <cell r="R1338">
            <v>0</v>
          </cell>
        </row>
        <row r="1339">
          <cell r="Q1339">
            <v>0</v>
          </cell>
          <cell r="R1339">
            <v>0</v>
          </cell>
        </row>
        <row r="1340">
          <cell r="Q1340">
            <v>0</v>
          </cell>
          <cell r="R1340">
            <v>0</v>
          </cell>
        </row>
        <row r="1341">
          <cell r="Q1341">
            <v>0</v>
          </cell>
          <cell r="R1341">
            <v>0</v>
          </cell>
        </row>
        <row r="1342">
          <cell r="Q1342">
            <v>0</v>
          </cell>
          <cell r="R1342">
            <v>0</v>
          </cell>
        </row>
        <row r="1343">
          <cell r="Q1343">
            <v>0</v>
          </cell>
          <cell r="R1343">
            <v>0</v>
          </cell>
        </row>
        <row r="1344">
          <cell r="Q1344">
            <v>0</v>
          </cell>
          <cell r="R1344">
            <v>0</v>
          </cell>
        </row>
        <row r="1345">
          <cell r="Q1345">
            <v>0</v>
          </cell>
          <cell r="R1345">
            <v>0</v>
          </cell>
        </row>
        <row r="1346">
          <cell r="Q1346">
            <v>0</v>
          </cell>
          <cell r="R1346">
            <v>0</v>
          </cell>
        </row>
        <row r="1347">
          <cell r="Q1347">
            <v>0</v>
          </cell>
          <cell r="R1347">
            <v>0</v>
          </cell>
        </row>
        <row r="1348">
          <cell r="Q1348">
            <v>0</v>
          </cell>
          <cell r="R1348">
            <v>0</v>
          </cell>
        </row>
        <row r="1349">
          <cell r="Q1349">
            <v>0</v>
          </cell>
          <cell r="R1349">
            <v>0</v>
          </cell>
        </row>
        <row r="1350">
          <cell r="Q1350">
            <v>0</v>
          </cell>
          <cell r="R1350">
            <v>0</v>
          </cell>
        </row>
        <row r="1351">
          <cell r="Q1351">
            <v>0</v>
          </cell>
          <cell r="R1351">
            <v>0</v>
          </cell>
        </row>
        <row r="1352">
          <cell r="Q1352">
            <v>0</v>
          </cell>
          <cell r="R1352">
            <v>0</v>
          </cell>
        </row>
        <row r="1353">
          <cell r="Q1353">
            <v>0</v>
          </cell>
          <cell r="R1353">
            <v>0</v>
          </cell>
        </row>
        <row r="1354">
          <cell r="Q1354">
            <v>0</v>
          </cell>
          <cell r="R1354">
            <v>0</v>
          </cell>
        </row>
        <row r="1355">
          <cell r="Q1355">
            <v>0</v>
          </cell>
          <cell r="R1355">
            <v>0</v>
          </cell>
        </row>
        <row r="1356">
          <cell r="Q1356">
            <v>0</v>
          </cell>
          <cell r="R1356">
            <v>0</v>
          </cell>
        </row>
        <row r="1357">
          <cell r="Q1357">
            <v>0</v>
          </cell>
          <cell r="R1357">
            <v>0</v>
          </cell>
        </row>
        <row r="1358">
          <cell r="Q1358">
            <v>0</v>
          </cell>
          <cell r="R1358">
            <v>0</v>
          </cell>
        </row>
        <row r="1359">
          <cell r="Q1359">
            <v>0</v>
          </cell>
          <cell r="R1359">
            <v>0</v>
          </cell>
        </row>
        <row r="1360">
          <cell r="Q1360">
            <v>0</v>
          </cell>
          <cell r="R1360">
            <v>0</v>
          </cell>
        </row>
        <row r="1361">
          <cell r="Q1361">
            <v>0</v>
          </cell>
          <cell r="R1361">
            <v>0</v>
          </cell>
        </row>
        <row r="1362">
          <cell r="Q1362">
            <v>0</v>
          </cell>
          <cell r="R1362">
            <v>0</v>
          </cell>
        </row>
        <row r="1363">
          <cell r="Q1363">
            <v>0</v>
          </cell>
          <cell r="R1363">
            <v>0</v>
          </cell>
        </row>
        <row r="1364">
          <cell r="Q1364">
            <v>0</v>
          </cell>
          <cell r="R1364">
            <v>0</v>
          </cell>
        </row>
        <row r="1365">
          <cell r="Q1365">
            <v>0</v>
          </cell>
          <cell r="R1365">
            <v>0</v>
          </cell>
        </row>
        <row r="1366">
          <cell r="Q1366">
            <v>0</v>
          </cell>
          <cell r="R1366">
            <v>0</v>
          </cell>
        </row>
        <row r="1367">
          <cell r="Q1367">
            <v>0</v>
          </cell>
          <cell r="R1367">
            <v>0</v>
          </cell>
        </row>
        <row r="1368">
          <cell r="Q1368">
            <v>0</v>
          </cell>
          <cell r="R1368">
            <v>0</v>
          </cell>
        </row>
        <row r="1369">
          <cell r="Q1369">
            <v>0</v>
          </cell>
          <cell r="R1369">
            <v>0</v>
          </cell>
        </row>
        <row r="1370">
          <cell r="Q1370">
            <v>0</v>
          </cell>
          <cell r="R1370">
            <v>0</v>
          </cell>
        </row>
        <row r="1371">
          <cell r="Q1371">
            <v>0</v>
          </cell>
          <cell r="R1371">
            <v>0</v>
          </cell>
        </row>
        <row r="1372">
          <cell r="Q1372">
            <v>0</v>
          </cell>
          <cell r="R1372">
            <v>0</v>
          </cell>
        </row>
        <row r="1373">
          <cell r="Q1373">
            <v>0</v>
          </cell>
          <cell r="R1373">
            <v>0</v>
          </cell>
        </row>
        <row r="1374">
          <cell r="Q1374">
            <v>0</v>
          </cell>
          <cell r="R1374">
            <v>0</v>
          </cell>
        </row>
        <row r="1375">
          <cell r="Q1375">
            <v>1.464877677626709</v>
          </cell>
          <cell r="R1375">
            <v>0</v>
          </cell>
        </row>
        <row r="1376">
          <cell r="Q1376">
            <v>1.464877677626709</v>
          </cell>
          <cell r="R1376">
            <v>0</v>
          </cell>
        </row>
        <row r="1377">
          <cell r="Q1377">
            <v>0</v>
          </cell>
          <cell r="R1377">
            <v>0</v>
          </cell>
        </row>
        <row r="1378">
          <cell r="Q1378">
            <v>0</v>
          </cell>
          <cell r="R1378">
            <v>0</v>
          </cell>
        </row>
        <row r="1379">
          <cell r="Q1379">
            <v>0</v>
          </cell>
          <cell r="R1379">
            <v>0</v>
          </cell>
        </row>
        <row r="1380">
          <cell r="Q1380">
            <v>0</v>
          </cell>
          <cell r="R1380">
            <v>0</v>
          </cell>
        </row>
        <row r="1381">
          <cell r="Q1381">
            <v>0</v>
          </cell>
          <cell r="R1381">
            <v>0</v>
          </cell>
        </row>
        <row r="1382">
          <cell r="Q1382">
            <v>0</v>
          </cell>
          <cell r="R1382">
            <v>0</v>
          </cell>
        </row>
        <row r="1383">
          <cell r="Q1383">
            <v>0</v>
          </cell>
          <cell r="R1383">
            <v>0</v>
          </cell>
        </row>
        <row r="1384">
          <cell r="Q1384">
            <v>0</v>
          </cell>
          <cell r="R1384">
            <v>0</v>
          </cell>
        </row>
        <row r="1385">
          <cell r="Q1385">
            <v>0</v>
          </cell>
          <cell r="R1385">
            <v>0</v>
          </cell>
        </row>
        <row r="1386">
          <cell r="Q1386">
            <v>0</v>
          </cell>
          <cell r="R1386">
            <v>0</v>
          </cell>
        </row>
        <row r="1387">
          <cell r="Q1387">
            <v>0</v>
          </cell>
          <cell r="R1387">
            <v>0</v>
          </cell>
        </row>
        <row r="1388">
          <cell r="Q1388">
            <v>0</v>
          </cell>
          <cell r="R1388">
            <v>0</v>
          </cell>
        </row>
        <row r="1389">
          <cell r="Q1389">
            <v>0</v>
          </cell>
          <cell r="R1389">
            <v>0</v>
          </cell>
        </row>
        <row r="1390">
          <cell r="Q1390">
            <v>0</v>
          </cell>
          <cell r="R1390">
            <v>0</v>
          </cell>
        </row>
        <row r="1391">
          <cell r="Q1391">
            <v>0</v>
          </cell>
          <cell r="R1391">
            <v>0</v>
          </cell>
        </row>
        <row r="1392">
          <cell r="Q1392">
            <v>0</v>
          </cell>
          <cell r="R1392">
            <v>0</v>
          </cell>
        </row>
        <row r="1393">
          <cell r="Q1393">
            <v>0</v>
          </cell>
          <cell r="R1393">
            <v>0</v>
          </cell>
        </row>
        <row r="1394">
          <cell r="Q1394">
            <v>0</v>
          </cell>
          <cell r="R1394">
            <v>0</v>
          </cell>
        </row>
        <row r="1395">
          <cell r="Q1395">
            <v>0</v>
          </cell>
          <cell r="R1395">
            <v>0</v>
          </cell>
        </row>
        <row r="1396">
          <cell r="Q1396">
            <v>0</v>
          </cell>
          <cell r="R1396">
            <v>0</v>
          </cell>
        </row>
        <row r="1397">
          <cell r="Q1397">
            <v>0</v>
          </cell>
          <cell r="R1397">
            <v>0</v>
          </cell>
        </row>
        <row r="1398">
          <cell r="Q1398">
            <v>0</v>
          </cell>
          <cell r="R1398">
            <v>0</v>
          </cell>
        </row>
        <row r="1399">
          <cell r="Q1399">
            <v>0</v>
          </cell>
          <cell r="R1399">
            <v>0</v>
          </cell>
        </row>
        <row r="1400">
          <cell r="Q1400">
            <v>5.8722487772688075</v>
          </cell>
          <cell r="R1400">
            <v>5.8722487772688075</v>
          </cell>
        </row>
        <row r="1401">
          <cell r="Q1401">
            <v>0</v>
          </cell>
          <cell r="R1401">
            <v>0</v>
          </cell>
        </row>
        <row r="1402">
          <cell r="Q1402">
            <v>0</v>
          </cell>
          <cell r="R1402">
            <v>0</v>
          </cell>
        </row>
        <row r="1403">
          <cell r="Q1403">
            <v>0</v>
          </cell>
          <cell r="R1403">
            <v>0</v>
          </cell>
        </row>
        <row r="1404">
          <cell r="Q1404">
            <v>0</v>
          </cell>
          <cell r="R1404">
            <v>0</v>
          </cell>
        </row>
        <row r="1405">
          <cell r="Q1405">
            <v>0</v>
          </cell>
          <cell r="R1405">
            <v>0</v>
          </cell>
        </row>
        <row r="1406">
          <cell r="Q1406">
            <v>0</v>
          </cell>
          <cell r="R1406">
            <v>0</v>
          </cell>
        </row>
        <row r="1407">
          <cell r="Q1407">
            <v>0</v>
          </cell>
          <cell r="R1407">
            <v>0</v>
          </cell>
        </row>
        <row r="1408">
          <cell r="Q1408">
            <v>0</v>
          </cell>
          <cell r="R1408">
            <v>0</v>
          </cell>
        </row>
        <row r="1409">
          <cell r="Q1409">
            <v>0</v>
          </cell>
          <cell r="R1409">
            <v>0</v>
          </cell>
        </row>
        <row r="1410">
          <cell r="Q1410">
            <v>0</v>
          </cell>
          <cell r="R1410">
            <v>0</v>
          </cell>
        </row>
        <row r="1411">
          <cell r="Q1411">
            <v>0</v>
          </cell>
          <cell r="R1411">
            <v>0</v>
          </cell>
        </row>
        <row r="1412">
          <cell r="Q1412">
            <v>0</v>
          </cell>
          <cell r="R1412">
            <v>0</v>
          </cell>
        </row>
        <row r="1413">
          <cell r="Q1413">
            <v>3.4902302927801592</v>
          </cell>
          <cell r="R1413">
            <v>0</v>
          </cell>
        </row>
        <row r="1414">
          <cell r="Q1414">
            <v>0</v>
          </cell>
          <cell r="R1414">
            <v>0</v>
          </cell>
        </row>
        <row r="1415">
          <cell r="Q1415">
            <v>1.5922583452464227</v>
          </cell>
          <cell r="R1415">
            <v>0</v>
          </cell>
        </row>
        <row r="1416">
          <cell r="Q1416">
            <v>0</v>
          </cell>
          <cell r="R1416">
            <v>0</v>
          </cell>
        </row>
        <row r="1417">
          <cell r="Q1417">
            <v>0</v>
          </cell>
          <cell r="R1417">
            <v>0</v>
          </cell>
        </row>
        <row r="1418">
          <cell r="Q1418">
            <v>0</v>
          </cell>
          <cell r="R1418">
            <v>0</v>
          </cell>
        </row>
        <row r="1419">
          <cell r="Q1419">
            <v>0</v>
          </cell>
          <cell r="R1419">
            <v>0</v>
          </cell>
        </row>
        <row r="1420">
          <cell r="Q1420">
            <v>0</v>
          </cell>
          <cell r="R1420">
            <v>0</v>
          </cell>
        </row>
        <row r="1421">
          <cell r="Q1421">
            <v>0</v>
          </cell>
          <cell r="R1421">
            <v>0</v>
          </cell>
        </row>
        <row r="1422">
          <cell r="Q1422">
            <v>0</v>
          </cell>
          <cell r="R1422">
            <v>0</v>
          </cell>
        </row>
        <row r="1423">
          <cell r="Q1423">
            <v>0</v>
          </cell>
          <cell r="R1423">
            <v>0</v>
          </cell>
        </row>
        <row r="1424">
          <cell r="Q1424">
            <v>0</v>
          </cell>
          <cell r="R1424">
            <v>0</v>
          </cell>
        </row>
        <row r="1425">
          <cell r="Q1425">
            <v>0</v>
          </cell>
          <cell r="R1425">
            <v>0</v>
          </cell>
        </row>
        <row r="1426">
          <cell r="Q1426">
            <v>0</v>
          </cell>
          <cell r="R1426">
            <v>0</v>
          </cell>
        </row>
        <row r="1427">
          <cell r="Q1427">
            <v>0</v>
          </cell>
          <cell r="R1427">
            <v>0</v>
          </cell>
        </row>
        <row r="1428">
          <cell r="Q1428">
            <v>0</v>
          </cell>
          <cell r="R1428">
            <v>0</v>
          </cell>
        </row>
        <row r="1429">
          <cell r="Q1429">
            <v>1.503091877912623</v>
          </cell>
          <cell r="R1429">
            <v>0</v>
          </cell>
        </row>
        <row r="1430">
          <cell r="Q1430">
            <v>0</v>
          </cell>
          <cell r="R1430">
            <v>0</v>
          </cell>
        </row>
        <row r="1431">
          <cell r="Q1431">
            <v>0</v>
          </cell>
          <cell r="R1431">
            <v>0</v>
          </cell>
        </row>
        <row r="1432">
          <cell r="Q1432">
            <v>0</v>
          </cell>
          <cell r="R1432">
            <v>0</v>
          </cell>
        </row>
        <row r="1433">
          <cell r="Q1433">
            <v>0</v>
          </cell>
          <cell r="R1433">
            <v>0</v>
          </cell>
        </row>
        <row r="1434">
          <cell r="Q1434">
            <v>0</v>
          </cell>
          <cell r="R1434">
            <v>0</v>
          </cell>
        </row>
        <row r="1435">
          <cell r="Q1435">
            <v>0</v>
          </cell>
          <cell r="R1435">
            <v>0</v>
          </cell>
        </row>
        <row r="1436">
          <cell r="Q1436">
            <v>0</v>
          </cell>
          <cell r="R1436">
            <v>0</v>
          </cell>
        </row>
        <row r="1437">
          <cell r="Q1437">
            <v>3.5440075997950364</v>
          </cell>
          <cell r="R1437">
            <v>0</v>
          </cell>
        </row>
        <row r="1438">
          <cell r="Q1438">
            <v>0</v>
          </cell>
          <cell r="R1438">
            <v>0</v>
          </cell>
        </row>
        <row r="1439">
          <cell r="Q1439">
            <v>0</v>
          </cell>
          <cell r="R1439">
            <v>0</v>
          </cell>
        </row>
        <row r="1440">
          <cell r="Q1440">
            <v>0</v>
          </cell>
          <cell r="R1440">
            <v>0</v>
          </cell>
        </row>
        <row r="1441">
          <cell r="Q1441">
            <v>5.3583867867924369</v>
          </cell>
          <cell r="R1441">
            <v>0</v>
          </cell>
        </row>
        <row r="1442">
          <cell r="Q1442">
            <v>1.1591640753393959</v>
          </cell>
          <cell r="R1442">
            <v>0</v>
          </cell>
        </row>
        <row r="1443">
          <cell r="Q1443">
            <v>1.3120208764830525</v>
          </cell>
          <cell r="R1443">
            <v>0</v>
          </cell>
        </row>
        <row r="1444">
          <cell r="Q1444">
            <v>1.1209498750534816</v>
          </cell>
          <cell r="R1444">
            <v>0</v>
          </cell>
        </row>
        <row r="1445">
          <cell r="Q1445">
            <v>1.0699976080055962</v>
          </cell>
          <cell r="R1445">
            <v>0</v>
          </cell>
        </row>
        <row r="1446">
          <cell r="Q1446">
            <v>0</v>
          </cell>
          <cell r="R1446">
            <v>0</v>
          </cell>
        </row>
        <row r="1447">
          <cell r="Q1447">
            <v>0</v>
          </cell>
          <cell r="R1447">
            <v>0</v>
          </cell>
        </row>
        <row r="1448">
          <cell r="Q1448">
            <v>0</v>
          </cell>
          <cell r="R1448">
            <v>0</v>
          </cell>
        </row>
        <row r="1449">
          <cell r="Q1449">
            <v>0</v>
          </cell>
          <cell r="R1449">
            <v>0</v>
          </cell>
        </row>
        <row r="1450">
          <cell r="Q1450">
            <v>0</v>
          </cell>
          <cell r="R1450">
            <v>0</v>
          </cell>
        </row>
        <row r="1451">
          <cell r="Q1451">
            <v>0</v>
          </cell>
          <cell r="R1451">
            <v>0</v>
          </cell>
        </row>
        <row r="1452">
          <cell r="Q1452">
            <v>0</v>
          </cell>
          <cell r="R1452">
            <v>0</v>
          </cell>
        </row>
        <row r="1453">
          <cell r="Q1453">
            <v>0</v>
          </cell>
          <cell r="R1453">
            <v>0</v>
          </cell>
        </row>
        <row r="1454">
          <cell r="Q1454">
            <v>0</v>
          </cell>
          <cell r="R1454">
            <v>0</v>
          </cell>
        </row>
        <row r="1455">
          <cell r="Q1455">
            <v>0</v>
          </cell>
          <cell r="R1455">
            <v>0</v>
          </cell>
        </row>
        <row r="1456">
          <cell r="Q1456">
            <v>0</v>
          </cell>
          <cell r="R1456">
            <v>0</v>
          </cell>
        </row>
        <row r="1457">
          <cell r="Q1457">
            <v>0</v>
          </cell>
          <cell r="R1457">
            <v>0</v>
          </cell>
        </row>
        <row r="1458">
          <cell r="Q1458">
            <v>0</v>
          </cell>
          <cell r="R1458">
            <v>0</v>
          </cell>
        </row>
        <row r="1459">
          <cell r="Q1459">
            <v>5.931333336350094</v>
          </cell>
          <cell r="R1459">
            <v>0</v>
          </cell>
        </row>
        <row r="1460">
          <cell r="Q1460">
            <v>0</v>
          </cell>
          <cell r="R1460">
            <v>0</v>
          </cell>
        </row>
        <row r="1461">
          <cell r="Q1461">
            <v>0</v>
          </cell>
          <cell r="R1461">
            <v>0</v>
          </cell>
        </row>
        <row r="1462">
          <cell r="Q1462">
            <v>0</v>
          </cell>
          <cell r="R1462">
            <v>0</v>
          </cell>
        </row>
        <row r="1463">
          <cell r="Q1463">
            <v>0</v>
          </cell>
          <cell r="R1463">
            <v>0</v>
          </cell>
        </row>
        <row r="1464">
          <cell r="Q1464">
            <v>0</v>
          </cell>
          <cell r="R1464">
            <v>0</v>
          </cell>
        </row>
        <row r="1465">
          <cell r="Q1465">
            <v>0</v>
          </cell>
          <cell r="R1465">
            <v>0</v>
          </cell>
        </row>
        <row r="1466">
          <cell r="Q1466">
            <v>0</v>
          </cell>
          <cell r="R1466">
            <v>0</v>
          </cell>
        </row>
        <row r="1467">
          <cell r="Q1467">
            <v>0</v>
          </cell>
          <cell r="R1467">
            <v>0</v>
          </cell>
        </row>
        <row r="1468">
          <cell r="Q1468">
            <v>0</v>
          </cell>
          <cell r="R1468">
            <v>0</v>
          </cell>
        </row>
        <row r="1469">
          <cell r="Q1469">
            <v>0</v>
          </cell>
          <cell r="R1469">
            <v>0</v>
          </cell>
        </row>
        <row r="1470">
          <cell r="Q1470">
            <v>0</v>
          </cell>
          <cell r="R1470">
            <v>0</v>
          </cell>
        </row>
        <row r="1471">
          <cell r="Q1471">
            <v>0</v>
          </cell>
          <cell r="R1471">
            <v>0</v>
          </cell>
        </row>
        <row r="1472">
          <cell r="Q1472">
            <v>0</v>
          </cell>
          <cell r="R1472">
            <v>0</v>
          </cell>
        </row>
        <row r="1473">
          <cell r="Q1473">
            <v>0</v>
          </cell>
          <cell r="R1473">
            <v>0</v>
          </cell>
        </row>
        <row r="1474">
          <cell r="Q1474">
            <v>1.8597577472478219</v>
          </cell>
          <cell r="R1474">
            <v>0</v>
          </cell>
        </row>
        <row r="1475">
          <cell r="Q1475">
            <v>0</v>
          </cell>
          <cell r="R1475">
            <v>0</v>
          </cell>
        </row>
        <row r="1476">
          <cell r="Q1476">
            <v>0</v>
          </cell>
          <cell r="R1476">
            <v>0</v>
          </cell>
        </row>
        <row r="1477">
          <cell r="Q1477">
            <v>0</v>
          </cell>
          <cell r="R1477">
            <v>0</v>
          </cell>
        </row>
        <row r="1478">
          <cell r="Q1478">
            <v>0</v>
          </cell>
          <cell r="R1478">
            <v>0</v>
          </cell>
        </row>
        <row r="1479">
          <cell r="Q1479">
            <v>0</v>
          </cell>
          <cell r="R1479">
            <v>0</v>
          </cell>
        </row>
        <row r="1480">
          <cell r="Q1480">
            <v>0</v>
          </cell>
          <cell r="R1480">
            <v>0</v>
          </cell>
        </row>
        <row r="1481">
          <cell r="Q1481">
            <v>0</v>
          </cell>
          <cell r="R1481">
            <v>0</v>
          </cell>
        </row>
        <row r="1482">
          <cell r="Q1482">
            <v>0</v>
          </cell>
          <cell r="R1482">
            <v>0</v>
          </cell>
        </row>
        <row r="1483">
          <cell r="Q1483">
            <v>0</v>
          </cell>
          <cell r="R1483">
            <v>0</v>
          </cell>
        </row>
        <row r="1484">
          <cell r="Q1484">
            <v>0</v>
          </cell>
          <cell r="R1484">
            <v>0</v>
          </cell>
        </row>
        <row r="1485">
          <cell r="Q1485">
            <v>0</v>
          </cell>
          <cell r="R1485">
            <v>0</v>
          </cell>
        </row>
        <row r="1486">
          <cell r="Q1486">
            <v>0</v>
          </cell>
          <cell r="R1486">
            <v>0</v>
          </cell>
        </row>
        <row r="1487">
          <cell r="Q1487">
            <v>0</v>
          </cell>
          <cell r="R1487">
            <v>0</v>
          </cell>
        </row>
        <row r="1488">
          <cell r="Q1488">
            <v>0</v>
          </cell>
          <cell r="R1488">
            <v>0</v>
          </cell>
        </row>
        <row r="1489">
          <cell r="Q1489">
            <v>0</v>
          </cell>
          <cell r="R1489">
            <v>0</v>
          </cell>
        </row>
        <row r="1490">
          <cell r="Q1490">
            <v>0</v>
          </cell>
          <cell r="R1490">
            <v>0</v>
          </cell>
        </row>
        <row r="1491">
          <cell r="Q1491">
            <v>0</v>
          </cell>
          <cell r="R1491">
            <v>0</v>
          </cell>
        </row>
        <row r="1492">
          <cell r="Q1492">
            <v>0</v>
          </cell>
          <cell r="R1492">
            <v>0</v>
          </cell>
        </row>
        <row r="1493">
          <cell r="Q1493">
            <v>0</v>
          </cell>
          <cell r="R1493">
            <v>0</v>
          </cell>
        </row>
        <row r="1494">
          <cell r="Q1494">
            <v>0</v>
          </cell>
          <cell r="R1494">
            <v>0</v>
          </cell>
        </row>
        <row r="1495">
          <cell r="Q1495">
            <v>0</v>
          </cell>
          <cell r="R1495">
            <v>0</v>
          </cell>
        </row>
        <row r="1496">
          <cell r="Q1496">
            <v>0</v>
          </cell>
          <cell r="R1496">
            <v>0</v>
          </cell>
        </row>
        <row r="1497">
          <cell r="Q1497">
            <v>4.3054665655463271</v>
          </cell>
          <cell r="R1497">
            <v>4.3054665655463271</v>
          </cell>
        </row>
        <row r="1498">
          <cell r="Q1498">
            <v>1.3757112102929094</v>
          </cell>
          <cell r="R1498">
            <v>1.3757112102929094</v>
          </cell>
        </row>
        <row r="1499">
          <cell r="Q1499">
            <v>1.362973143530938</v>
          </cell>
          <cell r="R1499">
            <v>1.362973143530938</v>
          </cell>
        </row>
        <row r="1500">
          <cell r="Q1500">
            <v>2.6539972172827744</v>
          </cell>
          <cell r="R1500">
            <v>0</v>
          </cell>
        </row>
        <row r="1501">
          <cell r="Q1501">
            <v>1.362973143530938</v>
          </cell>
          <cell r="R1501">
            <v>0</v>
          </cell>
        </row>
        <row r="1502">
          <cell r="Q1502">
            <v>1.3757112102929094</v>
          </cell>
          <cell r="R1502">
            <v>0</v>
          </cell>
        </row>
        <row r="1503">
          <cell r="Q1503">
            <v>0</v>
          </cell>
          <cell r="R1503">
            <v>0</v>
          </cell>
        </row>
        <row r="1504">
          <cell r="Q1504">
            <v>0</v>
          </cell>
          <cell r="R1504">
            <v>0</v>
          </cell>
        </row>
        <row r="1505">
          <cell r="Q1505">
            <v>0</v>
          </cell>
          <cell r="R1505">
            <v>0</v>
          </cell>
        </row>
        <row r="1506">
          <cell r="Q1506">
            <v>2.9899462321286951</v>
          </cell>
          <cell r="R1506">
            <v>2.9899462321286951</v>
          </cell>
        </row>
        <row r="1507">
          <cell r="Q1507">
            <v>1.9361861478196503</v>
          </cell>
          <cell r="R1507">
            <v>0</v>
          </cell>
        </row>
        <row r="1508">
          <cell r="Q1508">
            <v>1.4139254105788237</v>
          </cell>
          <cell r="R1508">
            <v>0</v>
          </cell>
        </row>
        <row r="1509">
          <cell r="Q1509">
            <v>0</v>
          </cell>
          <cell r="R1509">
            <v>0</v>
          </cell>
        </row>
        <row r="1510">
          <cell r="Q1510">
            <v>3.960254409802058</v>
          </cell>
          <cell r="R1510">
            <v>0</v>
          </cell>
        </row>
        <row r="1511">
          <cell r="Q1511">
            <v>0</v>
          </cell>
          <cell r="R1511">
            <v>0</v>
          </cell>
        </row>
        <row r="1512">
          <cell r="Q1512">
            <v>0</v>
          </cell>
          <cell r="R1512">
            <v>0</v>
          </cell>
        </row>
        <row r="1513">
          <cell r="Q1513">
            <v>4.7976133001418217</v>
          </cell>
          <cell r="R1513">
            <v>0</v>
          </cell>
        </row>
        <row r="1514">
          <cell r="Q1514">
            <v>9.165477058992785</v>
          </cell>
          <cell r="R1514">
            <v>0</v>
          </cell>
        </row>
        <row r="1515">
          <cell r="Q1515">
            <v>5.4072800000000001</v>
          </cell>
          <cell r="R1515">
            <v>0</v>
          </cell>
        </row>
        <row r="1516">
          <cell r="Q1516">
            <v>3.6394476608308088</v>
          </cell>
          <cell r="R1516">
            <v>0</v>
          </cell>
        </row>
        <row r="1517">
          <cell r="Q1517">
            <v>2.4839230185844197</v>
          </cell>
          <cell r="R1517">
            <v>2.4839230185844197</v>
          </cell>
        </row>
        <row r="1518">
          <cell r="Q1518">
            <v>0</v>
          </cell>
          <cell r="R1518">
            <v>0</v>
          </cell>
        </row>
        <row r="1519">
          <cell r="Q1519">
            <v>0</v>
          </cell>
          <cell r="R1519">
            <v>0</v>
          </cell>
        </row>
        <row r="1520">
          <cell r="Q1520">
            <v>5.8228200000000001</v>
          </cell>
          <cell r="R1520">
            <v>0</v>
          </cell>
        </row>
        <row r="1521">
          <cell r="Q1521">
            <v>5.2570707133501928</v>
          </cell>
          <cell r="R1521">
            <v>0</v>
          </cell>
        </row>
        <row r="1522">
          <cell r="Q1522">
            <v>0</v>
          </cell>
          <cell r="R1522">
            <v>0</v>
          </cell>
        </row>
        <row r="1523">
          <cell r="Q1523">
            <v>4.5984421010716687</v>
          </cell>
          <cell r="R1523">
            <v>4.5984421010716687</v>
          </cell>
        </row>
        <row r="1524">
          <cell r="Q1524">
            <v>4.3576877929609621</v>
          </cell>
          <cell r="R1524">
            <v>0</v>
          </cell>
        </row>
        <row r="1525">
          <cell r="Q1525">
            <v>6.1647200000000009</v>
          </cell>
          <cell r="R1525">
            <v>0</v>
          </cell>
        </row>
        <row r="1526">
          <cell r="Q1526">
            <v>4.5984421010716687</v>
          </cell>
          <cell r="R1526">
            <v>4.5984421010716687</v>
          </cell>
        </row>
        <row r="1527">
          <cell r="Q1527">
            <v>0</v>
          </cell>
          <cell r="R1527">
            <v>0</v>
          </cell>
        </row>
        <row r="1528">
          <cell r="Q1528">
            <v>6.63286</v>
          </cell>
          <cell r="R1528">
            <v>0</v>
          </cell>
        </row>
        <row r="1529">
          <cell r="Q1529">
            <v>1.9113894257604973</v>
          </cell>
          <cell r="R1529">
            <v>0</v>
          </cell>
        </row>
        <row r="1530">
          <cell r="Q1530">
            <v>0</v>
          </cell>
          <cell r="R1530">
            <v>0</v>
          </cell>
        </row>
        <row r="1531">
          <cell r="Q1531">
            <v>3.9615387629730998</v>
          </cell>
          <cell r="R1531">
            <v>3.9615387629730998</v>
          </cell>
        </row>
        <row r="1532">
          <cell r="Q1532">
            <v>0</v>
          </cell>
          <cell r="R1532">
            <v>0</v>
          </cell>
        </row>
        <row r="1533">
          <cell r="Q1533">
            <v>0</v>
          </cell>
          <cell r="R1533">
            <v>0</v>
          </cell>
        </row>
        <row r="1534">
          <cell r="Q1534">
            <v>0</v>
          </cell>
          <cell r="R1534">
            <v>0</v>
          </cell>
        </row>
        <row r="1535">
          <cell r="Q1535">
            <v>13.01324</v>
          </cell>
          <cell r="R1535">
            <v>0</v>
          </cell>
        </row>
        <row r="1536">
          <cell r="Q1536">
            <v>6.5473663156532904</v>
          </cell>
          <cell r="R1536">
            <v>6.5473663156532904</v>
          </cell>
        </row>
        <row r="1537">
          <cell r="Q1537">
            <v>12.4925</v>
          </cell>
          <cell r="R1537">
            <v>0</v>
          </cell>
        </row>
        <row r="1538">
          <cell r="Q1538">
            <v>2.6325980079218896</v>
          </cell>
          <cell r="R1538">
            <v>0</v>
          </cell>
        </row>
        <row r="1539">
          <cell r="Q1539">
            <v>0</v>
          </cell>
          <cell r="R1539">
            <v>0</v>
          </cell>
        </row>
        <row r="1540">
          <cell r="Q1540">
            <v>18.173299999999998</v>
          </cell>
          <cell r="R1540">
            <v>0</v>
          </cell>
        </row>
        <row r="1541">
          <cell r="Q1541">
            <v>3.5666586933519868</v>
          </cell>
          <cell r="R1541">
            <v>3.5666586933519868</v>
          </cell>
        </row>
        <row r="1542">
          <cell r="Q1542">
            <v>3.1181973699311381</v>
          </cell>
          <cell r="R1542">
            <v>0</v>
          </cell>
        </row>
        <row r="1543">
          <cell r="Q1543">
            <v>14.049460000000002</v>
          </cell>
          <cell r="R1543">
            <v>0</v>
          </cell>
        </row>
        <row r="1544">
          <cell r="Q1544">
            <v>18.173299999999998</v>
          </cell>
          <cell r="R1544">
            <v>0</v>
          </cell>
        </row>
        <row r="1545">
          <cell r="Q1545">
            <v>3.3118973581125597</v>
          </cell>
          <cell r="R1545">
            <v>3.3118973581125597</v>
          </cell>
        </row>
        <row r="1546">
          <cell r="Q1546">
            <v>2.9110081759157804</v>
          </cell>
          <cell r="R1546">
            <v>0</v>
          </cell>
        </row>
        <row r="1547">
          <cell r="Q1547">
            <v>0</v>
          </cell>
          <cell r="R1547">
            <v>0</v>
          </cell>
        </row>
        <row r="1548">
          <cell r="Q1548">
            <v>18.173299999999998</v>
          </cell>
          <cell r="R1548">
            <v>0</v>
          </cell>
        </row>
        <row r="1549">
          <cell r="Q1549">
            <v>3.3118973581125597</v>
          </cell>
          <cell r="R1549">
            <v>3.3118973581125597</v>
          </cell>
        </row>
        <row r="1550">
          <cell r="Q1550">
            <v>2.9110081759157804</v>
          </cell>
          <cell r="R1550">
            <v>0</v>
          </cell>
        </row>
        <row r="1551">
          <cell r="Q1551">
            <v>17.784060000000004</v>
          </cell>
          <cell r="R1551">
            <v>0</v>
          </cell>
        </row>
        <row r="1552">
          <cell r="Q1552">
            <v>3.5666586933519868</v>
          </cell>
          <cell r="R1552">
            <v>3.5666586933519868</v>
          </cell>
        </row>
        <row r="1553">
          <cell r="Q1553">
            <v>3.1078379102303701</v>
          </cell>
          <cell r="R1553">
            <v>0</v>
          </cell>
        </row>
        <row r="1554">
          <cell r="Q1554">
            <v>14.368964925909307</v>
          </cell>
          <cell r="R1554">
            <v>0</v>
          </cell>
        </row>
        <row r="1555">
          <cell r="Q1555">
            <v>3.8941340013461252</v>
          </cell>
          <cell r="R1555">
            <v>0</v>
          </cell>
        </row>
        <row r="1556">
          <cell r="Q1556">
            <v>3.8802111214703854</v>
          </cell>
          <cell r="R1556">
            <v>3.8802111214703854</v>
          </cell>
        </row>
        <row r="1557">
          <cell r="Q1557">
            <v>2.0253526151534498</v>
          </cell>
          <cell r="R1557">
            <v>2.0253526151534498</v>
          </cell>
        </row>
        <row r="1558">
          <cell r="Q1558">
            <v>2.0822513998543477</v>
          </cell>
          <cell r="R1558">
            <v>0</v>
          </cell>
        </row>
        <row r="1559">
          <cell r="Q1559">
            <v>2.5348752856323054</v>
          </cell>
          <cell r="R1559">
            <v>2.5348752856323054</v>
          </cell>
        </row>
        <row r="1560">
          <cell r="Q1560">
            <v>0</v>
          </cell>
          <cell r="R1560">
            <v>0</v>
          </cell>
        </row>
        <row r="1561">
          <cell r="Q1561">
            <v>0</v>
          </cell>
          <cell r="R1561">
            <v>0</v>
          </cell>
        </row>
        <row r="1562">
          <cell r="Q1562">
            <v>0</v>
          </cell>
          <cell r="R1562">
            <v>0</v>
          </cell>
        </row>
        <row r="1563">
          <cell r="Q1563">
            <v>0</v>
          </cell>
          <cell r="R1563">
            <v>0</v>
          </cell>
        </row>
        <row r="1564">
          <cell r="Q1564">
            <v>10.6252</v>
          </cell>
          <cell r="R1564">
            <v>0</v>
          </cell>
        </row>
        <row r="1565">
          <cell r="Q1565">
            <v>10.677800000000001</v>
          </cell>
          <cell r="R1565">
            <v>0</v>
          </cell>
        </row>
        <row r="1566">
          <cell r="Q1566">
            <v>10.751440000000001</v>
          </cell>
          <cell r="R1566">
            <v>0</v>
          </cell>
        </row>
        <row r="1567">
          <cell r="Q1567">
            <v>0</v>
          </cell>
          <cell r="R1567">
            <v>0</v>
          </cell>
        </row>
        <row r="1568">
          <cell r="Q1568">
            <v>0</v>
          </cell>
          <cell r="R1568">
            <v>0</v>
          </cell>
        </row>
        <row r="1569">
          <cell r="Q1569">
            <v>0.71261912240043812</v>
          </cell>
          <cell r="R1569">
            <v>0</v>
          </cell>
        </row>
        <row r="1570">
          <cell r="Q1570">
            <v>0</v>
          </cell>
          <cell r="R1570">
            <v>0</v>
          </cell>
        </row>
        <row r="1571">
          <cell r="Q1571">
            <v>0</v>
          </cell>
          <cell r="R1571">
            <v>0</v>
          </cell>
        </row>
        <row r="1572">
          <cell r="Q1572">
            <v>0</v>
          </cell>
          <cell r="R1572">
            <v>0</v>
          </cell>
        </row>
        <row r="1573">
          <cell r="Q1573">
            <v>9.7152200000000004</v>
          </cell>
          <cell r="R1573">
            <v>0</v>
          </cell>
        </row>
        <row r="1574">
          <cell r="Q1574">
            <v>9.4522200000000005</v>
          </cell>
          <cell r="R1574">
            <v>0</v>
          </cell>
        </row>
        <row r="1575">
          <cell r="Q1575">
            <v>9.8361999999999998</v>
          </cell>
          <cell r="R1575">
            <v>0</v>
          </cell>
        </row>
        <row r="1576">
          <cell r="Q1576">
            <v>0</v>
          </cell>
          <cell r="R1576">
            <v>0</v>
          </cell>
        </row>
        <row r="1577">
          <cell r="Q1577">
            <v>9.0366800000000005</v>
          </cell>
          <cell r="R1577">
            <v>0</v>
          </cell>
        </row>
        <row r="1578">
          <cell r="Q1578">
            <v>0.28272996137556572</v>
          </cell>
          <cell r="R1578">
            <v>0</v>
          </cell>
        </row>
        <row r="1579">
          <cell r="Q1579">
            <v>8.6474400000000013</v>
          </cell>
          <cell r="R1579">
            <v>0</v>
          </cell>
        </row>
        <row r="1580">
          <cell r="Q1580">
            <v>8.8736200000000007</v>
          </cell>
          <cell r="R1580">
            <v>0</v>
          </cell>
        </row>
        <row r="1581">
          <cell r="Q1581">
            <v>0</v>
          </cell>
          <cell r="R1581">
            <v>0</v>
          </cell>
        </row>
        <row r="1582">
          <cell r="Q1582">
            <v>0</v>
          </cell>
          <cell r="R1582">
            <v>0</v>
          </cell>
        </row>
        <row r="1583">
          <cell r="Q1583">
            <v>0</v>
          </cell>
          <cell r="R1583">
            <v>0</v>
          </cell>
        </row>
        <row r="1584">
          <cell r="Q1584">
            <v>0</v>
          </cell>
          <cell r="R1584">
            <v>0</v>
          </cell>
        </row>
        <row r="1585">
          <cell r="Q1585">
            <v>0</v>
          </cell>
          <cell r="R1585">
            <v>0</v>
          </cell>
        </row>
        <row r="1586">
          <cell r="Q1586">
            <v>0</v>
          </cell>
          <cell r="R1586">
            <v>0</v>
          </cell>
        </row>
        <row r="1587">
          <cell r="Q1587">
            <v>0</v>
          </cell>
          <cell r="R1587">
            <v>0</v>
          </cell>
        </row>
        <row r="1588">
          <cell r="Q1588">
            <v>23.538500000000003</v>
          </cell>
          <cell r="R1588">
            <v>0</v>
          </cell>
        </row>
        <row r="1589">
          <cell r="Q1589">
            <v>0</v>
          </cell>
          <cell r="R1589">
            <v>0</v>
          </cell>
        </row>
        <row r="1590">
          <cell r="Q1590">
            <v>4.7775080584440044</v>
          </cell>
          <cell r="R1590">
            <v>0</v>
          </cell>
        </row>
        <row r="1591">
          <cell r="Q1591">
            <v>9.3841215624565564</v>
          </cell>
          <cell r="R1591">
            <v>0</v>
          </cell>
        </row>
        <row r="1592">
          <cell r="Q1592">
            <v>5.4072800000000001</v>
          </cell>
          <cell r="R1592">
            <v>0</v>
          </cell>
        </row>
        <row r="1593">
          <cell r="Q1593">
            <v>3.6171783132557951</v>
          </cell>
          <cell r="R1593">
            <v>0</v>
          </cell>
        </row>
        <row r="1594">
          <cell r="Q1594">
            <v>2.4839230185844197</v>
          </cell>
          <cell r="R1594">
            <v>2.4839230185844197</v>
          </cell>
        </row>
        <row r="1595">
          <cell r="Q1595">
            <v>0</v>
          </cell>
          <cell r="R1595">
            <v>0</v>
          </cell>
        </row>
        <row r="1596">
          <cell r="Q1596">
            <v>0</v>
          </cell>
          <cell r="R1596">
            <v>0</v>
          </cell>
        </row>
        <row r="1597">
          <cell r="Q1597">
            <v>5.8228200000000001</v>
          </cell>
          <cell r="R1597">
            <v>0</v>
          </cell>
        </row>
        <row r="1598">
          <cell r="Q1598">
            <v>4.3552838639403193</v>
          </cell>
          <cell r="R1598">
            <v>0</v>
          </cell>
        </row>
        <row r="1599">
          <cell r="Q1599">
            <v>0</v>
          </cell>
          <cell r="R1599">
            <v>0</v>
          </cell>
        </row>
        <row r="1600">
          <cell r="Q1600">
            <v>4.5984421010716687</v>
          </cell>
          <cell r="R1600">
            <v>4.5984421010716687</v>
          </cell>
        </row>
        <row r="1601">
          <cell r="Q1601">
            <v>4.3576877929609621</v>
          </cell>
          <cell r="R1601">
            <v>0</v>
          </cell>
        </row>
        <row r="1602">
          <cell r="Q1602">
            <v>6.1647200000000009</v>
          </cell>
          <cell r="R1602">
            <v>0</v>
          </cell>
        </row>
        <row r="1603">
          <cell r="Q1603">
            <v>4.5602279007857547</v>
          </cell>
          <cell r="R1603">
            <v>4.5602279007857547</v>
          </cell>
        </row>
        <row r="1604">
          <cell r="Q1604">
            <v>0.9662632168141535</v>
          </cell>
          <cell r="R1604">
            <v>0</v>
          </cell>
        </row>
        <row r="1605">
          <cell r="Q1605">
            <v>6.4014199999999999</v>
          </cell>
          <cell r="R1605">
            <v>0</v>
          </cell>
        </row>
        <row r="1606">
          <cell r="Q1606">
            <v>2.0835050612555186</v>
          </cell>
          <cell r="R1606">
            <v>0</v>
          </cell>
        </row>
        <row r="1607">
          <cell r="Q1607">
            <v>0</v>
          </cell>
          <cell r="R1607">
            <v>0</v>
          </cell>
        </row>
        <row r="1608">
          <cell r="Q1608">
            <v>3.9615387629730998</v>
          </cell>
          <cell r="R1608">
            <v>3.9615387629730998</v>
          </cell>
        </row>
        <row r="1609">
          <cell r="Q1609">
            <v>0</v>
          </cell>
          <cell r="R1609">
            <v>0</v>
          </cell>
        </row>
        <row r="1610">
          <cell r="Q1610">
            <v>0</v>
          </cell>
          <cell r="R1610">
            <v>0</v>
          </cell>
        </row>
        <row r="1611">
          <cell r="Q1611">
            <v>0</v>
          </cell>
          <cell r="R1611">
            <v>0</v>
          </cell>
        </row>
        <row r="1612">
          <cell r="Q1612">
            <v>0.9662632168141535</v>
          </cell>
          <cell r="R1612">
            <v>0</v>
          </cell>
        </row>
        <row r="1613">
          <cell r="Q1613">
            <v>12.42938</v>
          </cell>
          <cell r="R1613">
            <v>0</v>
          </cell>
        </row>
        <row r="1614">
          <cell r="Q1614">
            <v>6.5473663156532904</v>
          </cell>
          <cell r="R1614">
            <v>6.5473663156532904</v>
          </cell>
        </row>
        <row r="1615">
          <cell r="Q1615">
            <v>12.47672</v>
          </cell>
          <cell r="R1615">
            <v>0</v>
          </cell>
        </row>
        <row r="1616">
          <cell r="Q1616">
            <v>4.6075029915314856</v>
          </cell>
          <cell r="R1616">
            <v>0</v>
          </cell>
        </row>
        <row r="1617">
          <cell r="Q1617">
            <v>0</v>
          </cell>
          <cell r="R1617">
            <v>0</v>
          </cell>
        </row>
        <row r="1618">
          <cell r="Q1618">
            <v>17.089740000000003</v>
          </cell>
          <cell r="R1618">
            <v>0</v>
          </cell>
        </row>
        <row r="1619">
          <cell r="Q1619">
            <v>3.8744379280871954</v>
          </cell>
          <cell r="R1619">
            <v>0</v>
          </cell>
        </row>
        <row r="1620">
          <cell r="Q1620">
            <v>4.4073710996420985</v>
          </cell>
          <cell r="R1620">
            <v>4.4073710996420985</v>
          </cell>
        </row>
        <row r="1621">
          <cell r="Q1621">
            <v>17.089740000000003</v>
          </cell>
          <cell r="R1621">
            <v>0</v>
          </cell>
        </row>
        <row r="1622">
          <cell r="Q1622">
            <v>0</v>
          </cell>
          <cell r="R1622">
            <v>0</v>
          </cell>
        </row>
        <row r="1623">
          <cell r="Q1623">
            <v>4.3818949661181552</v>
          </cell>
          <cell r="R1623">
            <v>4.3818949661181552</v>
          </cell>
        </row>
        <row r="1624">
          <cell r="Q1624">
            <v>3.8640784683864271</v>
          </cell>
          <cell r="R1624">
            <v>0</v>
          </cell>
        </row>
        <row r="1625">
          <cell r="Q1625">
            <v>0</v>
          </cell>
          <cell r="R1625">
            <v>0</v>
          </cell>
        </row>
        <row r="1626">
          <cell r="Q1626">
            <v>17.089740000000003</v>
          </cell>
          <cell r="R1626">
            <v>0</v>
          </cell>
        </row>
        <row r="1627">
          <cell r="Q1627">
            <v>4.3818949661181552</v>
          </cell>
          <cell r="R1627">
            <v>4.3818949661181552</v>
          </cell>
        </row>
        <row r="1628">
          <cell r="Q1628">
            <v>3.7812027907802839</v>
          </cell>
          <cell r="R1628">
            <v>0</v>
          </cell>
        </row>
        <row r="1629">
          <cell r="Q1629">
            <v>17.089740000000003</v>
          </cell>
          <cell r="R1629">
            <v>0</v>
          </cell>
        </row>
        <row r="1630">
          <cell r="Q1630">
            <v>4.4073710996420985</v>
          </cell>
          <cell r="R1630">
            <v>4.4073710996420985</v>
          </cell>
        </row>
        <row r="1631">
          <cell r="Q1631">
            <v>3.8744379280871954</v>
          </cell>
          <cell r="R1631">
            <v>0</v>
          </cell>
        </row>
        <row r="1632">
          <cell r="Q1632">
            <v>4.7372975750483688</v>
          </cell>
          <cell r="R1632">
            <v>0</v>
          </cell>
        </row>
        <row r="1633">
          <cell r="Q1633">
            <v>9.3904044504871234</v>
          </cell>
          <cell r="R1633">
            <v>0</v>
          </cell>
        </row>
        <row r="1634">
          <cell r="Q1634">
            <v>5.4072800000000001</v>
          </cell>
          <cell r="R1634">
            <v>0</v>
          </cell>
        </row>
        <row r="1635">
          <cell r="Q1635">
            <v>3.6299036547272316</v>
          </cell>
          <cell r="R1635">
            <v>0</v>
          </cell>
        </row>
        <row r="1636">
          <cell r="Q1636">
            <v>2.4839230185844197</v>
          </cell>
          <cell r="R1636">
            <v>2.4839230185844197</v>
          </cell>
        </row>
        <row r="1637">
          <cell r="Q1637">
            <v>0</v>
          </cell>
          <cell r="R1637">
            <v>0</v>
          </cell>
        </row>
        <row r="1638">
          <cell r="Q1638">
            <v>0</v>
          </cell>
          <cell r="R1638">
            <v>0</v>
          </cell>
        </row>
        <row r="1639">
          <cell r="Q1639">
            <v>5.8228200000000001</v>
          </cell>
          <cell r="R1639">
            <v>0</v>
          </cell>
        </row>
        <row r="1640">
          <cell r="Q1640">
            <v>0</v>
          </cell>
          <cell r="R1640">
            <v>0</v>
          </cell>
        </row>
        <row r="1641">
          <cell r="Q1641">
            <v>0</v>
          </cell>
          <cell r="R1641">
            <v>0</v>
          </cell>
        </row>
        <row r="1642">
          <cell r="Q1642">
            <v>4.5984421010716687</v>
          </cell>
          <cell r="R1642">
            <v>4.5984421010716687</v>
          </cell>
        </row>
        <row r="1643">
          <cell r="Q1643">
            <v>0</v>
          </cell>
          <cell r="R1643">
            <v>0</v>
          </cell>
        </row>
        <row r="1644">
          <cell r="Q1644">
            <v>6.1647200000000009</v>
          </cell>
          <cell r="R1644">
            <v>0</v>
          </cell>
        </row>
        <row r="1645">
          <cell r="Q1645">
            <v>4.5602279007857547</v>
          </cell>
          <cell r="R1645">
            <v>4.5602279007857547</v>
          </cell>
        </row>
        <row r="1646">
          <cell r="Q1646">
            <v>0.40210483395636021</v>
          </cell>
          <cell r="R1646">
            <v>0</v>
          </cell>
        </row>
        <row r="1647">
          <cell r="Q1647">
            <v>6.4014199999999999</v>
          </cell>
          <cell r="R1647">
            <v>0</v>
          </cell>
        </row>
        <row r="1648">
          <cell r="Q1648">
            <v>0</v>
          </cell>
          <cell r="R1648">
            <v>0</v>
          </cell>
        </row>
        <row r="1649">
          <cell r="Q1649">
            <v>0</v>
          </cell>
          <cell r="R1649">
            <v>0</v>
          </cell>
        </row>
        <row r="1650">
          <cell r="Q1650">
            <v>3.9615387629730998</v>
          </cell>
          <cell r="R1650">
            <v>3.9615387629730998</v>
          </cell>
        </row>
        <row r="1651">
          <cell r="Q1651">
            <v>0</v>
          </cell>
          <cell r="R1651">
            <v>0</v>
          </cell>
        </row>
        <row r="1652">
          <cell r="Q1652">
            <v>0</v>
          </cell>
          <cell r="R1652">
            <v>0</v>
          </cell>
        </row>
        <row r="1653">
          <cell r="Q1653">
            <v>0</v>
          </cell>
          <cell r="R1653">
            <v>0</v>
          </cell>
        </row>
        <row r="1654">
          <cell r="Q1654">
            <v>0</v>
          </cell>
          <cell r="R1654">
            <v>0</v>
          </cell>
        </row>
        <row r="1655">
          <cell r="Q1655">
            <v>0</v>
          </cell>
          <cell r="R1655">
            <v>0</v>
          </cell>
        </row>
        <row r="1656">
          <cell r="Q1656">
            <v>12.42938</v>
          </cell>
          <cell r="R1656">
            <v>0</v>
          </cell>
        </row>
        <row r="1657">
          <cell r="Q1657">
            <v>6.5473663156532904</v>
          </cell>
          <cell r="R1657">
            <v>6.5473663156532904</v>
          </cell>
        </row>
        <row r="1658">
          <cell r="Q1658">
            <v>12.47672</v>
          </cell>
          <cell r="R1658">
            <v>0</v>
          </cell>
        </row>
        <row r="1659">
          <cell r="Q1659">
            <v>0</v>
          </cell>
          <cell r="R1659">
            <v>0</v>
          </cell>
        </row>
        <row r="1660">
          <cell r="Q1660">
            <v>17.089740000000003</v>
          </cell>
          <cell r="R1660">
            <v>0</v>
          </cell>
        </row>
        <row r="1661">
          <cell r="Q1661">
            <v>4.4073710996420985</v>
          </cell>
          <cell r="R1661">
            <v>4.4073710996420985</v>
          </cell>
        </row>
        <row r="1662">
          <cell r="Q1662">
            <v>3.8744379280871954</v>
          </cell>
          <cell r="R1662">
            <v>0</v>
          </cell>
        </row>
        <row r="1663">
          <cell r="Q1663">
            <v>17.089740000000003</v>
          </cell>
          <cell r="R1663">
            <v>0</v>
          </cell>
        </row>
        <row r="1664">
          <cell r="Q1664">
            <v>0</v>
          </cell>
          <cell r="R1664">
            <v>0</v>
          </cell>
        </row>
        <row r="1665">
          <cell r="Q1665">
            <v>4.3818949661181552</v>
          </cell>
          <cell r="R1665">
            <v>4.3818949661181552</v>
          </cell>
        </row>
        <row r="1666">
          <cell r="Q1666">
            <v>3.8640784683864271</v>
          </cell>
          <cell r="R1666">
            <v>0</v>
          </cell>
        </row>
        <row r="1667">
          <cell r="Q1667">
            <v>0</v>
          </cell>
          <cell r="R1667">
            <v>0</v>
          </cell>
        </row>
        <row r="1668">
          <cell r="Q1668">
            <v>17.089740000000003</v>
          </cell>
          <cell r="R1668">
            <v>0</v>
          </cell>
        </row>
        <row r="1669">
          <cell r="Q1669">
            <v>4.2927284987843564</v>
          </cell>
          <cell r="R1669">
            <v>4.2927284987843564</v>
          </cell>
        </row>
        <row r="1670">
          <cell r="Q1670">
            <v>3.8640784683864271</v>
          </cell>
          <cell r="R1670">
            <v>0</v>
          </cell>
        </row>
        <row r="1671">
          <cell r="Q1671">
            <v>17.089740000000003</v>
          </cell>
          <cell r="R1671">
            <v>0</v>
          </cell>
        </row>
        <row r="1672">
          <cell r="Q1672">
            <v>4.4073710996420985</v>
          </cell>
          <cell r="R1672">
            <v>4.4073710996420985</v>
          </cell>
        </row>
        <row r="1673">
          <cell r="Q1673">
            <v>3.8847973877879629</v>
          </cell>
          <cell r="R1673">
            <v>0</v>
          </cell>
        </row>
        <row r="1674">
          <cell r="Q1674">
            <v>4.7372975750483688</v>
          </cell>
          <cell r="R1674">
            <v>0</v>
          </cell>
        </row>
        <row r="1675">
          <cell r="Q1675">
            <v>9.3904044504871234</v>
          </cell>
          <cell r="R1675">
            <v>0</v>
          </cell>
        </row>
        <row r="1676">
          <cell r="Q1676">
            <v>5.4072800000000001</v>
          </cell>
          <cell r="R1676">
            <v>0</v>
          </cell>
        </row>
        <row r="1677">
          <cell r="Q1677">
            <v>3.6299036547272316</v>
          </cell>
          <cell r="R1677">
            <v>0</v>
          </cell>
        </row>
        <row r="1678">
          <cell r="Q1678">
            <v>2.4839230185844197</v>
          </cell>
          <cell r="R1678">
            <v>2.4839230185844197</v>
          </cell>
        </row>
        <row r="1679">
          <cell r="Q1679">
            <v>0</v>
          </cell>
          <cell r="R1679">
            <v>0</v>
          </cell>
        </row>
        <row r="1680">
          <cell r="Q1680">
            <v>0</v>
          </cell>
          <cell r="R1680">
            <v>0</v>
          </cell>
        </row>
        <row r="1681">
          <cell r="Q1681">
            <v>5.8228200000000001</v>
          </cell>
          <cell r="R1681">
            <v>0</v>
          </cell>
        </row>
        <row r="1682">
          <cell r="Q1682">
            <v>4.5219286446701963</v>
          </cell>
          <cell r="R1682">
            <v>0</v>
          </cell>
        </row>
        <row r="1683">
          <cell r="Q1683">
            <v>0</v>
          </cell>
          <cell r="R1683">
            <v>0</v>
          </cell>
        </row>
        <row r="1684">
          <cell r="Q1684">
            <v>4.5984421010716687</v>
          </cell>
          <cell r="R1684">
            <v>4.5984421010716687</v>
          </cell>
        </row>
        <row r="1685">
          <cell r="Q1685">
            <v>4.3576877929609621</v>
          </cell>
          <cell r="R1685">
            <v>0</v>
          </cell>
        </row>
        <row r="1686">
          <cell r="Q1686">
            <v>6.1647200000000009</v>
          </cell>
          <cell r="R1686">
            <v>0</v>
          </cell>
        </row>
        <row r="1687">
          <cell r="Q1687">
            <v>4.5602279007857547</v>
          </cell>
          <cell r="R1687">
            <v>4.5602279007857547</v>
          </cell>
        </row>
        <row r="1688">
          <cell r="Q1688">
            <v>0.9662632168141535</v>
          </cell>
          <cell r="R1688">
            <v>0</v>
          </cell>
        </row>
        <row r="1689">
          <cell r="Q1689">
            <v>6.4014199999999999</v>
          </cell>
          <cell r="R1689">
            <v>0</v>
          </cell>
        </row>
        <row r="1690">
          <cell r="Q1690">
            <v>2.0623680533877087</v>
          </cell>
          <cell r="R1690">
            <v>0</v>
          </cell>
        </row>
        <row r="1691">
          <cell r="Q1691">
            <v>0</v>
          </cell>
          <cell r="R1691">
            <v>0</v>
          </cell>
        </row>
        <row r="1692">
          <cell r="Q1692">
            <v>3.9615387629730998</v>
          </cell>
          <cell r="R1692">
            <v>3.9615387629730998</v>
          </cell>
        </row>
        <row r="1693">
          <cell r="Q1693">
            <v>0</v>
          </cell>
          <cell r="R1693">
            <v>0</v>
          </cell>
        </row>
        <row r="1694">
          <cell r="Q1694">
            <v>0</v>
          </cell>
          <cell r="R1694">
            <v>0</v>
          </cell>
        </row>
        <row r="1695">
          <cell r="Q1695">
            <v>0</v>
          </cell>
          <cell r="R1695">
            <v>0</v>
          </cell>
        </row>
        <row r="1696">
          <cell r="Q1696">
            <v>0</v>
          </cell>
          <cell r="R1696">
            <v>0</v>
          </cell>
        </row>
        <row r="1697">
          <cell r="Q1697">
            <v>0.40210483395636021</v>
          </cell>
          <cell r="R1697">
            <v>0</v>
          </cell>
        </row>
        <row r="1698">
          <cell r="Q1698">
            <v>12.42938</v>
          </cell>
          <cell r="R1698">
            <v>0</v>
          </cell>
        </row>
        <row r="1699">
          <cell r="Q1699">
            <v>6.5473663156532904</v>
          </cell>
          <cell r="R1699">
            <v>6.5473663156532904</v>
          </cell>
        </row>
        <row r="1700">
          <cell r="Q1700">
            <v>12.47672</v>
          </cell>
          <cell r="R1700">
            <v>0</v>
          </cell>
        </row>
        <row r="1701">
          <cell r="Q1701">
            <v>2.7707281503128529</v>
          </cell>
          <cell r="R1701">
            <v>0</v>
          </cell>
        </row>
        <row r="1702">
          <cell r="Q1702">
            <v>0</v>
          </cell>
          <cell r="R1702">
            <v>0</v>
          </cell>
        </row>
        <row r="1703">
          <cell r="Q1703">
            <v>17.089740000000003</v>
          </cell>
          <cell r="R1703">
            <v>0</v>
          </cell>
        </row>
        <row r="1704">
          <cell r="Q1704">
            <v>4.4073710996420985</v>
          </cell>
          <cell r="R1704">
            <v>4.4073710996420985</v>
          </cell>
        </row>
        <row r="1705">
          <cell r="Q1705">
            <v>3.8744379280871954</v>
          </cell>
          <cell r="R1705">
            <v>0</v>
          </cell>
        </row>
        <row r="1706">
          <cell r="Q1706">
            <v>17.089740000000003</v>
          </cell>
          <cell r="R1706">
            <v>0</v>
          </cell>
        </row>
        <row r="1707">
          <cell r="Q1707">
            <v>7.307355375898414</v>
          </cell>
          <cell r="R1707">
            <v>0</v>
          </cell>
        </row>
        <row r="1708">
          <cell r="Q1708">
            <v>4.3818949661181552</v>
          </cell>
          <cell r="R1708">
            <v>4.3818949661181552</v>
          </cell>
        </row>
        <row r="1709">
          <cell r="Q1709">
            <v>3.8640784683864271</v>
          </cell>
          <cell r="R1709">
            <v>0</v>
          </cell>
        </row>
        <row r="1710">
          <cell r="Q1710">
            <v>0</v>
          </cell>
          <cell r="R1710">
            <v>0</v>
          </cell>
        </row>
        <row r="1711">
          <cell r="Q1711">
            <v>17.089740000000003</v>
          </cell>
          <cell r="R1711">
            <v>0</v>
          </cell>
        </row>
        <row r="1712">
          <cell r="Q1712">
            <v>4.2927284987843564</v>
          </cell>
          <cell r="R1712">
            <v>4.2927284987843564</v>
          </cell>
        </row>
        <row r="1713">
          <cell r="Q1713">
            <v>3.8640784683864271</v>
          </cell>
          <cell r="R1713">
            <v>0</v>
          </cell>
        </row>
        <row r="1714">
          <cell r="Q1714">
            <v>17.089740000000003</v>
          </cell>
          <cell r="R1714">
            <v>0</v>
          </cell>
        </row>
        <row r="1715">
          <cell r="Q1715">
            <v>4.4073710996420985</v>
          </cell>
          <cell r="R1715">
            <v>4.4073710996420985</v>
          </cell>
        </row>
        <row r="1716">
          <cell r="Q1716">
            <v>3.8744379280871954</v>
          </cell>
          <cell r="R1716">
            <v>0</v>
          </cell>
        </row>
        <row r="1717">
          <cell r="Q1717">
            <v>0</v>
          </cell>
          <cell r="R1717">
            <v>0</v>
          </cell>
        </row>
        <row r="1718">
          <cell r="Q1718">
            <v>0</v>
          </cell>
          <cell r="R1718">
            <v>0</v>
          </cell>
        </row>
        <row r="1719">
          <cell r="Q1719">
            <v>0</v>
          </cell>
          <cell r="R1719">
            <v>0</v>
          </cell>
        </row>
        <row r="1720">
          <cell r="Q1720">
            <v>0</v>
          </cell>
          <cell r="R1720">
            <v>0</v>
          </cell>
        </row>
        <row r="1721">
          <cell r="Q1721">
            <v>0</v>
          </cell>
          <cell r="R1721">
            <v>0</v>
          </cell>
        </row>
        <row r="1722">
          <cell r="Q1722">
            <v>0</v>
          </cell>
          <cell r="R1722">
            <v>0</v>
          </cell>
        </row>
        <row r="1723">
          <cell r="Q1723">
            <v>0</v>
          </cell>
          <cell r="R1723">
            <v>0</v>
          </cell>
        </row>
        <row r="1724">
          <cell r="Q1724">
            <v>0</v>
          </cell>
          <cell r="R1724">
            <v>0</v>
          </cell>
        </row>
        <row r="1725">
          <cell r="Q1725">
            <v>0</v>
          </cell>
          <cell r="R1725">
            <v>0</v>
          </cell>
        </row>
        <row r="1726">
          <cell r="Q1726">
            <v>0</v>
          </cell>
          <cell r="R1726">
            <v>0</v>
          </cell>
        </row>
        <row r="1727">
          <cell r="Q1727">
            <v>0</v>
          </cell>
          <cell r="R1727">
            <v>0</v>
          </cell>
        </row>
        <row r="1728">
          <cell r="Q1728">
            <v>0</v>
          </cell>
          <cell r="R1728">
            <v>0</v>
          </cell>
        </row>
        <row r="1729">
          <cell r="Q1729">
            <v>0</v>
          </cell>
          <cell r="R1729">
            <v>0</v>
          </cell>
        </row>
        <row r="1730">
          <cell r="Q1730">
            <v>0</v>
          </cell>
          <cell r="R1730">
            <v>0</v>
          </cell>
        </row>
        <row r="1731">
          <cell r="Q1731">
            <v>0</v>
          </cell>
          <cell r="R1731">
            <v>0</v>
          </cell>
        </row>
        <row r="1732">
          <cell r="Q1732">
            <v>0</v>
          </cell>
          <cell r="R1732">
            <v>0</v>
          </cell>
        </row>
        <row r="1733">
          <cell r="Q1733">
            <v>0</v>
          </cell>
          <cell r="R1733">
            <v>0</v>
          </cell>
        </row>
        <row r="1734">
          <cell r="Q1734">
            <v>0</v>
          </cell>
          <cell r="R1734">
            <v>0</v>
          </cell>
        </row>
        <row r="1735">
          <cell r="Q1735">
            <v>0</v>
          </cell>
          <cell r="R1735">
            <v>0</v>
          </cell>
        </row>
        <row r="1736">
          <cell r="Q1736">
            <v>0</v>
          </cell>
          <cell r="R1736">
            <v>0</v>
          </cell>
        </row>
        <row r="1737">
          <cell r="Q1737">
            <v>0</v>
          </cell>
          <cell r="R1737">
            <v>0</v>
          </cell>
        </row>
        <row r="1738">
          <cell r="Q1738">
            <v>0</v>
          </cell>
          <cell r="R1738">
            <v>0</v>
          </cell>
        </row>
        <row r="1739">
          <cell r="Q1739">
            <v>0</v>
          </cell>
          <cell r="R1739">
            <v>0</v>
          </cell>
        </row>
        <row r="1740">
          <cell r="Q1740">
            <v>0</v>
          </cell>
          <cell r="R1740">
            <v>0</v>
          </cell>
        </row>
        <row r="1741">
          <cell r="Q1741">
            <v>0</v>
          </cell>
          <cell r="R1741">
            <v>0</v>
          </cell>
        </row>
        <row r="1742">
          <cell r="Q1742">
            <v>0</v>
          </cell>
          <cell r="R1742">
            <v>0</v>
          </cell>
        </row>
        <row r="1743">
          <cell r="Q1743">
            <v>0</v>
          </cell>
          <cell r="R1743">
            <v>0</v>
          </cell>
        </row>
        <row r="1744">
          <cell r="Q1744">
            <v>0</v>
          </cell>
          <cell r="R1744">
            <v>0</v>
          </cell>
        </row>
        <row r="1745">
          <cell r="Q1745">
            <v>0</v>
          </cell>
          <cell r="R1745">
            <v>0</v>
          </cell>
        </row>
        <row r="1746">
          <cell r="Q1746">
            <v>0</v>
          </cell>
          <cell r="R1746">
            <v>0</v>
          </cell>
        </row>
        <row r="1747">
          <cell r="Q1747">
            <v>0</v>
          </cell>
          <cell r="R1747">
            <v>0</v>
          </cell>
        </row>
        <row r="1748">
          <cell r="Q1748">
            <v>0</v>
          </cell>
          <cell r="R1748">
            <v>0</v>
          </cell>
        </row>
        <row r="1749">
          <cell r="Q1749">
            <v>0</v>
          </cell>
          <cell r="R1749">
            <v>0</v>
          </cell>
        </row>
        <row r="1750">
          <cell r="Q1750">
            <v>0</v>
          </cell>
          <cell r="R1750">
            <v>0</v>
          </cell>
        </row>
        <row r="1751">
          <cell r="Q1751">
            <v>0</v>
          </cell>
          <cell r="R1751">
            <v>0</v>
          </cell>
        </row>
        <row r="1752">
          <cell r="Q1752">
            <v>0</v>
          </cell>
          <cell r="R1752">
            <v>0</v>
          </cell>
        </row>
        <row r="1753">
          <cell r="Q1753">
            <v>0</v>
          </cell>
          <cell r="R1753">
            <v>0</v>
          </cell>
        </row>
        <row r="1754">
          <cell r="Q1754">
            <v>0</v>
          </cell>
          <cell r="R1754">
            <v>0</v>
          </cell>
        </row>
        <row r="1755">
          <cell r="Q1755">
            <v>0</v>
          </cell>
          <cell r="R1755">
            <v>0</v>
          </cell>
        </row>
        <row r="1756">
          <cell r="Q1756">
            <v>0</v>
          </cell>
          <cell r="R1756">
            <v>0</v>
          </cell>
        </row>
        <row r="1757">
          <cell r="Q1757">
            <v>0</v>
          </cell>
          <cell r="R1757">
            <v>0</v>
          </cell>
        </row>
        <row r="1758">
          <cell r="Q1758">
            <v>0</v>
          </cell>
          <cell r="R1758">
            <v>0</v>
          </cell>
        </row>
        <row r="1759">
          <cell r="Q1759">
            <v>4.2927284987843564</v>
          </cell>
          <cell r="R1759">
            <v>4.2927284987843564</v>
          </cell>
        </row>
        <row r="1760">
          <cell r="Q1760">
            <v>4.3125743441819626</v>
          </cell>
          <cell r="R1760">
            <v>0</v>
          </cell>
        </row>
        <row r="1761">
          <cell r="Q1761">
            <v>10.052620848909005</v>
          </cell>
          <cell r="R1761">
            <v>0</v>
          </cell>
        </row>
        <row r="1762">
          <cell r="Q1762">
            <v>0</v>
          </cell>
          <cell r="R1762">
            <v>0</v>
          </cell>
        </row>
        <row r="1763">
          <cell r="Q1763">
            <v>6.4750600000000009</v>
          </cell>
          <cell r="R1763">
            <v>0</v>
          </cell>
        </row>
        <row r="1764">
          <cell r="Q1764">
            <v>0</v>
          </cell>
          <cell r="R1764">
            <v>0</v>
          </cell>
        </row>
        <row r="1765">
          <cell r="Q1765">
            <v>0</v>
          </cell>
          <cell r="R1765">
            <v>0</v>
          </cell>
        </row>
        <row r="1766">
          <cell r="Q1766">
            <v>6.5434400000000004</v>
          </cell>
          <cell r="R1766">
            <v>0</v>
          </cell>
        </row>
        <row r="1767">
          <cell r="Q1767">
            <v>6.9677225187983458</v>
          </cell>
          <cell r="R1767">
            <v>6.9677225187983458</v>
          </cell>
        </row>
        <row r="1768">
          <cell r="Q1768">
            <v>0</v>
          </cell>
          <cell r="R1768">
            <v>0</v>
          </cell>
        </row>
        <row r="1769">
          <cell r="Q1769">
            <v>0</v>
          </cell>
          <cell r="R1769">
            <v>0</v>
          </cell>
        </row>
        <row r="1770">
          <cell r="Q1770">
            <v>4.4904841478254616</v>
          </cell>
          <cell r="R1770">
            <v>0</v>
          </cell>
        </row>
        <row r="1771">
          <cell r="Q1771">
            <v>0</v>
          </cell>
          <cell r="R1771">
            <v>0</v>
          </cell>
        </row>
        <row r="1772">
          <cell r="Q1772">
            <v>7.0484000000000009</v>
          </cell>
          <cell r="R1772">
            <v>0</v>
          </cell>
        </row>
        <row r="1773">
          <cell r="Q1773">
            <v>6.9326800000000004</v>
          </cell>
          <cell r="R1773">
            <v>0</v>
          </cell>
        </row>
        <row r="1774">
          <cell r="Q1774">
            <v>4.2417762317364707</v>
          </cell>
          <cell r="R1774">
            <v>4.2417762317364707</v>
          </cell>
        </row>
        <row r="1775">
          <cell r="Q1775">
            <v>0.40336141156247379</v>
          </cell>
          <cell r="R1775">
            <v>0</v>
          </cell>
        </row>
        <row r="1776">
          <cell r="Q1776">
            <v>2.0895442063606069</v>
          </cell>
          <cell r="R1776">
            <v>0</v>
          </cell>
        </row>
        <row r="1777">
          <cell r="Q1777">
            <v>0</v>
          </cell>
          <cell r="R1777">
            <v>0</v>
          </cell>
        </row>
        <row r="1778">
          <cell r="Q1778">
            <v>0</v>
          </cell>
          <cell r="R1778">
            <v>0</v>
          </cell>
        </row>
        <row r="1779">
          <cell r="Q1779">
            <v>0</v>
          </cell>
          <cell r="R1779">
            <v>0</v>
          </cell>
        </row>
        <row r="1780">
          <cell r="Q1780">
            <v>0</v>
          </cell>
          <cell r="R1780">
            <v>0</v>
          </cell>
        </row>
        <row r="1781">
          <cell r="Q1781">
            <v>12.555620000000001</v>
          </cell>
          <cell r="R1781">
            <v>0</v>
          </cell>
        </row>
        <row r="1782">
          <cell r="Q1782">
            <v>9.3624790700489662</v>
          </cell>
          <cell r="R1782">
            <v>9.3624790700489662</v>
          </cell>
        </row>
        <row r="1783">
          <cell r="Q1783">
            <v>12.902780000000002</v>
          </cell>
          <cell r="R1783">
            <v>0</v>
          </cell>
        </row>
        <row r="1784">
          <cell r="Q1784">
            <v>6.2700250908839239</v>
          </cell>
          <cell r="R1784">
            <v>0</v>
          </cell>
        </row>
        <row r="1785">
          <cell r="Q1785">
            <v>0</v>
          </cell>
          <cell r="R1785">
            <v>0</v>
          </cell>
        </row>
        <row r="1786">
          <cell r="Q1786">
            <v>23.023020000000002</v>
          </cell>
          <cell r="R1786">
            <v>0</v>
          </cell>
        </row>
        <row r="1787">
          <cell r="Q1787">
            <v>19.609280000000002</v>
          </cell>
          <cell r="R1787">
            <v>0</v>
          </cell>
        </row>
        <row r="1788">
          <cell r="Q1788">
            <v>0</v>
          </cell>
          <cell r="R1788">
            <v>0</v>
          </cell>
        </row>
        <row r="1789">
          <cell r="Q1789">
            <v>4.7895131025012398</v>
          </cell>
          <cell r="R1789">
            <v>4.7895131025012398</v>
          </cell>
        </row>
        <row r="1790">
          <cell r="Q1790">
            <v>7.7325795397294188</v>
          </cell>
          <cell r="R1790">
            <v>0</v>
          </cell>
        </row>
        <row r="1791">
          <cell r="Q1791">
            <v>19.609280000000002</v>
          </cell>
          <cell r="R1791">
            <v>0</v>
          </cell>
        </row>
        <row r="1792">
          <cell r="Q1792">
            <v>0</v>
          </cell>
          <cell r="R1792">
            <v>0</v>
          </cell>
        </row>
        <row r="1793">
          <cell r="Q1793">
            <v>0</v>
          </cell>
          <cell r="R1793">
            <v>0</v>
          </cell>
        </row>
        <row r="1794">
          <cell r="Q1794">
            <v>19.609280000000002</v>
          </cell>
          <cell r="R1794">
            <v>0</v>
          </cell>
        </row>
        <row r="1795">
          <cell r="Q1795">
            <v>6.1015339789842926</v>
          </cell>
          <cell r="R1795">
            <v>6.1015339789842926</v>
          </cell>
        </row>
        <row r="1796">
          <cell r="Q1796">
            <v>4.7895131025012398</v>
          </cell>
          <cell r="R1796">
            <v>4.7895131025012398</v>
          </cell>
        </row>
        <row r="1797">
          <cell r="Q1797">
            <v>4.3640940260326211</v>
          </cell>
          <cell r="R1797">
            <v>0</v>
          </cell>
        </row>
        <row r="1798">
          <cell r="Q1798">
            <v>5.7350201943025869</v>
          </cell>
          <cell r="R1798">
            <v>0</v>
          </cell>
        </row>
        <row r="1799">
          <cell r="Q1799">
            <v>0</v>
          </cell>
          <cell r="R1799">
            <v>0</v>
          </cell>
        </row>
        <row r="1800">
          <cell r="Q1800">
            <v>0</v>
          </cell>
          <cell r="R1800">
            <v>0</v>
          </cell>
        </row>
        <row r="1801">
          <cell r="Q1801">
            <v>0</v>
          </cell>
          <cell r="R1801">
            <v>0</v>
          </cell>
        </row>
        <row r="1802">
          <cell r="Q1802">
            <v>0</v>
          </cell>
          <cell r="R1802">
            <v>0</v>
          </cell>
        </row>
        <row r="1803">
          <cell r="Q1803">
            <v>0</v>
          </cell>
          <cell r="R1803">
            <v>0</v>
          </cell>
        </row>
        <row r="1804">
          <cell r="Q1804">
            <v>0</v>
          </cell>
          <cell r="R1804">
            <v>0</v>
          </cell>
        </row>
        <row r="1805">
          <cell r="Q1805">
            <v>0</v>
          </cell>
          <cell r="R1805">
            <v>0</v>
          </cell>
        </row>
        <row r="1806">
          <cell r="Q1806">
            <v>0</v>
          </cell>
          <cell r="R1806">
            <v>0</v>
          </cell>
        </row>
        <row r="1807">
          <cell r="Q1807">
            <v>0</v>
          </cell>
          <cell r="R1807">
            <v>0</v>
          </cell>
        </row>
        <row r="1808">
          <cell r="Q1808">
            <v>0</v>
          </cell>
          <cell r="R1808">
            <v>0</v>
          </cell>
        </row>
        <row r="1809">
          <cell r="Q1809">
            <v>0</v>
          </cell>
          <cell r="R1809">
            <v>0</v>
          </cell>
        </row>
        <row r="1810">
          <cell r="Q1810">
            <v>0</v>
          </cell>
          <cell r="R1810">
            <v>0</v>
          </cell>
        </row>
        <row r="1811">
          <cell r="Q1811">
            <v>0</v>
          </cell>
          <cell r="R1811">
            <v>0</v>
          </cell>
        </row>
        <row r="1812">
          <cell r="Q1812">
            <v>0</v>
          </cell>
          <cell r="R1812">
            <v>0</v>
          </cell>
        </row>
        <row r="1813">
          <cell r="Q1813">
            <v>0</v>
          </cell>
          <cell r="R1813">
            <v>0</v>
          </cell>
        </row>
        <row r="1814">
          <cell r="Q1814">
            <v>0</v>
          </cell>
          <cell r="R1814">
            <v>0</v>
          </cell>
        </row>
        <row r="1815">
          <cell r="Q1815">
            <v>0</v>
          </cell>
          <cell r="R1815">
            <v>0</v>
          </cell>
        </row>
        <row r="1816">
          <cell r="Q1816">
            <v>0</v>
          </cell>
          <cell r="R1816">
            <v>0</v>
          </cell>
        </row>
        <row r="1817">
          <cell r="Q1817">
            <v>0</v>
          </cell>
          <cell r="R1817">
            <v>0</v>
          </cell>
        </row>
        <row r="1818">
          <cell r="Q1818">
            <v>0</v>
          </cell>
          <cell r="R1818">
            <v>0</v>
          </cell>
        </row>
        <row r="1819">
          <cell r="Q1819">
            <v>0</v>
          </cell>
          <cell r="R1819">
            <v>0</v>
          </cell>
        </row>
        <row r="1820">
          <cell r="Q1820">
            <v>0</v>
          </cell>
          <cell r="R1820">
            <v>0</v>
          </cell>
        </row>
        <row r="1821">
          <cell r="Q1821">
            <v>0</v>
          </cell>
          <cell r="R1821">
            <v>0</v>
          </cell>
        </row>
        <row r="1822">
          <cell r="Q1822">
            <v>0</v>
          </cell>
          <cell r="R1822">
            <v>0</v>
          </cell>
        </row>
        <row r="1823">
          <cell r="Q1823">
            <v>0</v>
          </cell>
          <cell r="R1823">
            <v>0</v>
          </cell>
        </row>
        <row r="1824">
          <cell r="Q1824">
            <v>0</v>
          </cell>
          <cell r="R1824">
            <v>0</v>
          </cell>
        </row>
        <row r="1825">
          <cell r="Q1825">
            <v>0</v>
          </cell>
          <cell r="R1825">
            <v>0</v>
          </cell>
        </row>
        <row r="1826">
          <cell r="Q1826">
            <v>0</v>
          </cell>
          <cell r="R1826">
            <v>0</v>
          </cell>
        </row>
        <row r="1827">
          <cell r="Q1827">
            <v>0</v>
          </cell>
          <cell r="R1827">
            <v>0</v>
          </cell>
        </row>
        <row r="1828">
          <cell r="Q1828">
            <v>0</v>
          </cell>
          <cell r="R1828">
            <v>0</v>
          </cell>
        </row>
        <row r="1829">
          <cell r="Q1829">
            <v>0</v>
          </cell>
          <cell r="R1829">
            <v>0</v>
          </cell>
        </row>
        <row r="1830">
          <cell r="Q1830">
            <v>0</v>
          </cell>
          <cell r="R1830">
            <v>0</v>
          </cell>
        </row>
        <row r="1831">
          <cell r="Q1831">
            <v>0</v>
          </cell>
          <cell r="R1831">
            <v>0</v>
          </cell>
        </row>
        <row r="1832">
          <cell r="Q1832">
            <v>0</v>
          </cell>
          <cell r="R1832">
            <v>0</v>
          </cell>
        </row>
        <row r="1833">
          <cell r="Q1833">
            <v>0</v>
          </cell>
          <cell r="R1833">
            <v>0</v>
          </cell>
        </row>
        <row r="1834">
          <cell r="Q1834">
            <v>9.7925092844434847</v>
          </cell>
          <cell r="R1834">
            <v>0</v>
          </cell>
        </row>
        <row r="1835">
          <cell r="Q1835">
            <v>0</v>
          </cell>
          <cell r="R1835">
            <v>0</v>
          </cell>
        </row>
        <row r="1836">
          <cell r="Q1836">
            <v>0</v>
          </cell>
          <cell r="R1836">
            <v>0</v>
          </cell>
        </row>
        <row r="1837">
          <cell r="Q1837">
            <v>0</v>
          </cell>
          <cell r="R1837">
            <v>0</v>
          </cell>
        </row>
        <row r="1838">
          <cell r="Q1838">
            <v>0</v>
          </cell>
          <cell r="R1838">
            <v>0</v>
          </cell>
        </row>
        <row r="1839">
          <cell r="Q1839">
            <v>7.4936416682089746</v>
          </cell>
          <cell r="R1839">
            <v>0</v>
          </cell>
        </row>
        <row r="1840">
          <cell r="Q1840">
            <v>2.1226499999999997</v>
          </cell>
          <cell r="R1840">
            <v>0</v>
          </cell>
        </row>
        <row r="1841">
          <cell r="Q1841">
            <v>4.1746879380867137</v>
          </cell>
          <cell r="R1841">
            <v>0</v>
          </cell>
        </row>
        <row r="1842">
          <cell r="Q1842">
            <v>3.4017933106480385</v>
          </cell>
          <cell r="R1842">
            <v>0</v>
          </cell>
        </row>
        <row r="1843">
          <cell r="Q1843">
            <v>0</v>
          </cell>
          <cell r="R1843">
            <v>0</v>
          </cell>
        </row>
        <row r="1844">
          <cell r="Q1844">
            <v>0</v>
          </cell>
          <cell r="R1844">
            <v>0</v>
          </cell>
        </row>
        <row r="1845">
          <cell r="Q1845">
            <v>5.6977716438356465</v>
          </cell>
          <cell r="R1845">
            <v>0</v>
          </cell>
        </row>
        <row r="1846">
          <cell r="Q1846">
            <v>0</v>
          </cell>
          <cell r="R1846">
            <v>0</v>
          </cell>
        </row>
        <row r="1847">
          <cell r="Q1847">
            <v>3.3085887825734628</v>
          </cell>
          <cell r="R1847">
            <v>0</v>
          </cell>
        </row>
        <row r="1848">
          <cell r="Q1848">
            <v>1.2152701105221757</v>
          </cell>
          <cell r="R1848">
            <v>0</v>
          </cell>
        </row>
        <row r="1849">
          <cell r="Q1849">
            <v>3.1558846849162259</v>
          </cell>
          <cell r="R1849">
            <v>0</v>
          </cell>
        </row>
        <row r="1850">
          <cell r="Q1850">
            <v>3.0731699653518896</v>
          </cell>
          <cell r="R1850">
            <v>0</v>
          </cell>
        </row>
        <row r="1851">
          <cell r="Q1851">
            <v>0</v>
          </cell>
          <cell r="R1851">
            <v>0</v>
          </cell>
        </row>
        <row r="1852">
          <cell r="Q1852">
            <v>0</v>
          </cell>
          <cell r="R1852">
            <v>0</v>
          </cell>
        </row>
        <row r="1853">
          <cell r="Q1853">
            <v>0</v>
          </cell>
          <cell r="R1853">
            <v>0</v>
          </cell>
        </row>
        <row r="1854">
          <cell r="Q1854">
            <v>4.6287139871795366</v>
          </cell>
          <cell r="R1854">
            <v>0</v>
          </cell>
        </row>
        <row r="1855">
          <cell r="Q1855">
            <v>2.9679695555393324</v>
          </cell>
          <cell r="R1855">
            <v>0</v>
          </cell>
        </row>
        <row r="1856">
          <cell r="Q1856">
            <v>2.9297553552534179</v>
          </cell>
          <cell r="R1856">
            <v>0</v>
          </cell>
        </row>
        <row r="1857">
          <cell r="Q1857">
            <v>6.7766515173687756</v>
          </cell>
          <cell r="R1857">
            <v>0</v>
          </cell>
        </row>
        <row r="1858">
          <cell r="Q1858">
            <v>0</v>
          </cell>
          <cell r="R1858">
            <v>0</v>
          </cell>
        </row>
        <row r="1859">
          <cell r="Q1859">
            <v>5.8091183817107153</v>
          </cell>
          <cell r="R1859">
            <v>0</v>
          </cell>
        </row>
        <row r="1860">
          <cell r="Q1860">
            <v>0.36063777295461052</v>
          </cell>
          <cell r="R1860">
            <v>0</v>
          </cell>
        </row>
        <row r="1861">
          <cell r="Q1861">
            <v>5.2078459971853448</v>
          </cell>
          <cell r="R1861">
            <v>0</v>
          </cell>
        </row>
        <row r="1862">
          <cell r="Q1862">
            <v>0</v>
          </cell>
          <cell r="R1862">
            <v>0</v>
          </cell>
        </row>
        <row r="1863">
          <cell r="Q1863">
            <v>0</v>
          </cell>
          <cell r="R1863">
            <v>0</v>
          </cell>
        </row>
        <row r="1864">
          <cell r="Q1864">
            <v>0</v>
          </cell>
          <cell r="R1864">
            <v>0</v>
          </cell>
        </row>
        <row r="1865">
          <cell r="Q1865">
            <v>0</v>
          </cell>
          <cell r="R1865">
            <v>0</v>
          </cell>
        </row>
        <row r="1866">
          <cell r="Q1866">
            <v>0</v>
          </cell>
          <cell r="R1866">
            <v>0</v>
          </cell>
        </row>
        <row r="1867">
          <cell r="Q1867">
            <v>0</v>
          </cell>
          <cell r="R1867">
            <v>0</v>
          </cell>
        </row>
        <row r="1868">
          <cell r="Q1868">
            <v>0</v>
          </cell>
          <cell r="R1868">
            <v>0</v>
          </cell>
        </row>
        <row r="1869">
          <cell r="Q1869">
            <v>0</v>
          </cell>
          <cell r="R1869">
            <v>0</v>
          </cell>
        </row>
        <row r="1870">
          <cell r="Q1870">
            <v>0</v>
          </cell>
          <cell r="R1870">
            <v>0</v>
          </cell>
        </row>
        <row r="1871">
          <cell r="Q1871">
            <v>0</v>
          </cell>
          <cell r="R1871">
            <v>0</v>
          </cell>
        </row>
        <row r="1872">
          <cell r="Q1872">
            <v>0</v>
          </cell>
          <cell r="R1872">
            <v>0</v>
          </cell>
        </row>
        <row r="1873">
          <cell r="Q1873">
            <v>0</v>
          </cell>
          <cell r="R1873">
            <v>0</v>
          </cell>
        </row>
        <row r="1874">
          <cell r="Q1874">
            <v>0</v>
          </cell>
          <cell r="R1874">
            <v>0</v>
          </cell>
        </row>
        <row r="1875">
          <cell r="Q1875">
            <v>0</v>
          </cell>
          <cell r="R1875">
            <v>0</v>
          </cell>
        </row>
        <row r="1876">
          <cell r="Q1876">
            <v>0</v>
          </cell>
          <cell r="R1876">
            <v>0</v>
          </cell>
        </row>
        <row r="1877">
          <cell r="Q1877">
            <v>0</v>
          </cell>
          <cell r="R1877">
            <v>0</v>
          </cell>
        </row>
        <row r="1878">
          <cell r="Q1878">
            <v>0</v>
          </cell>
          <cell r="R1878">
            <v>0</v>
          </cell>
        </row>
        <row r="1879">
          <cell r="Q1879">
            <v>0</v>
          </cell>
          <cell r="R1879">
            <v>0</v>
          </cell>
        </row>
        <row r="1880">
          <cell r="Q1880">
            <v>0</v>
          </cell>
          <cell r="R1880">
            <v>0</v>
          </cell>
        </row>
        <row r="1881">
          <cell r="Q1881">
            <v>0</v>
          </cell>
          <cell r="R1881">
            <v>0</v>
          </cell>
        </row>
        <row r="1882">
          <cell r="Q1882">
            <v>0</v>
          </cell>
          <cell r="R1882">
            <v>0</v>
          </cell>
        </row>
        <row r="1883">
          <cell r="Q1883">
            <v>0</v>
          </cell>
          <cell r="R1883">
            <v>0</v>
          </cell>
        </row>
        <row r="1884">
          <cell r="Q1884">
            <v>0</v>
          </cell>
          <cell r="R1884">
            <v>0</v>
          </cell>
        </row>
        <row r="1885">
          <cell r="Q1885">
            <v>0</v>
          </cell>
          <cell r="R1885">
            <v>0</v>
          </cell>
        </row>
        <row r="1886">
          <cell r="Q1886">
            <v>0</v>
          </cell>
          <cell r="R1886">
            <v>0</v>
          </cell>
        </row>
        <row r="1887">
          <cell r="Q1887">
            <v>0</v>
          </cell>
          <cell r="R1887">
            <v>0</v>
          </cell>
        </row>
        <row r="1888">
          <cell r="Q1888">
            <v>0</v>
          </cell>
          <cell r="R1888">
            <v>0</v>
          </cell>
        </row>
        <row r="1889">
          <cell r="Q1889">
            <v>0</v>
          </cell>
          <cell r="R1889">
            <v>0</v>
          </cell>
        </row>
        <row r="1890">
          <cell r="Q1890">
            <v>0</v>
          </cell>
          <cell r="R1890">
            <v>0</v>
          </cell>
        </row>
        <row r="1891">
          <cell r="Q1891">
            <v>0</v>
          </cell>
          <cell r="R1891">
            <v>0</v>
          </cell>
        </row>
        <row r="1892">
          <cell r="Q1892">
            <v>0</v>
          </cell>
          <cell r="R1892">
            <v>0</v>
          </cell>
        </row>
        <row r="1893">
          <cell r="Q1893">
            <v>0</v>
          </cell>
          <cell r="R1893">
            <v>0</v>
          </cell>
        </row>
        <row r="1894">
          <cell r="Q1894">
            <v>0</v>
          </cell>
          <cell r="R1894">
            <v>0</v>
          </cell>
        </row>
        <row r="1895">
          <cell r="Q1895">
            <v>0</v>
          </cell>
          <cell r="R1895">
            <v>0</v>
          </cell>
        </row>
        <row r="1896">
          <cell r="Q1896">
            <v>0</v>
          </cell>
          <cell r="R1896">
            <v>0</v>
          </cell>
        </row>
        <row r="1897">
          <cell r="Q1897">
            <v>0</v>
          </cell>
          <cell r="R1897">
            <v>0</v>
          </cell>
        </row>
        <row r="1898">
          <cell r="Q1898">
            <v>0</v>
          </cell>
          <cell r="R1898">
            <v>0</v>
          </cell>
        </row>
        <row r="1899">
          <cell r="Q1899">
            <v>0</v>
          </cell>
          <cell r="R1899">
            <v>0</v>
          </cell>
        </row>
        <row r="1900">
          <cell r="Q1900">
            <v>0</v>
          </cell>
          <cell r="R1900">
            <v>0</v>
          </cell>
        </row>
        <row r="1901">
          <cell r="Q1901">
            <v>0</v>
          </cell>
          <cell r="R1901">
            <v>0</v>
          </cell>
        </row>
        <row r="1902">
          <cell r="Q1902">
            <v>0</v>
          </cell>
          <cell r="R1902">
            <v>0</v>
          </cell>
        </row>
        <row r="1903">
          <cell r="Q1903">
            <v>0</v>
          </cell>
          <cell r="R1903">
            <v>0</v>
          </cell>
        </row>
        <row r="1904">
          <cell r="Q1904">
            <v>0</v>
          </cell>
          <cell r="R1904">
            <v>0</v>
          </cell>
        </row>
        <row r="1905">
          <cell r="Q1905">
            <v>0</v>
          </cell>
          <cell r="R1905">
            <v>0</v>
          </cell>
        </row>
        <row r="1906">
          <cell r="Q1906">
            <v>0</v>
          </cell>
          <cell r="R1906">
            <v>0</v>
          </cell>
        </row>
        <row r="1907">
          <cell r="Q1907">
            <v>0</v>
          </cell>
          <cell r="R1907">
            <v>0</v>
          </cell>
        </row>
        <row r="1908">
          <cell r="Q1908">
            <v>0</v>
          </cell>
          <cell r="R1908">
            <v>0</v>
          </cell>
        </row>
        <row r="1909">
          <cell r="Q1909">
            <v>0</v>
          </cell>
          <cell r="R1909">
            <v>0</v>
          </cell>
        </row>
        <row r="1910">
          <cell r="Q1910">
            <v>0</v>
          </cell>
          <cell r="R1910">
            <v>0</v>
          </cell>
        </row>
        <row r="1911">
          <cell r="Q1911">
            <v>0</v>
          </cell>
          <cell r="R1911">
            <v>0</v>
          </cell>
        </row>
        <row r="1912">
          <cell r="Q1912">
            <v>0</v>
          </cell>
          <cell r="R1912">
            <v>0</v>
          </cell>
        </row>
        <row r="1913">
          <cell r="Q1913">
            <v>0</v>
          </cell>
          <cell r="R1913">
            <v>0</v>
          </cell>
        </row>
        <row r="1914">
          <cell r="Q1914">
            <v>0</v>
          </cell>
          <cell r="R1914">
            <v>0</v>
          </cell>
        </row>
        <row r="1915">
          <cell r="Q1915">
            <v>0</v>
          </cell>
          <cell r="R1915">
            <v>0</v>
          </cell>
        </row>
        <row r="1916">
          <cell r="Q1916">
            <v>0</v>
          </cell>
          <cell r="R1916">
            <v>0</v>
          </cell>
        </row>
        <row r="1917">
          <cell r="Q1917">
            <v>0</v>
          </cell>
          <cell r="R1917">
            <v>0</v>
          </cell>
        </row>
        <row r="1918">
          <cell r="Q1918">
            <v>0</v>
          </cell>
          <cell r="R1918">
            <v>0</v>
          </cell>
        </row>
        <row r="1919">
          <cell r="Q1919">
            <v>0</v>
          </cell>
          <cell r="R1919">
            <v>0</v>
          </cell>
        </row>
        <row r="1920">
          <cell r="Q1920">
            <v>0</v>
          </cell>
          <cell r="R1920">
            <v>0</v>
          </cell>
        </row>
        <row r="1921">
          <cell r="Q1921">
            <v>0</v>
          </cell>
          <cell r="R1921">
            <v>0</v>
          </cell>
        </row>
        <row r="1922">
          <cell r="Q1922">
            <v>0</v>
          </cell>
          <cell r="R1922">
            <v>0</v>
          </cell>
        </row>
        <row r="1923">
          <cell r="Q1923">
            <v>0</v>
          </cell>
          <cell r="R1923">
            <v>0</v>
          </cell>
        </row>
        <row r="1924">
          <cell r="Q1924">
            <v>0</v>
          </cell>
          <cell r="R1924">
            <v>0</v>
          </cell>
        </row>
        <row r="1925">
          <cell r="Q1925">
            <v>0</v>
          </cell>
          <cell r="R1925">
            <v>0</v>
          </cell>
        </row>
        <row r="1926">
          <cell r="Q1926">
            <v>3.2142091666603094</v>
          </cell>
          <cell r="R1926">
            <v>0</v>
          </cell>
        </row>
        <row r="1927">
          <cell r="Q1927">
            <v>2.0890429489633067</v>
          </cell>
          <cell r="R1927">
            <v>0</v>
          </cell>
        </row>
        <row r="1928">
          <cell r="Q1928">
            <v>3.0880161970685651</v>
          </cell>
          <cell r="R1928">
            <v>0</v>
          </cell>
        </row>
        <row r="1929">
          <cell r="Q1929">
            <v>1.8470196804858505</v>
          </cell>
          <cell r="R1929">
            <v>0</v>
          </cell>
        </row>
        <row r="1930">
          <cell r="Q1930">
            <v>3.0880161970685651</v>
          </cell>
          <cell r="R1930">
            <v>0</v>
          </cell>
        </row>
        <row r="1931">
          <cell r="Q1931">
            <v>2.0890429489633067</v>
          </cell>
          <cell r="R1931">
            <v>0</v>
          </cell>
        </row>
        <row r="1932">
          <cell r="Q1932">
            <v>3.1956513770144643</v>
          </cell>
          <cell r="R1932">
            <v>0</v>
          </cell>
        </row>
        <row r="1933">
          <cell r="Q1933">
            <v>1.8470196804858505</v>
          </cell>
          <cell r="R1933">
            <v>0</v>
          </cell>
        </row>
        <row r="1934">
          <cell r="Q1934">
            <v>3.0323428281310307</v>
          </cell>
          <cell r="R1934">
            <v>0</v>
          </cell>
        </row>
        <row r="1935">
          <cell r="Q1935">
            <v>2.0635668154393643</v>
          </cell>
          <cell r="R1935">
            <v>0</v>
          </cell>
        </row>
        <row r="1936">
          <cell r="Q1936">
            <v>3.3107096728187018</v>
          </cell>
          <cell r="R1936">
            <v>0</v>
          </cell>
        </row>
        <row r="1937">
          <cell r="Q1937">
            <v>2.0635668154393643</v>
          </cell>
          <cell r="R1937">
            <v>0</v>
          </cell>
        </row>
        <row r="1938">
          <cell r="Q1938">
            <v>2.9213676356165479</v>
          </cell>
          <cell r="R1938">
            <v>0</v>
          </cell>
        </row>
        <row r="1939">
          <cell r="Q1939">
            <v>2.7659757401050293</v>
          </cell>
          <cell r="R1939">
            <v>0</v>
          </cell>
        </row>
        <row r="1940">
          <cell r="Q1940">
            <v>1.6678730118236322</v>
          </cell>
          <cell r="R1940">
            <v>0</v>
          </cell>
        </row>
        <row r="1941">
          <cell r="Q1941">
            <v>2.7348973610027261</v>
          </cell>
          <cell r="R1941">
            <v>0</v>
          </cell>
        </row>
        <row r="1942">
          <cell r="Q1942">
            <v>0</v>
          </cell>
          <cell r="R1942">
            <v>0</v>
          </cell>
        </row>
        <row r="1943">
          <cell r="Q1943">
            <v>0</v>
          </cell>
          <cell r="R1943">
            <v>0</v>
          </cell>
        </row>
        <row r="1944">
          <cell r="Q1944">
            <v>0</v>
          </cell>
          <cell r="R1944">
            <v>0</v>
          </cell>
        </row>
        <row r="1945">
          <cell r="Q1945">
            <v>0</v>
          </cell>
          <cell r="R1945">
            <v>0</v>
          </cell>
        </row>
        <row r="1946">
          <cell r="Q1946">
            <v>3.0917277549977338</v>
          </cell>
          <cell r="R1946">
            <v>0</v>
          </cell>
        </row>
        <row r="1947">
          <cell r="Q1947">
            <v>2.0890429489633067</v>
          </cell>
          <cell r="R1947">
            <v>0</v>
          </cell>
        </row>
        <row r="1948">
          <cell r="Q1948">
            <v>3.0434775019185372</v>
          </cell>
          <cell r="R1948">
            <v>0</v>
          </cell>
        </row>
        <row r="1949">
          <cell r="Q1949">
            <v>2.0890429489633067</v>
          </cell>
          <cell r="R1949">
            <v>0</v>
          </cell>
        </row>
        <row r="1950">
          <cell r="Q1950">
            <v>3.0434775019185372</v>
          </cell>
          <cell r="R1950">
            <v>0</v>
          </cell>
        </row>
        <row r="1951">
          <cell r="Q1951">
            <v>2.0890429489633067</v>
          </cell>
          <cell r="R1951">
            <v>0</v>
          </cell>
        </row>
        <row r="1952">
          <cell r="Q1952">
            <v>5.1108152684656414</v>
          </cell>
          <cell r="R1952">
            <v>0</v>
          </cell>
        </row>
        <row r="1953">
          <cell r="Q1953">
            <v>2.0890429489633067</v>
          </cell>
          <cell r="R1953">
            <v>0</v>
          </cell>
        </row>
        <row r="1954">
          <cell r="Q1954">
            <v>0</v>
          </cell>
          <cell r="R1954">
            <v>0</v>
          </cell>
        </row>
        <row r="1955">
          <cell r="Q1955">
            <v>3.2067860508019717</v>
          </cell>
          <cell r="R1955">
            <v>0</v>
          </cell>
        </row>
        <row r="1956">
          <cell r="Q1956">
            <v>1.9616622813435929</v>
          </cell>
          <cell r="R1956">
            <v>0</v>
          </cell>
        </row>
        <row r="1957">
          <cell r="Q1957">
            <v>3.2550363038811674</v>
          </cell>
          <cell r="R1957">
            <v>0</v>
          </cell>
        </row>
        <row r="1958">
          <cell r="Q1958">
            <v>1.9616622813435929</v>
          </cell>
          <cell r="R1958">
            <v>0</v>
          </cell>
        </row>
        <row r="1959">
          <cell r="Q1959">
            <v>3.2550363038811674</v>
          </cell>
          <cell r="R1959">
            <v>0</v>
          </cell>
        </row>
        <row r="1960">
          <cell r="Q1960">
            <v>1.9616622813435929</v>
          </cell>
          <cell r="R1960">
            <v>0</v>
          </cell>
        </row>
        <row r="1961">
          <cell r="Q1961">
            <v>3.2550363038811674</v>
          </cell>
          <cell r="R1961">
            <v>0</v>
          </cell>
        </row>
        <row r="1962">
          <cell r="Q1962">
            <v>1.9616622813435929</v>
          </cell>
          <cell r="R1962">
            <v>0</v>
          </cell>
        </row>
        <row r="1963">
          <cell r="Q1963">
            <v>3.2550363038811674</v>
          </cell>
          <cell r="R1963">
            <v>0</v>
          </cell>
        </row>
        <row r="1964">
          <cell r="Q1964">
            <v>1.9616622813435929</v>
          </cell>
          <cell r="R1964">
            <v>0</v>
          </cell>
        </row>
        <row r="1965">
          <cell r="Q1965">
            <v>3.2550363038811674</v>
          </cell>
          <cell r="R1965">
            <v>0</v>
          </cell>
        </row>
        <row r="1966">
          <cell r="Q1966">
            <v>1.9616622813435929</v>
          </cell>
          <cell r="R1966">
            <v>0</v>
          </cell>
        </row>
        <row r="1967">
          <cell r="Q1967">
            <v>3.2550363038811674</v>
          </cell>
          <cell r="R1967">
            <v>0</v>
          </cell>
        </row>
        <row r="1968">
          <cell r="Q1968">
            <v>1.9616622813435929</v>
          </cell>
          <cell r="R1968">
            <v>0</v>
          </cell>
        </row>
        <row r="1969">
          <cell r="Q1969">
            <v>3.2550363038811674</v>
          </cell>
          <cell r="R1969">
            <v>0</v>
          </cell>
        </row>
        <row r="1970">
          <cell r="Q1970">
            <v>1.9616622813435929</v>
          </cell>
          <cell r="R1970">
            <v>0</v>
          </cell>
        </row>
        <row r="1971">
          <cell r="Q1971">
            <v>3.2847287673145189</v>
          </cell>
          <cell r="R1971">
            <v>0</v>
          </cell>
        </row>
        <row r="1972">
          <cell r="Q1972">
            <v>1.9616622813435929</v>
          </cell>
          <cell r="R1972">
            <v>0</v>
          </cell>
        </row>
        <row r="1973">
          <cell r="Q1973">
            <v>3.2550363038811674</v>
          </cell>
          <cell r="R1973">
            <v>0</v>
          </cell>
        </row>
        <row r="1974">
          <cell r="Q1974">
            <v>1.9616622813435929</v>
          </cell>
          <cell r="R1974">
            <v>0</v>
          </cell>
        </row>
        <row r="1975">
          <cell r="Q1975">
            <v>3.2550363038811674</v>
          </cell>
          <cell r="R1975">
            <v>0</v>
          </cell>
        </row>
        <row r="1976">
          <cell r="Q1976">
            <v>1.9616622813435929</v>
          </cell>
          <cell r="R1976">
            <v>0</v>
          </cell>
        </row>
        <row r="1977">
          <cell r="Q1977">
            <v>3.2773056514561811</v>
          </cell>
          <cell r="R1977">
            <v>0</v>
          </cell>
        </row>
        <row r="1978">
          <cell r="Q1978">
            <v>1.9616622813435929</v>
          </cell>
          <cell r="R1978">
            <v>0</v>
          </cell>
        </row>
        <row r="1979">
          <cell r="Q1979">
            <v>0</v>
          </cell>
          <cell r="R1979">
            <v>0</v>
          </cell>
        </row>
        <row r="1980">
          <cell r="Q1980">
            <v>0</v>
          </cell>
          <cell r="R1980">
            <v>0</v>
          </cell>
        </row>
        <row r="1981">
          <cell r="Q1981">
            <v>0</v>
          </cell>
          <cell r="R1981">
            <v>0</v>
          </cell>
        </row>
        <row r="1982">
          <cell r="Q1982">
            <v>0</v>
          </cell>
          <cell r="R1982">
            <v>0</v>
          </cell>
        </row>
        <row r="1983">
          <cell r="Q1983">
            <v>0</v>
          </cell>
          <cell r="R1983">
            <v>0</v>
          </cell>
        </row>
        <row r="1984">
          <cell r="Q1984">
            <v>0</v>
          </cell>
          <cell r="R1984">
            <v>0</v>
          </cell>
        </row>
        <row r="1985">
          <cell r="Q1985">
            <v>0</v>
          </cell>
          <cell r="R1985">
            <v>0</v>
          </cell>
        </row>
        <row r="1986">
          <cell r="Q1986">
            <v>0</v>
          </cell>
          <cell r="R1986">
            <v>0</v>
          </cell>
        </row>
        <row r="1987">
          <cell r="Q1987">
            <v>0</v>
          </cell>
          <cell r="R1987">
            <v>0</v>
          </cell>
        </row>
        <row r="1988">
          <cell r="Q1988">
            <v>0</v>
          </cell>
          <cell r="R1988">
            <v>0</v>
          </cell>
        </row>
        <row r="1989">
          <cell r="Q1989">
            <v>0</v>
          </cell>
          <cell r="R1989">
            <v>0</v>
          </cell>
        </row>
        <row r="1990">
          <cell r="Q1990">
            <v>0</v>
          </cell>
          <cell r="R1990">
            <v>0</v>
          </cell>
        </row>
        <row r="1991">
          <cell r="Q1991">
            <v>0</v>
          </cell>
          <cell r="R1991">
            <v>0</v>
          </cell>
        </row>
        <row r="1992">
          <cell r="Q1992">
            <v>0</v>
          </cell>
          <cell r="R1992">
            <v>0</v>
          </cell>
        </row>
        <row r="1993">
          <cell r="Q1993">
            <v>0</v>
          </cell>
          <cell r="R1993">
            <v>0</v>
          </cell>
        </row>
        <row r="1994">
          <cell r="Q1994">
            <v>0</v>
          </cell>
          <cell r="R1994">
            <v>0</v>
          </cell>
        </row>
        <row r="1995">
          <cell r="Q1995">
            <v>0</v>
          </cell>
          <cell r="R1995">
            <v>0</v>
          </cell>
        </row>
        <row r="1996">
          <cell r="Q1996">
            <v>0</v>
          </cell>
          <cell r="R1996">
            <v>0</v>
          </cell>
        </row>
        <row r="1997">
          <cell r="Q1997">
            <v>0</v>
          </cell>
          <cell r="R1997">
            <v>0</v>
          </cell>
        </row>
        <row r="1998">
          <cell r="Q1998">
            <v>0</v>
          </cell>
          <cell r="R1998">
            <v>0</v>
          </cell>
        </row>
        <row r="1999">
          <cell r="Q1999">
            <v>0</v>
          </cell>
          <cell r="R1999">
            <v>0</v>
          </cell>
        </row>
        <row r="2000">
          <cell r="Q2000">
            <v>0</v>
          </cell>
          <cell r="R2000">
            <v>0</v>
          </cell>
        </row>
        <row r="2001">
          <cell r="Q2001">
            <v>0</v>
          </cell>
          <cell r="R2001">
            <v>0</v>
          </cell>
        </row>
        <row r="2002">
          <cell r="Q2002">
            <v>0</v>
          </cell>
          <cell r="R2002">
            <v>0</v>
          </cell>
        </row>
        <row r="2003">
          <cell r="Q2003">
            <v>0</v>
          </cell>
          <cell r="R2003">
            <v>0</v>
          </cell>
        </row>
        <row r="2004">
          <cell r="Q2004">
            <v>0</v>
          </cell>
          <cell r="R2004">
            <v>0</v>
          </cell>
        </row>
        <row r="2005">
          <cell r="Q2005">
            <v>0</v>
          </cell>
          <cell r="R2005">
            <v>0</v>
          </cell>
        </row>
        <row r="2006">
          <cell r="Q2006">
            <v>0</v>
          </cell>
          <cell r="R2006">
            <v>0</v>
          </cell>
        </row>
        <row r="2007">
          <cell r="Q2007">
            <v>0</v>
          </cell>
          <cell r="R2007">
            <v>0</v>
          </cell>
        </row>
        <row r="2008">
          <cell r="Q2008">
            <v>0</v>
          </cell>
          <cell r="R2008">
            <v>0</v>
          </cell>
        </row>
        <row r="2009">
          <cell r="Q2009">
            <v>0</v>
          </cell>
          <cell r="R2009">
            <v>0</v>
          </cell>
        </row>
        <row r="2010">
          <cell r="Q2010">
            <v>0</v>
          </cell>
          <cell r="R2010">
            <v>0</v>
          </cell>
        </row>
        <row r="2011">
          <cell r="Q2011">
            <v>0</v>
          </cell>
          <cell r="R2011">
            <v>0</v>
          </cell>
        </row>
        <row r="2012">
          <cell r="Q2012">
            <v>0</v>
          </cell>
          <cell r="R2012">
            <v>0</v>
          </cell>
        </row>
        <row r="2013">
          <cell r="Q2013">
            <v>0</v>
          </cell>
          <cell r="R2013">
            <v>0</v>
          </cell>
        </row>
        <row r="2014">
          <cell r="Q2014">
            <v>0</v>
          </cell>
          <cell r="R2014">
            <v>0</v>
          </cell>
        </row>
        <row r="2015">
          <cell r="Q2015">
            <v>0</v>
          </cell>
          <cell r="R2015">
            <v>0</v>
          </cell>
        </row>
        <row r="2016">
          <cell r="Q2016">
            <v>0</v>
          </cell>
          <cell r="R2016">
            <v>0</v>
          </cell>
        </row>
        <row r="2017">
          <cell r="Q2017">
            <v>0</v>
          </cell>
          <cell r="R2017">
            <v>0</v>
          </cell>
        </row>
        <row r="2018">
          <cell r="Q2018">
            <v>0</v>
          </cell>
          <cell r="R2018">
            <v>0</v>
          </cell>
        </row>
        <row r="2019">
          <cell r="Q2019">
            <v>0</v>
          </cell>
          <cell r="R2019">
            <v>0</v>
          </cell>
        </row>
        <row r="2020">
          <cell r="Q2020">
            <v>0</v>
          </cell>
          <cell r="R2020">
            <v>0</v>
          </cell>
        </row>
        <row r="2021">
          <cell r="Q2021">
            <v>0</v>
          </cell>
          <cell r="R2021">
            <v>0</v>
          </cell>
        </row>
        <row r="2022">
          <cell r="Q2022">
            <v>0</v>
          </cell>
          <cell r="R2022">
            <v>0</v>
          </cell>
        </row>
        <row r="2023">
          <cell r="Q2023">
            <v>0</v>
          </cell>
          <cell r="R2023">
            <v>0</v>
          </cell>
        </row>
        <row r="2024">
          <cell r="Q2024">
            <v>0</v>
          </cell>
          <cell r="R2024">
            <v>0</v>
          </cell>
        </row>
        <row r="2025">
          <cell r="Q2025">
            <v>0</v>
          </cell>
          <cell r="R2025">
            <v>0</v>
          </cell>
        </row>
        <row r="2026">
          <cell r="Q2026">
            <v>0</v>
          </cell>
          <cell r="R2026">
            <v>0</v>
          </cell>
        </row>
        <row r="2027">
          <cell r="Q2027">
            <v>0</v>
          </cell>
          <cell r="R2027">
            <v>0</v>
          </cell>
        </row>
        <row r="2028">
          <cell r="Q2028">
            <v>0</v>
          </cell>
          <cell r="R2028">
            <v>0</v>
          </cell>
        </row>
        <row r="2029">
          <cell r="Q2029">
            <v>0</v>
          </cell>
          <cell r="R2029">
            <v>0</v>
          </cell>
        </row>
        <row r="2030">
          <cell r="Q2030">
            <v>0</v>
          </cell>
          <cell r="R2030">
            <v>0</v>
          </cell>
        </row>
        <row r="2031">
          <cell r="Q2031">
            <v>0</v>
          </cell>
          <cell r="R2031">
            <v>0</v>
          </cell>
        </row>
        <row r="2032">
          <cell r="Q2032">
            <v>0</v>
          </cell>
          <cell r="R2032">
            <v>0</v>
          </cell>
        </row>
        <row r="2033">
          <cell r="Q2033">
            <v>0</v>
          </cell>
          <cell r="R2033">
            <v>0</v>
          </cell>
        </row>
        <row r="2034">
          <cell r="Q2034">
            <v>0</v>
          </cell>
          <cell r="R2034">
            <v>0</v>
          </cell>
        </row>
        <row r="2035">
          <cell r="Q2035">
            <v>0</v>
          </cell>
          <cell r="R2035">
            <v>0</v>
          </cell>
        </row>
        <row r="2036">
          <cell r="Q2036">
            <v>0</v>
          </cell>
          <cell r="R2036">
            <v>0</v>
          </cell>
        </row>
        <row r="2037">
          <cell r="Q2037">
            <v>0</v>
          </cell>
          <cell r="R2037">
            <v>0</v>
          </cell>
        </row>
        <row r="2038">
          <cell r="Q2038">
            <v>0</v>
          </cell>
          <cell r="R2038">
            <v>0</v>
          </cell>
        </row>
        <row r="2039">
          <cell r="Q2039">
            <v>0</v>
          </cell>
          <cell r="R2039">
            <v>0</v>
          </cell>
        </row>
        <row r="2040">
          <cell r="Q2040">
            <v>0</v>
          </cell>
          <cell r="R2040">
            <v>0</v>
          </cell>
        </row>
        <row r="2041">
          <cell r="Q2041">
            <v>0</v>
          </cell>
          <cell r="R2041">
            <v>0</v>
          </cell>
        </row>
        <row r="2042">
          <cell r="Q2042">
            <v>0</v>
          </cell>
          <cell r="R2042">
            <v>0</v>
          </cell>
        </row>
        <row r="2043">
          <cell r="Q2043">
            <v>0</v>
          </cell>
          <cell r="R2043">
            <v>0</v>
          </cell>
        </row>
        <row r="2044">
          <cell r="Q2044">
            <v>0</v>
          </cell>
          <cell r="R2044">
            <v>0</v>
          </cell>
        </row>
        <row r="2045">
          <cell r="Q2045">
            <v>0</v>
          </cell>
          <cell r="R2045">
            <v>0</v>
          </cell>
        </row>
        <row r="2046">
          <cell r="Q2046">
            <v>0</v>
          </cell>
          <cell r="R2046">
            <v>0</v>
          </cell>
        </row>
        <row r="2047">
          <cell r="Q2047">
            <v>0</v>
          </cell>
          <cell r="R2047">
            <v>0</v>
          </cell>
        </row>
        <row r="2048">
          <cell r="Q2048">
            <v>0</v>
          </cell>
          <cell r="R2048">
            <v>0</v>
          </cell>
        </row>
        <row r="2049">
          <cell r="Q2049">
            <v>0</v>
          </cell>
          <cell r="R2049">
            <v>0</v>
          </cell>
        </row>
        <row r="2050">
          <cell r="Q2050">
            <v>0</v>
          </cell>
          <cell r="R2050">
            <v>0</v>
          </cell>
        </row>
        <row r="2051">
          <cell r="Q2051">
            <v>0</v>
          </cell>
          <cell r="R2051">
            <v>0</v>
          </cell>
        </row>
        <row r="2052">
          <cell r="Q2052">
            <v>0</v>
          </cell>
          <cell r="R2052">
            <v>0</v>
          </cell>
        </row>
        <row r="2053">
          <cell r="Q2053">
            <v>14.911555136229172</v>
          </cell>
          <cell r="R2053">
            <v>0</v>
          </cell>
        </row>
        <row r="2054">
          <cell r="Q2054">
            <v>0</v>
          </cell>
          <cell r="R2054">
            <v>0</v>
          </cell>
        </row>
        <row r="2055">
          <cell r="Q2055">
            <v>0</v>
          </cell>
          <cell r="R2055">
            <v>0</v>
          </cell>
        </row>
        <row r="2056">
          <cell r="Q2056">
            <v>0</v>
          </cell>
          <cell r="R2056">
            <v>0</v>
          </cell>
        </row>
        <row r="2057">
          <cell r="Q2057">
            <v>0</v>
          </cell>
          <cell r="R2057">
            <v>0</v>
          </cell>
        </row>
        <row r="2058">
          <cell r="Q2058">
            <v>0</v>
          </cell>
          <cell r="R2058">
            <v>0</v>
          </cell>
        </row>
        <row r="2059">
          <cell r="Q2059">
            <v>0</v>
          </cell>
          <cell r="R2059">
            <v>0</v>
          </cell>
        </row>
        <row r="2060">
          <cell r="Q2060">
            <v>0</v>
          </cell>
          <cell r="R2060">
            <v>0</v>
          </cell>
        </row>
        <row r="2061">
          <cell r="Q2061">
            <v>0</v>
          </cell>
          <cell r="R2061">
            <v>0</v>
          </cell>
        </row>
        <row r="2062">
          <cell r="Q2062">
            <v>0</v>
          </cell>
          <cell r="R2062">
            <v>0</v>
          </cell>
        </row>
        <row r="2063">
          <cell r="Q2063">
            <v>0</v>
          </cell>
          <cell r="R2063">
            <v>0</v>
          </cell>
        </row>
        <row r="2064">
          <cell r="Q2064">
            <v>0</v>
          </cell>
          <cell r="R2064">
            <v>0</v>
          </cell>
        </row>
        <row r="2065">
          <cell r="Q2065">
            <v>0</v>
          </cell>
          <cell r="R2065">
            <v>0</v>
          </cell>
        </row>
        <row r="2066">
          <cell r="Q2066">
            <v>0</v>
          </cell>
          <cell r="R2066">
            <v>0</v>
          </cell>
        </row>
        <row r="2067">
          <cell r="Q2067">
            <v>0</v>
          </cell>
          <cell r="R2067">
            <v>0</v>
          </cell>
        </row>
        <row r="2068">
          <cell r="Q2068">
            <v>0</v>
          </cell>
          <cell r="R2068">
            <v>0</v>
          </cell>
        </row>
        <row r="2069">
          <cell r="Q2069">
            <v>0</v>
          </cell>
          <cell r="R2069">
            <v>0</v>
          </cell>
        </row>
        <row r="2070">
          <cell r="Q2070">
            <v>0</v>
          </cell>
          <cell r="R2070">
            <v>0</v>
          </cell>
        </row>
        <row r="2071">
          <cell r="Q2071">
            <v>0</v>
          </cell>
          <cell r="R2071">
            <v>0</v>
          </cell>
        </row>
        <row r="2072">
          <cell r="Q2072">
            <v>0</v>
          </cell>
          <cell r="R2072">
            <v>0</v>
          </cell>
        </row>
        <row r="2073">
          <cell r="Q2073">
            <v>0</v>
          </cell>
          <cell r="R2073">
            <v>0</v>
          </cell>
        </row>
        <row r="2074">
          <cell r="Q2074">
            <v>0</v>
          </cell>
          <cell r="R2074">
            <v>0</v>
          </cell>
        </row>
        <row r="2075">
          <cell r="Q2075">
            <v>0</v>
          </cell>
          <cell r="R2075">
            <v>0</v>
          </cell>
        </row>
        <row r="2076">
          <cell r="Q2076">
            <v>0</v>
          </cell>
          <cell r="R2076">
            <v>0</v>
          </cell>
        </row>
        <row r="2077">
          <cell r="Q2077">
            <v>0</v>
          </cell>
          <cell r="R2077">
            <v>0</v>
          </cell>
        </row>
        <row r="2078">
          <cell r="Q2078">
            <v>0</v>
          </cell>
          <cell r="R2078">
            <v>0</v>
          </cell>
        </row>
        <row r="2079">
          <cell r="Q2079">
            <v>0</v>
          </cell>
          <cell r="R2079">
            <v>0</v>
          </cell>
        </row>
        <row r="2080">
          <cell r="Q2080">
            <v>0</v>
          </cell>
          <cell r="R2080">
            <v>0</v>
          </cell>
        </row>
        <row r="2081">
          <cell r="Q2081">
            <v>0</v>
          </cell>
          <cell r="R2081">
            <v>0</v>
          </cell>
        </row>
        <row r="2082">
          <cell r="Q2082">
            <v>0</v>
          </cell>
          <cell r="R2082">
            <v>0</v>
          </cell>
        </row>
        <row r="2083">
          <cell r="Q2083">
            <v>0</v>
          </cell>
          <cell r="R2083">
            <v>0</v>
          </cell>
        </row>
        <row r="2084">
          <cell r="Q2084">
            <v>0</v>
          </cell>
          <cell r="R2084">
            <v>0</v>
          </cell>
        </row>
        <row r="2085">
          <cell r="Q2085">
            <v>0</v>
          </cell>
          <cell r="R2085">
            <v>0</v>
          </cell>
        </row>
        <row r="2086">
          <cell r="Q2086">
            <v>0</v>
          </cell>
          <cell r="R2086">
            <v>0</v>
          </cell>
        </row>
        <row r="2087">
          <cell r="Q2087">
            <v>0</v>
          </cell>
          <cell r="R2087">
            <v>0</v>
          </cell>
        </row>
        <row r="2088">
          <cell r="Q2088">
            <v>0</v>
          </cell>
          <cell r="R2088">
            <v>0</v>
          </cell>
        </row>
        <row r="2089">
          <cell r="Q2089">
            <v>0</v>
          </cell>
          <cell r="R2089">
            <v>0</v>
          </cell>
        </row>
        <row r="2090">
          <cell r="Q2090">
            <v>0</v>
          </cell>
          <cell r="R2090">
            <v>0</v>
          </cell>
        </row>
        <row r="2091">
          <cell r="Q2091">
            <v>0</v>
          </cell>
          <cell r="R2091">
            <v>0</v>
          </cell>
        </row>
        <row r="2092">
          <cell r="Q2092">
            <v>0</v>
          </cell>
          <cell r="R2092">
            <v>0</v>
          </cell>
        </row>
        <row r="2093">
          <cell r="Q2093">
            <v>0</v>
          </cell>
          <cell r="R2093">
            <v>0</v>
          </cell>
        </row>
        <row r="2094">
          <cell r="Q2094">
            <v>0</v>
          </cell>
          <cell r="R2094">
            <v>0</v>
          </cell>
        </row>
        <row r="2095">
          <cell r="Q2095">
            <v>0</v>
          </cell>
          <cell r="R2095">
            <v>0</v>
          </cell>
        </row>
        <row r="2096">
          <cell r="Q2096">
            <v>0</v>
          </cell>
          <cell r="R2096">
            <v>0</v>
          </cell>
        </row>
        <row r="2097">
          <cell r="Q2097">
            <v>0</v>
          </cell>
          <cell r="R2097">
            <v>0</v>
          </cell>
        </row>
        <row r="2098">
          <cell r="Q2098">
            <v>0</v>
          </cell>
          <cell r="R2098">
            <v>0</v>
          </cell>
        </row>
        <row r="2099">
          <cell r="Q2099">
            <v>0</v>
          </cell>
          <cell r="R2099">
            <v>0</v>
          </cell>
        </row>
        <row r="2100">
          <cell r="Q2100">
            <v>0</v>
          </cell>
          <cell r="R2100">
            <v>0</v>
          </cell>
        </row>
        <row r="2101">
          <cell r="Q2101">
            <v>0</v>
          </cell>
          <cell r="R2101">
            <v>0</v>
          </cell>
        </row>
        <row r="2102">
          <cell r="Q2102">
            <v>0</v>
          </cell>
          <cell r="R2102">
            <v>0</v>
          </cell>
        </row>
        <row r="2103">
          <cell r="Q2103">
            <v>0</v>
          </cell>
          <cell r="R2103">
            <v>0</v>
          </cell>
        </row>
        <row r="2104">
          <cell r="Q2104">
            <v>0</v>
          </cell>
          <cell r="R2104">
            <v>0</v>
          </cell>
        </row>
        <row r="2105">
          <cell r="Q2105">
            <v>0</v>
          </cell>
          <cell r="R2105">
            <v>0</v>
          </cell>
        </row>
        <row r="2106">
          <cell r="Q2106">
            <v>0</v>
          </cell>
          <cell r="R2106">
            <v>0</v>
          </cell>
        </row>
        <row r="2107">
          <cell r="Q2107">
            <v>0</v>
          </cell>
          <cell r="R2107">
            <v>0</v>
          </cell>
        </row>
        <row r="2108">
          <cell r="Q2108">
            <v>0</v>
          </cell>
          <cell r="R2108">
            <v>0</v>
          </cell>
        </row>
        <row r="2109">
          <cell r="Q2109">
            <v>0</v>
          </cell>
          <cell r="R2109">
            <v>0</v>
          </cell>
        </row>
        <row r="2110">
          <cell r="Q2110">
            <v>0</v>
          </cell>
          <cell r="R2110">
            <v>0</v>
          </cell>
        </row>
        <row r="2111">
          <cell r="Q2111">
            <v>0</v>
          </cell>
          <cell r="R2111">
            <v>0</v>
          </cell>
        </row>
        <row r="2112">
          <cell r="Q2112">
            <v>0</v>
          </cell>
          <cell r="R2112">
            <v>0</v>
          </cell>
        </row>
        <row r="2113">
          <cell r="Q2113">
            <v>0</v>
          </cell>
          <cell r="R2113">
            <v>0</v>
          </cell>
        </row>
        <row r="2114">
          <cell r="Q2114">
            <v>0</v>
          </cell>
          <cell r="R2114">
            <v>0</v>
          </cell>
        </row>
        <row r="2115">
          <cell r="Q2115">
            <v>0</v>
          </cell>
          <cell r="R2115">
            <v>0</v>
          </cell>
        </row>
        <row r="2116">
          <cell r="Q2116">
            <v>0</v>
          </cell>
          <cell r="R2116">
            <v>0</v>
          </cell>
        </row>
        <row r="2117">
          <cell r="Q2117">
            <v>0</v>
          </cell>
          <cell r="R2117">
            <v>0</v>
          </cell>
        </row>
        <row r="2118">
          <cell r="Q2118">
            <v>0</v>
          </cell>
          <cell r="R2118">
            <v>0</v>
          </cell>
        </row>
        <row r="2119">
          <cell r="Q2119">
            <v>0</v>
          </cell>
          <cell r="R2119">
            <v>0</v>
          </cell>
        </row>
        <row r="2120">
          <cell r="Q2120">
            <v>0</v>
          </cell>
          <cell r="R2120">
            <v>0</v>
          </cell>
        </row>
        <row r="2121">
          <cell r="Q2121">
            <v>0</v>
          </cell>
          <cell r="R2121">
            <v>0</v>
          </cell>
        </row>
        <row r="2122">
          <cell r="Q2122">
            <v>0</v>
          </cell>
          <cell r="R2122">
            <v>0</v>
          </cell>
        </row>
        <row r="2123">
          <cell r="Q2123">
            <v>0</v>
          </cell>
          <cell r="R2123">
            <v>0</v>
          </cell>
        </row>
        <row r="2124">
          <cell r="Q2124">
            <v>0</v>
          </cell>
          <cell r="R2124">
            <v>0</v>
          </cell>
        </row>
        <row r="2125">
          <cell r="Q2125">
            <v>0</v>
          </cell>
          <cell r="R2125">
            <v>0</v>
          </cell>
        </row>
        <row r="2126">
          <cell r="Q2126">
            <v>0</v>
          </cell>
          <cell r="R2126">
            <v>0</v>
          </cell>
        </row>
        <row r="2127">
          <cell r="Q2127">
            <v>0</v>
          </cell>
          <cell r="R2127">
            <v>0</v>
          </cell>
        </row>
        <row r="2128">
          <cell r="Q2128">
            <v>0</v>
          </cell>
          <cell r="R2128">
            <v>0</v>
          </cell>
        </row>
        <row r="2129">
          <cell r="Q2129">
            <v>3.5118568385603188</v>
          </cell>
          <cell r="R2129">
            <v>0</v>
          </cell>
        </row>
        <row r="2130">
          <cell r="Q2130">
            <v>0</v>
          </cell>
          <cell r="R2130">
            <v>0</v>
          </cell>
        </row>
        <row r="2131">
          <cell r="Q2131">
            <v>0</v>
          </cell>
          <cell r="R2131">
            <v>0</v>
          </cell>
        </row>
        <row r="2132">
          <cell r="Q2132">
            <v>0</v>
          </cell>
          <cell r="R2132">
            <v>0</v>
          </cell>
        </row>
        <row r="2133">
          <cell r="Q2133">
            <v>0</v>
          </cell>
          <cell r="R2133">
            <v>0</v>
          </cell>
        </row>
        <row r="2134">
          <cell r="Q2134">
            <v>0</v>
          </cell>
          <cell r="R2134">
            <v>0</v>
          </cell>
        </row>
        <row r="2135">
          <cell r="Q2135">
            <v>0</v>
          </cell>
          <cell r="R2135">
            <v>0</v>
          </cell>
        </row>
        <row r="2136">
          <cell r="Q2136">
            <v>0</v>
          </cell>
          <cell r="R2136">
            <v>0</v>
          </cell>
        </row>
        <row r="2137">
          <cell r="Q2137">
            <v>0</v>
          </cell>
          <cell r="R2137">
            <v>0</v>
          </cell>
        </row>
        <row r="2138">
          <cell r="Q2138">
            <v>0</v>
          </cell>
          <cell r="R2138">
            <v>0</v>
          </cell>
        </row>
        <row r="2139">
          <cell r="Q2139">
            <v>0</v>
          </cell>
          <cell r="R2139">
            <v>0</v>
          </cell>
        </row>
        <row r="2140">
          <cell r="Q2140">
            <v>0</v>
          </cell>
          <cell r="R2140">
            <v>0</v>
          </cell>
        </row>
        <row r="2141">
          <cell r="Q2141">
            <v>0</v>
          </cell>
          <cell r="R2141">
            <v>0</v>
          </cell>
        </row>
        <row r="2142">
          <cell r="Q2142">
            <v>9.9608906836627096</v>
          </cell>
          <cell r="R2142">
            <v>0</v>
          </cell>
        </row>
        <row r="2143">
          <cell r="Q2143">
            <v>0</v>
          </cell>
          <cell r="R2143">
            <v>0</v>
          </cell>
        </row>
        <row r="2144">
          <cell r="Q2144">
            <v>22.868055555555554</v>
          </cell>
          <cell r="R2144">
            <v>0</v>
          </cell>
        </row>
        <row r="2145">
          <cell r="Q2145">
            <v>0</v>
          </cell>
          <cell r="R2145">
            <v>0</v>
          </cell>
        </row>
        <row r="2146">
          <cell r="Q2146">
            <v>0</v>
          </cell>
          <cell r="R2146">
            <v>0</v>
          </cell>
        </row>
        <row r="2147">
          <cell r="Q2147">
            <v>0</v>
          </cell>
          <cell r="R2147">
            <v>0</v>
          </cell>
        </row>
        <row r="2148">
          <cell r="Q2148">
            <v>0</v>
          </cell>
          <cell r="R2148">
            <v>0</v>
          </cell>
        </row>
        <row r="2149">
          <cell r="Q2149">
            <v>0</v>
          </cell>
          <cell r="R2149">
            <v>0</v>
          </cell>
        </row>
        <row r="2150">
          <cell r="Q2150">
            <v>13.340157207736166</v>
          </cell>
          <cell r="R2150">
            <v>0</v>
          </cell>
        </row>
        <row r="2151">
          <cell r="Q2151">
            <v>0</v>
          </cell>
          <cell r="R2151">
            <v>0</v>
          </cell>
        </row>
        <row r="2152">
          <cell r="Q2152">
            <v>0</v>
          </cell>
          <cell r="R2152">
            <v>0</v>
          </cell>
        </row>
        <row r="2153">
          <cell r="Q2153">
            <v>0</v>
          </cell>
          <cell r="R2153">
            <v>0</v>
          </cell>
        </row>
        <row r="2154">
          <cell r="Q2154">
            <v>0</v>
          </cell>
          <cell r="R2154">
            <v>0</v>
          </cell>
        </row>
        <row r="2155">
          <cell r="Q2155">
            <v>0</v>
          </cell>
          <cell r="R2155">
            <v>0</v>
          </cell>
        </row>
        <row r="2156">
          <cell r="Q2156">
            <v>18.497324993035011</v>
          </cell>
          <cell r="R2156">
            <v>0</v>
          </cell>
        </row>
        <row r="2157">
          <cell r="Q2157">
            <v>9.6757353605172192</v>
          </cell>
          <cell r="R2157">
            <v>0</v>
          </cell>
        </row>
        <row r="2158">
          <cell r="Q2158">
            <v>16.631558563477501</v>
          </cell>
          <cell r="R2158">
            <v>0</v>
          </cell>
        </row>
        <row r="2159">
          <cell r="Q2159">
            <v>0</v>
          </cell>
          <cell r="R2159">
            <v>0</v>
          </cell>
        </row>
        <row r="2160">
          <cell r="Q2160">
            <v>0</v>
          </cell>
          <cell r="R2160">
            <v>0</v>
          </cell>
        </row>
        <row r="2161">
          <cell r="Q2161">
            <v>0</v>
          </cell>
          <cell r="R2161">
            <v>0</v>
          </cell>
        </row>
        <row r="2162">
          <cell r="Q2162">
            <v>9.6446569814149168</v>
          </cell>
          <cell r="R2162">
            <v>0</v>
          </cell>
        </row>
        <row r="2163">
          <cell r="Q2163">
            <v>19.517666009199278</v>
          </cell>
          <cell r="R2163">
            <v>0</v>
          </cell>
        </row>
        <row r="2164">
          <cell r="Q2164">
            <v>0</v>
          </cell>
          <cell r="R2164">
            <v>0</v>
          </cell>
        </row>
        <row r="2165">
          <cell r="Q2165">
            <v>0</v>
          </cell>
          <cell r="R2165">
            <v>0</v>
          </cell>
        </row>
        <row r="2166">
          <cell r="Q2166">
            <v>0</v>
          </cell>
          <cell r="R2166">
            <v>0</v>
          </cell>
        </row>
        <row r="2167">
          <cell r="Q2167">
            <v>0</v>
          </cell>
          <cell r="R2167">
            <v>0</v>
          </cell>
        </row>
        <row r="2168">
          <cell r="Q2168">
            <v>0</v>
          </cell>
          <cell r="R2168">
            <v>0</v>
          </cell>
        </row>
        <row r="2169">
          <cell r="Q2169">
            <v>0</v>
          </cell>
          <cell r="R2169">
            <v>0</v>
          </cell>
        </row>
        <row r="2170">
          <cell r="Q2170">
            <v>0</v>
          </cell>
          <cell r="R2170">
            <v>0</v>
          </cell>
        </row>
        <row r="2171">
          <cell r="Q2171">
            <v>0</v>
          </cell>
          <cell r="R2171">
            <v>0</v>
          </cell>
        </row>
        <row r="2172">
          <cell r="Q2172">
            <v>0</v>
          </cell>
          <cell r="R2172">
            <v>0</v>
          </cell>
        </row>
        <row r="2173">
          <cell r="Q2173">
            <v>0</v>
          </cell>
          <cell r="R2173">
            <v>0</v>
          </cell>
        </row>
        <row r="2174">
          <cell r="Q2174">
            <v>0</v>
          </cell>
          <cell r="R2174">
            <v>0</v>
          </cell>
        </row>
        <row r="2175">
          <cell r="Q2175">
            <v>0</v>
          </cell>
          <cell r="R2175">
            <v>0</v>
          </cell>
        </row>
        <row r="2176">
          <cell r="Q2176">
            <v>0</v>
          </cell>
          <cell r="R2176">
            <v>0</v>
          </cell>
        </row>
        <row r="2177">
          <cell r="Q2177">
            <v>0</v>
          </cell>
          <cell r="R2177">
            <v>0</v>
          </cell>
        </row>
        <row r="2178">
          <cell r="Q2178">
            <v>0</v>
          </cell>
          <cell r="R2178">
            <v>0</v>
          </cell>
        </row>
        <row r="2179">
          <cell r="Q2179">
            <v>0</v>
          </cell>
          <cell r="R2179">
            <v>0</v>
          </cell>
        </row>
        <row r="2180">
          <cell r="Q2180">
            <v>0</v>
          </cell>
          <cell r="R2180">
            <v>0</v>
          </cell>
        </row>
        <row r="2181">
          <cell r="Q2181">
            <v>0</v>
          </cell>
          <cell r="R2181">
            <v>0</v>
          </cell>
        </row>
        <row r="2182">
          <cell r="Q2182">
            <v>0</v>
          </cell>
          <cell r="R2182">
            <v>0</v>
          </cell>
        </row>
        <row r="2183">
          <cell r="Q2183">
            <v>0</v>
          </cell>
          <cell r="R2183">
            <v>0</v>
          </cell>
        </row>
        <row r="2184">
          <cell r="Q2184">
            <v>0</v>
          </cell>
          <cell r="R2184">
            <v>0</v>
          </cell>
        </row>
        <row r="2185">
          <cell r="Q2185">
            <v>0</v>
          </cell>
          <cell r="R2185">
            <v>0</v>
          </cell>
        </row>
        <row r="2186">
          <cell r="Q2186">
            <v>0</v>
          </cell>
          <cell r="R2186">
            <v>0</v>
          </cell>
        </row>
        <row r="2187">
          <cell r="Q2187">
            <v>0</v>
          </cell>
          <cell r="R2187">
            <v>0</v>
          </cell>
        </row>
        <row r="2188">
          <cell r="Q2188">
            <v>0</v>
          </cell>
          <cell r="R2188">
            <v>0</v>
          </cell>
        </row>
        <row r="2189">
          <cell r="Q2189">
            <v>0</v>
          </cell>
          <cell r="R2189">
            <v>0</v>
          </cell>
        </row>
        <row r="2190">
          <cell r="Q2190">
            <v>0</v>
          </cell>
          <cell r="R2190">
            <v>0</v>
          </cell>
        </row>
        <row r="2191">
          <cell r="Q2191">
            <v>1.2992828097210811</v>
          </cell>
          <cell r="R2191">
            <v>0</v>
          </cell>
        </row>
        <row r="2192">
          <cell r="Q2192">
            <v>0</v>
          </cell>
          <cell r="R2192">
            <v>0</v>
          </cell>
        </row>
        <row r="2193">
          <cell r="Q2193">
            <v>0</v>
          </cell>
          <cell r="R2193">
            <v>0</v>
          </cell>
        </row>
        <row r="2194">
          <cell r="Q2194">
            <v>0</v>
          </cell>
          <cell r="R2194">
            <v>0</v>
          </cell>
        </row>
        <row r="2195">
          <cell r="Q2195">
            <v>0</v>
          </cell>
          <cell r="R2195">
            <v>0</v>
          </cell>
        </row>
        <row r="2196">
          <cell r="Q2196">
            <v>0</v>
          </cell>
          <cell r="R2196">
            <v>0</v>
          </cell>
        </row>
        <row r="2197">
          <cell r="Q2197">
            <v>0</v>
          </cell>
          <cell r="R2197">
            <v>0</v>
          </cell>
        </row>
        <row r="2198">
          <cell r="Q2198">
            <v>0</v>
          </cell>
          <cell r="R2198">
            <v>0</v>
          </cell>
        </row>
        <row r="2199">
          <cell r="Q2199">
            <v>0</v>
          </cell>
          <cell r="R2199">
            <v>0</v>
          </cell>
        </row>
        <row r="2200">
          <cell r="Q2200">
            <v>0</v>
          </cell>
          <cell r="R2200">
            <v>0</v>
          </cell>
        </row>
        <row r="2201">
          <cell r="Q2201">
            <v>0</v>
          </cell>
          <cell r="R2201">
            <v>0</v>
          </cell>
        </row>
        <row r="2202">
          <cell r="Q2202">
            <v>0</v>
          </cell>
          <cell r="R2202">
            <v>0</v>
          </cell>
        </row>
        <row r="2203">
          <cell r="Q2203">
            <v>0</v>
          </cell>
          <cell r="R2203">
            <v>0</v>
          </cell>
        </row>
        <row r="2204">
          <cell r="Q2204">
            <v>0</v>
          </cell>
          <cell r="R2204">
            <v>0</v>
          </cell>
        </row>
        <row r="2205">
          <cell r="Q2205">
            <v>0</v>
          </cell>
          <cell r="R2205">
            <v>0</v>
          </cell>
        </row>
        <row r="2206">
          <cell r="Q2206">
            <v>0</v>
          </cell>
          <cell r="R2206">
            <v>0</v>
          </cell>
        </row>
        <row r="2207">
          <cell r="Q2207">
            <v>0</v>
          </cell>
          <cell r="R2207">
            <v>0</v>
          </cell>
        </row>
        <row r="2208">
          <cell r="Q2208">
            <v>0</v>
          </cell>
          <cell r="R2208">
            <v>0</v>
          </cell>
        </row>
        <row r="2209">
          <cell r="Q2209">
            <v>0</v>
          </cell>
          <cell r="R2209">
            <v>0</v>
          </cell>
        </row>
        <row r="2210">
          <cell r="Q2210">
            <v>1.3757112102929094</v>
          </cell>
          <cell r="R2210">
            <v>0</v>
          </cell>
        </row>
        <row r="2211">
          <cell r="Q2211">
            <v>0</v>
          </cell>
          <cell r="R2211">
            <v>0</v>
          </cell>
        </row>
        <row r="2212">
          <cell r="Q2212">
            <v>0</v>
          </cell>
          <cell r="R2212">
            <v>0</v>
          </cell>
        </row>
        <row r="2213">
          <cell r="Q2213">
            <v>0</v>
          </cell>
          <cell r="R2213">
            <v>0</v>
          </cell>
        </row>
        <row r="2214">
          <cell r="Q2214">
            <v>0</v>
          </cell>
          <cell r="R2214">
            <v>0</v>
          </cell>
        </row>
        <row r="2215">
          <cell r="Q2215">
            <v>0</v>
          </cell>
          <cell r="R2215">
            <v>0</v>
          </cell>
        </row>
        <row r="2216">
          <cell r="Q2216">
            <v>0</v>
          </cell>
          <cell r="R2216">
            <v>0</v>
          </cell>
        </row>
        <row r="2217">
          <cell r="Q2217">
            <v>0</v>
          </cell>
          <cell r="R2217">
            <v>0</v>
          </cell>
        </row>
        <row r="2218">
          <cell r="Q2218">
            <v>0</v>
          </cell>
          <cell r="R2218">
            <v>0</v>
          </cell>
        </row>
        <row r="2219">
          <cell r="Q2219">
            <v>18.27868048957124</v>
          </cell>
          <cell r="R2219">
            <v>0</v>
          </cell>
        </row>
        <row r="2220">
          <cell r="Q2220">
            <v>0</v>
          </cell>
          <cell r="R2220">
            <v>0</v>
          </cell>
        </row>
        <row r="2221">
          <cell r="Q2221">
            <v>0</v>
          </cell>
          <cell r="R2221">
            <v>0</v>
          </cell>
        </row>
        <row r="2222">
          <cell r="Q2222">
            <v>0</v>
          </cell>
          <cell r="R2222">
            <v>0</v>
          </cell>
        </row>
        <row r="2223">
          <cell r="Q2223">
            <v>0</v>
          </cell>
          <cell r="R2223">
            <v>0</v>
          </cell>
        </row>
        <row r="2224">
          <cell r="Q2224">
            <v>0</v>
          </cell>
          <cell r="R2224">
            <v>0</v>
          </cell>
        </row>
        <row r="2225">
          <cell r="Q2225">
            <v>0</v>
          </cell>
          <cell r="R2225">
            <v>0</v>
          </cell>
        </row>
        <row r="2226">
          <cell r="Q2226">
            <v>0</v>
          </cell>
          <cell r="R2226">
            <v>0</v>
          </cell>
        </row>
        <row r="2227">
          <cell r="Q2227">
            <v>0</v>
          </cell>
          <cell r="R2227">
            <v>0</v>
          </cell>
        </row>
        <row r="2228">
          <cell r="Q2228">
            <v>0</v>
          </cell>
          <cell r="R2228">
            <v>0</v>
          </cell>
        </row>
        <row r="2229">
          <cell r="Q2229">
            <v>0</v>
          </cell>
          <cell r="R2229">
            <v>0</v>
          </cell>
        </row>
        <row r="2230">
          <cell r="Q2230">
            <v>0</v>
          </cell>
          <cell r="R2230">
            <v>0</v>
          </cell>
        </row>
        <row r="2231">
          <cell r="Q2231">
            <v>0</v>
          </cell>
          <cell r="R2231">
            <v>0</v>
          </cell>
        </row>
        <row r="2232">
          <cell r="Q2232">
            <v>0</v>
          </cell>
          <cell r="R2232">
            <v>0</v>
          </cell>
        </row>
        <row r="2233">
          <cell r="Q2233">
            <v>0</v>
          </cell>
          <cell r="R2233">
            <v>0</v>
          </cell>
        </row>
        <row r="2234">
          <cell r="Q2234">
            <v>0</v>
          </cell>
          <cell r="R2234">
            <v>0</v>
          </cell>
        </row>
        <row r="2235">
          <cell r="Q2235">
            <v>0</v>
          </cell>
          <cell r="R2235">
            <v>0</v>
          </cell>
        </row>
        <row r="2236">
          <cell r="Q2236">
            <v>0</v>
          </cell>
          <cell r="R2236">
            <v>0</v>
          </cell>
        </row>
        <row r="2237">
          <cell r="Q2237">
            <v>0</v>
          </cell>
          <cell r="R2237">
            <v>0</v>
          </cell>
        </row>
        <row r="2238">
          <cell r="Q2238">
            <v>0</v>
          </cell>
          <cell r="R2238">
            <v>0</v>
          </cell>
        </row>
        <row r="2239">
          <cell r="Q2239">
            <v>0</v>
          </cell>
          <cell r="R2239">
            <v>0</v>
          </cell>
        </row>
        <row r="2240">
          <cell r="Q2240">
            <v>0</v>
          </cell>
          <cell r="R2240">
            <v>0</v>
          </cell>
        </row>
        <row r="2241">
          <cell r="Q2241">
            <v>0</v>
          </cell>
          <cell r="R2241">
            <v>0</v>
          </cell>
        </row>
        <row r="2242">
          <cell r="Q2242">
            <v>0</v>
          </cell>
          <cell r="R2242">
            <v>0</v>
          </cell>
        </row>
        <row r="2243">
          <cell r="Q2243">
            <v>0</v>
          </cell>
          <cell r="R2243">
            <v>0</v>
          </cell>
        </row>
        <row r="2244">
          <cell r="Q2244">
            <v>0</v>
          </cell>
          <cell r="R2244">
            <v>0</v>
          </cell>
        </row>
        <row r="2245">
          <cell r="Q2245">
            <v>0</v>
          </cell>
          <cell r="R2245">
            <v>0</v>
          </cell>
        </row>
        <row r="2246">
          <cell r="Q2246">
            <v>0</v>
          </cell>
          <cell r="R2246">
            <v>0</v>
          </cell>
        </row>
        <row r="2247">
          <cell r="Q2247">
            <v>0</v>
          </cell>
          <cell r="R2247">
            <v>0</v>
          </cell>
        </row>
        <row r="2248">
          <cell r="Q2248">
            <v>0</v>
          </cell>
          <cell r="R2248">
            <v>0</v>
          </cell>
        </row>
        <row r="2249">
          <cell r="Q2249">
            <v>0</v>
          </cell>
          <cell r="R2249">
            <v>0</v>
          </cell>
        </row>
        <row r="2250">
          <cell r="Q2250">
            <v>0</v>
          </cell>
          <cell r="R2250">
            <v>0</v>
          </cell>
        </row>
        <row r="2251">
          <cell r="Q2251">
            <v>0</v>
          </cell>
          <cell r="R2251">
            <v>0</v>
          </cell>
        </row>
        <row r="2252">
          <cell r="Q2252">
            <v>0</v>
          </cell>
          <cell r="R2252">
            <v>0</v>
          </cell>
        </row>
        <row r="2253">
          <cell r="Q2253">
            <v>0</v>
          </cell>
          <cell r="R2253">
            <v>0</v>
          </cell>
        </row>
        <row r="2254">
          <cell r="Q2254">
            <v>0</v>
          </cell>
          <cell r="R2254">
            <v>0</v>
          </cell>
        </row>
        <row r="2255">
          <cell r="Q2255">
            <v>0</v>
          </cell>
          <cell r="R2255">
            <v>0</v>
          </cell>
        </row>
        <row r="2256">
          <cell r="Q2256">
            <v>0</v>
          </cell>
          <cell r="R2256">
            <v>0</v>
          </cell>
        </row>
        <row r="2257">
          <cell r="Q2257">
            <v>0</v>
          </cell>
          <cell r="R2257">
            <v>0</v>
          </cell>
        </row>
        <row r="2258">
          <cell r="Q2258">
            <v>0</v>
          </cell>
          <cell r="R2258">
            <v>0</v>
          </cell>
        </row>
        <row r="2259">
          <cell r="Q2259">
            <v>0</v>
          </cell>
          <cell r="R2259">
            <v>0</v>
          </cell>
        </row>
        <row r="2260">
          <cell r="Q2260">
            <v>0</v>
          </cell>
          <cell r="R2260">
            <v>0</v>
          </cell>
        </row>
        <row r="2261">
          <cell r="Q2261">
            <v>0</v>
          </cell>
          <cell r="R2261">
            <v>0</v>
          </cell>
        </row>
        <row r="2262">
          <cell r="Q2262">
            <v>0</v>
          </cell>
          <cell r="R2262">
            <v>0</v>
          </cell>
        </row>
        <row r="2263">
          <cell r="Q2263">
            <v>0</v>
          </cell>
          <cell r="R2263">
            <v>0</v>
          </cell>
        </row>
        <row r="2264">
          <cell r="Q2264">
            <v>0</v>
          </cell>
          <cell r="R2264">
            <v>0</v>
          </cell>
        </row>
        <row r="2265">
          <cell r="Q2265">
            <v>0</v>
          </cell>
          <cell r="R2265">
            <v>0</v>
          </cell>
        </row>
        <row r="2266">
          <cell r="Q2266">
            <v>0</v>
          </cell>
          <cell r="R2266">
            <v>0</v>
          </cell>
        </row>
        <row r="2267">
          <cell r="Q2267">
            <v>0</v>
          </cell>
          <cell r="R2267">
            <v>0</v>
          </cell>
        </row>
        <row r="2268">
          <cell r="Q2268">
            <v>0</v>
          </cell>
          <cell r="R2268">
            <v>0</v>
          </cell>
        </row>
        <row r="2269">
          <cell r="Q2269">
            <v>0</v>
          </cell>
          <cell r="R2269">
            <v>0</v>
          </cell>
        </row>
        <row r="2270">
          <cell r="Q2270">
            <v>0</v>
          </cell>
          <cell r="R2270">
            <v>0</v>
          </cell>
        </row>
        <row r="2271">
          <cell r="Q2271">
            <v>0</v>
          </cell>
          <cell r="R2271">
            <v>0</v>
          </cell>
        </row>
        <row r="2272">
          <cell r="Q2272">
            <v>0</v>
          </cell>
          <cell r="R2272">
            <v>0</v>
          </cell>
        </row>
        <row r="2273">
          <cell r="Q2273">
            <v>0</v>
          </cell>
          <cell r="R2273">
            <v>0</v>
          </cell>
        </row>
        <row r="2274">
          <cell r="Q2274">
            <v>0</v>
          </cell>
          <cell r="R2274">
            <v>0</v>
          </cell>
        </row>
        <row r="2275">
          <cell r="Q2275">
            <v>0</v>
          </cell>
          <cell r="R2275">
            <v>0</v>
          </cell>
        </row>
        <row r="2276">
          <cell r="Q2276">
            <v>0</v>
          </cell>
          <cell r="R2276">
            <v>0</v>
          </cell>
        </row>
        <row r="2277">
          <cell r="Q2277">
            <v>0</v>
          </cell>
          <cell r="R2277">
            <v>0</v>
          </cell>
        </row>
        <row r="2278">
          <cell r="Q2278">
            <v>0</v>
          </cell>
          <cell r="R2278">
            <v>0</v>
          </cell>
        </row>
        <row r="2279">
          <cell r="Q2279">
            <v>0</v>
          </cell>
          <cell r="R2279">
            <v>0</v>
          </cell>
        </row>
        <row r="2280">
          <cell r="Q2280">
            <v>0</v>
          </cell>
          <cell r="R2280">
            <v>0</v>
          </cell>
        </row>
        <row r="2281">
          <cell r="Q2281">
            <v>0</v>
          </cell>
          <cell r="R2281">
            <v>0</v>
          </cell>
        </row>
        <row r="2282">
          <cell r="Q2282">
            <v>0</v>
          </cell>
          <cell r="R2282">
            <v>0</v>
          </cell>
        </row>
        <row r="2283">
          <cell r="Q2283">
            <v>0</v>
          </cell>
          <cell r="R2283">
            <v>0</v>
          </cell>
        </row>
        <row r="2284">
          <cell r="Q2284">
            <v>0</v>
          </cell>
          <cell r="R2284">
            <v>0</v>
          </cell>
        </row>
        <row r="2285">
          <cell r="Q2285">
            <v>0</v>
          </cell>
          <cell r="R2285">
            <v>0</v>
          </cell>
        </row>
        <row r="2286">
          <cell r="Q2286">
            <v>0</v>
          </cell>
          <cell r="R2286">
            <v>0</v>
          </cell>
        </row>
        <row r="2287">
          <cell r="Q2287">
            <v>0</v>
          </cell>
          <cell r="R2287">
            <v>0</v>
          </cell>
        </row>
        <row r="2288">
          <cell r="Q2288">
            <v>0</v>
          </cell>
          <cell r="R2288">
            <v>0</v>
          </cell>
        </row>
        <row r="2289">
          <cell r="Q2289">
            <v>0</v>
          </cell>
          <cell r="R2289">
            <v>0</v>
          </cell>
        </row>
        <row r="2290">
          <cell r="Q2290">
            <v>0</v>
          </cell>
          <cell r="R2290">
            <v>0</v>
          </cell>
        </row>
        <row r="2291">
          <cell r="Q2291">
            <v>0</v>
          </cell>
          <cell r="R2291">
            <v>0</v>
          </cell>
        </row>
        <row r="2292">
          <cell r="Q2292">
            <v>0</v>
          </cell>
          <cell r="R2292">
            <v>0</v>
          </cell>
        </row>
        <row r="2293">
          <cell r="Q2293">
            <v>0</v>
          </cell>
          <cell r="R2293">
            <v>0</v>
          </cell>
        </row>
        <row r="2294">
          <cell r="Q2294">
            <v>0</v>
          </cell>
          <cell r="R2294">
            <v>0</v>
          </cell>
        </row>
        <row r="2295">
          <cell r="Q2295">
            <v>0</v>
          </cell>
          <cell r="R2295">
            <v>0</v>
          </cell>
        </row>
        <row r="2296">
          <cell r="Q2296">
            <v>0</v>
          </cell>
          <cell r="R2296">
            <v>0</v>
          </cell>
        </row>
        <row r="2297">
          <cell r="Q2297">
            <v>0</v>
          </cell>
          <cell r="R2297">
            <v>0</v>
          </cell>
        </row>
        <row r="2298">
          <cell r="Q2298">
            <v>0</v>
          </cell>
          <cell r="R2298">
            <v>0</v>
          </cell>
        </row>
        <row r="2299">
          <cell r="Q2299">
            <v>0</v>
          </cell>
          <cell r="R2299">
            <v>0</v>
          </cell>
        </row>
        <row r="2300">
          <cell r="Q2300">
            <v>0</v>
          </cell>
          <cell r="R2300">
            <v>0</v>
          </cell>
        </row>
        <row r="2301">
          <cell r="Q2301">
            <v>0</v>
          </cell>
          <cell r="R2301">
            <v>0</v>
          </cell>
        </row>
        <row r="2302">
          <cell r="Q2302">
            <v>0</v>
          </cell>
          <cell r="R2302">
            <v>0</v>
          </cell>
        </row>
        <row r="2303">
          <cell r="Q2303">
            <v>2.1591703624264813</v>
          </cell>
          <cell r="R2303">
            <v>0</v>
          </cell>
        </row>
        <row r="2304">
          <cell r="Q2304">
            <v>0</v>
          </cell>
          <cell r="R2304">
            <v>0</v>
          </cell>
        </row>
        <row r="2305">
          <cell r="Q2305">
            <v>0</v>
          </cell>
          <cell r="R2305">
            <v>0</v>
          </cell>
        </row>
        <row r="2306">
          <cell r="Q2306">
            <v>2.1836685964984852</v>
          </cell>
          <cell r="R2306">
            <v>0</v>
          </cell>
        </row>
        <row r="2307">
          <cell r="Q2307">
            <v>1.8342816137238791</v>
          </cell>
          <cell r="R2307">
            <v>1.8342816137238791</v>
          </cell>
        </row>
        <row r="2308">
          <cell r="Q2308">
            <v>2.1836685964984852</v>
          </cell>
          <cell r="R2308">
            <v>2.1836685964984852</v>
          </cell>
        </row>
        <row r="2309">
          <cell r="Q2309">
            <v>1.8342816137238791</v>
          </cell>
          <cell r="R2309">
            <v>1.8342816137238791</v>
          </cell>
        </row>
        <row r="2310">
          <cell r="Q2310">
            <v>0</v>
          </cell>
          <cell r="R2310">
            <v>0</v>
          </cell>
        </row>
        <row r="2311">
          <cell r="Q2311">
            <v>0</v>
          </cell>
          <cell r="R2311">
            <v>0</v>
          </cell>
        </row>
        <row r="2312">
          <cell r="Q2312">
            <v>0</v>
          </cell>
          <cell r="R2312">
            <v>0</v>
          </cell>
        </row>
        <row r="2313">
          <cell r="Q2313">
            <v>0</v>
          </cell>
          <cell r="R2313">
            <v>0</v>
          </cell>
        </row>
        <row r="2314">
          <cell r="Q2314">
            <v>0</v>
          </cell>
          <cell r="R2314">
            <v>0</v>
          </cell>
        </row>
        <row r="2315">
          <cell r="Q2315">
            <v>0</v>
          </cell>
          <cell r="R2315">
            <v>0</v>
          </cell>
        </row>
        <row r="2316">
          <cell r="Q2316">
            <v>0</v>
          </cell>
          <cell r="R2316">
            <v>0</v>
          </cell>
        </row>
        <row r="2317">
          <cell r="Q2317">
            <v>0</v>
          </cell>
          <cell r="R2317">
            <v>0</v>
          </cell>
        </row>
        <row r="2318">
          <cell r="Q2318">
            <v>0</v>
          </cell>
          <cell r="R2318">
            <v>0</v>
          </cell>
        </row>
        <row r="2319">
          <cell r="Q2319">
            <v>0</v>
          </cell>
          <cell r="R2319">
            <v>0</v>
          </cell>
        </row>
        <row r="2320">
          <cell r="Q2320">
            <v>0</v>
          </cell>
          <cell r="R2320">
            <v>0</v>
          </cell>
        </row>
        <row r="2321">
          <cell r="Q2321">
            <v>0</v>
          </cell>
          <cell r="R2321">
            <v>0</v>
          </cell>
        </row>
        <row r="2322">
          <cell r="Q2322">
            <v>0</v>
          </cell>
          <cell r="R2322">
            <v>0</v>
          </cell>
        </row>
        <row r="2323">
          <cell r="Q2323">
            <v>0</v>
          </cell>
          <cell r="R2323">
            <v>0</v>
          </cell>
        </row>
        <row r="2324">
          <cell r="Q2324">
            <v>0</v>
          </cell>
          <cell r="R2324">
            <v>0</v>
          </cell>
        </row>
        <row r="2325">
          <cell r="Q2325">
            <v>0</v>
          </cell>
          <cell r="R2325">
            <v>0</v>
          </cell>
        </row>
        <row r="2326">
          <cell r="Q2326">
            <v>0</v>
          </cell>
          <cell r="R2326">
            <v>0</v>
          </cell>
        </row>
        <row r="2327">
          <cell r="Q2327">
            <v>0</v>
          </cell>
          <cell r="R2327">
            <v>0</v>
          </cell>
        </row>
        <row r="2328">
          <cell r="Q2328">
            <v>0</v>
          </cell>
          <cell r="R2328">
            <v>0</v>
          </cell>
        </row>
        <row r="2329">
          <cell r="Q2329">
            <v>0</v>
          </cell>
          <cell r="R2329">
            <v>0</v>
          </cell>
        </row>
        <row r="2330">
          <cell r="Q2330">
            <v>0</v>
          </cell>
          <cell r="R2330">
            <v>0</v>
          </cell>
        </row>
        <row r="2331">
          <cell r="Q2331">
            <v>0</v>
          </cell>
          <cell r="R2331">
            <v>0</v>
          </cell>
        </row>
        <row r="2332">
          <cell r="Q2332">
            <v>0</v>
          </cell>
          <cell r="R2332">
            <v>0</v>
          </cell>
        </row>
        <row r="2333">
          <cell r="Q2333">
            <v>0</v>
          </cell>
          <cell r="R2333">
            <v>0</v>
          </cell>
        </row>
        <row r="2334">
          <cell r="Q2334">
            <v>0</v>
          </cell>
          <cell r="R2334">
            <v>0</v>
          </cell>
        </row>
        <row r="2335">
          <cell r="Q2335">
            <v>0</v>
          </cell>
          <cell r="R2335">
            <v>0</v>
          </cell>
        </row>
        <row r="2336">
          <cell r="Q2336">
            <v>0</v>
          </cell>
          <cell r="R2336">
            <v>0</v>
          </cell>
        </row>
        <row r="2337">
          <cell r="Q2337">
            <v>0</v>
          </cell>
          <cell r="R2337">
            <v>0</v>
          </cell>
        </row>
        <row r="2338">
          <cell r="Q2338">
            <v>0</v>
          </cell>
          <cell r="R2338">
            <v>0</v>
          </cell>
        </row>
        <row r="2339">
          <cell r="Q2339">
            <v>0</v>
          </cell>
          <cell r="R2339">
            <v>0</v>
          </cell>
        </row>
        <row r="2340">
          <cell r="Q2340">
            <v>0</v>
          </cell>
          <cell r="R2340">
            <v>0</v>
          </cell>
        </row>
        <row r="2341">
          <cell r="Q2341">
            <v>3.1159271126959154</v>
          </cell>
          <cell r="R2341">
            <v>3.1159271126959154</v>
          </cell>
        </row>
        <row r="2342">
          <cell r="Q2342">
            <v>1.8088054801999363</v>
          </cell>
          <cell r="R2342">
            <v>1.8088054801999363</v>
          </cell>
        </row>
        <row r="2343">
          <cell r="Q2343">
            <v>1.8088054801999363</v>
          </cell>
          <cell r="R2343">
            <v>1.8088054801999363</v>
          </cell>
        </row>
        <row r="2344">
          <cell r="Q2344">
            <v>0</v>
          </cell>
          <cell r="R2344">
            <v>0</v>
          </cell>
        </row>
        <row r="2345">
          <cell r="Q2345">
            <v>9.4473500000000001</v>
          </cell>
          <cell r="R2345">
            <v>0</v>
          </cell>
        </row>
        <row r="2346">
          <cell r="Q2346">
            <v>0</v>
          </cell>
          <cell r="R2346">
            <v>0</v>
          </cell>
        </row>
        <row r="2347">
          <cell r="Q2347">
            <v>1.8088054801999363</v>
          </cell>
          <cell r="R2347">
            <v>1.8088054801999363</v>
          </cell>
        </row>
        <row r="2348">
          <cell r="Q2348">
            <v>11.4543</v>
          </cell>
          <cell r="R2348">
            <v>0</v>
          </cell>
        </row>
        <row r="2349">
          <cell r="Q2349">
            <v>1.8088054801999363</v>
          </cell>
          <cell r="R2349">
            <v>1.8088054801999363</v>
          </cell>
        </row>
        <row r="2350">
          <cell r="Q2350">
            <v>2.1236892386574198</v>
          </cell>
          <cell r="R2350">
            <v>0</v>
          </cell>
        </row>
        <row r="2351">
          <cell r="Q2351">
            <v>0</v>
          </cell>
          <cell r="R2351">
            <v>0</v>
          </cell>
        </row>
        <row r="2352">
          <cell r="Q2352">
            <v>3.1159271126959154</v>
          </cell>
          <cell r="R2352">
            <v>3.1159271126959154</v>
          </cell>
        </row>
        <row r="2353">
          <cell r="Q2353">
            <v>1.8088054801999363</v>
          </cell>
          <cell r="R2353">
            <v>1.8088054801999363</v>
          </cell>
        </row>
        <row r="2354">
          <cell r="Q2354">
            <v>1.8088054801999363</v>
          </cell>
          <cell r="R2354">
            <v>1.8088054801999363</v>
          </cell>
        </row>
        <row r="2355">
          <cell r="Q2355">
            <v>0</v>
          </cell>
          <cell r="R2355">
            <v>0</v>
          </cell>
        </row>
        <row r="2356">
          <cell r="Q2356">
            <v>0</v>
          </cell>
          <cell r="R2356">
            <v>0</v>
          </cell>
        </row>
        <row r="2357">
          <cell r="Q2357">
            <v>0</v>
          </cell>
          <cell r="R2357">
            <v>0</v>
          </cell>
        </row>
        <row r="2358">
          <cell r="Q2358">
            <v>0</v>
          </cell>
          <cell r="R2358">
            <v>0</v>
          </cell>
        </row>
        <row r="2359">
          <cell r="Q2359">
            <v>0</v>
          </cell>
          <cell r="R2359">
            <v>0</v>
          </cell>
        </row>
        <row r="2360">
          <cell r="Q2360">
            <v>0</v>
          </cell>
          <cell r="R2360">
            <v>0</v>
          </cell>
        </row>
        <row r="2361">
          <cell r="Q2361">
            <v>0</v>
          </cell>
          <cell r="R2361">
            <v>0</v>
          </cell>
        </row>
        <row r="2362">
          <cell r="Q2362">
            <v>0</v>
          </cell>
          <cell r="R2362">
            <v>0</v>
          </cell>
        </row>
        <row r="2363">
          <cell r="Q2363">
            <v>0</v>
          </cell>
          <cell r="R2363">
            <v>0</v>
          </cell>
        </row>
        <row r="2364">
          <cell r="Q2364">
            <v>0</v>
          </cell>
          <cell r="R2364">
            <v>0</v>
          </cell>
        </row>
        <row r="2365">
          <cell r="Q2365">
            <v>0</v>
          </cell>
          <cell r="R2365">
            <v>0</v>
          </cell>
        </row>
        <row r="2366">
          <cell r="Q2366">
            <v>0</v>
          </cell>
          <cell r="R2366">
            <v>0</v>
          </cell>
        </row>
        <row r="2367">
          <cell r="Q2367">
            <v>0</v>
          </cell>
          <cell r="R2367">
            <v>0</v>
          </cell>
        </row>
        <row r="2368">
          <cell r="Q2368">
            <v>0</v>
          </cell>
          <cell r="R2368">
            <v>0</v>
          </cell>
        </row>
        <row r="2369">
          <cell r="Q2369">
            <v>0</v>
          </cell>
          <cell r="R2369">
            <v>0</v>
          </cell>
        </row>
        <row r="2370">
          <cell r="Q2370">
            <v>0</v>
          </cell>
          <cell r="R2370">
            <v>0</v>
          </cell>
        </row>
        <row r="2371">
          <cell r="Q2371">
            <v>0</v>
          </cell>
          <cell r="R2371">
            <v>0</v>
          </cell>
        </row>
        <row r="2372">
          <cell r="Q2372">
            <v>0</v>
          </cell>
          <cell r="R2372">
            <v>0</v>
          </cell>
        </row>
        <row r="2373">
          <cell r="Q2373">
            <v>0</v>
          </cell>
          <cell r="R2373">
            <v>0</v>
          </cell>
        </row>
        <row r="2374">
          <cell r="Q2374">
            <v>0</v>
          </cell>
          <cell r="R2374">
            <v>0</v>
          </cell>
        </row>
        <row r="2375">
          <cell r="Q2375">
            <v>0</v>
          </cell>
          <cell r="R2375">
            <v>0</v>
          </cell>
        </row>
        <row r="2376">
          <cell r="Q2376">
            <v>0</v>
          </cell>
          <cell r="R2376">
            <v>0</v>
          </cell>
        </row>
        <row r="2377">
          <cell r="Q2377">
            <v>0</v>
          </cell>
          <cell r="R2377">
            <v>0</v>
          </cell>
        </row>
        <row r="2378">
          <cell r="Q2378">
            <v>0</v>
          </cell>
          <cell r="R2378">
            <v>0</v>
          </cell>
        </row>
        <row r="2379">
          <cell r="Q2379">
            <v>0</v>
          </cell>
          <cell r="R2379">
            <v>0</v>
          </cell>
        </row>
        <row r="2380">
          <cell r="Q2380">
            <v>0</v>
          </cell>
          <cell r="R2380">
            <v>0</v>
          </cell>
        </row>
        <row r="2381">
          <cell r="Q2381">
            <v>0</v>
          </cell>
          <cell r="R2381">
            <v>0</v>
          </cell>
        </row>
        <row r="2382">
          <cell r="Q2382">
            <v>0</v>
          </cell>
          <cell r="R2382">
            <v>0</v>
          </cell>
        </row>
        <row r="2383">
          <cell r="Q2383">
            <v>0</v>
          </cell>
          <cell r="R2383">
            <v>0</v>
          </cell>
        </row>
        <row r="2384">
          <cell r="Q2384">
            <v>0</v>
          </cell>
          <cell r="R2384">
            <v>0</v>
          </cell>
        </row>
        <row r="2385">
          <cell r="Q2385">
            <v>0</v>
          </cell>
          <cell r="R2385">
            <v>0</v>
          </cell>
        </row>
        <row r="2386">
          <cell r="Q2386">
            <v>0</v>
          </cell>
          <cell r="R2386">
            <v>0</v>
          </cell>
        </row>
        <row r="2387">
          <cell r="Q2387">
            <v>0</v>
          </cell>
          <cell r="R2387">
            <v>0</v>
          </cell>
        </row>
        <row r="2388">
          <cell r="Q2388">
            <v>0</v>
          </cell>
          <cell r="R2388">
            <v>0</v>
          </cell>
        </row>
        <row r="2389">
          <cell r="Q2389">
            <v>0</v>
          </cell>
          <cell r="R2389">
            <v>0</v>
          </cell>
        </row>
        <row r="2390">
          <cell r="Q2390">
            <v>0</v>
          </cell>
          <cell r="R2390">
            <v>0</v>
          </cell>
        </row>
        <row r="2391">
          <cell r="Q2391">
            <v>0</v>
          </cell>
          <cell r="R2391">
            <v>0</v>
          </cell>
        </row>
        <row r="2392">
          <cell r="Q2392">
            <v>0</v>
          </cell>
          <cell r="R2392">
            <v>0</v>
          </cell>
        </row>
        <row r="2393">
          <cell r="Q2393">
            <v>0</v>
          </cell>
          <cell r="R2393">
            <v>0</v>
          </cell>
        </row>
        <row r="2394">
          <cell r="Q2394">
            <v>0</v>
          </cell>
          <cell r="R2394">
            <v>0</v>
          </cell>
        </row>
        <row r="2395">
          <cell r="Q2395">
            <v>23.09666</v>
          </cell>
          <cell r="R2395">
            <v>0</v>
          </cell>
        </row>
        <row r="2396">
          <cell r="Q2396">
            <v>0</v>
          </cell>
          <cell r="R2396">
            <v>0</v>
          </cell>
        </row>
        <row r="2397">
          <cell r="Q2397">
            <v>0</v>
          </cell>
          <cell r="R2397">
            <v>0</v>
          </cell>
        </row>
        <row r="2398">
          <cell r="Q2398">
            <v>23.09666</v>
          </cell>
          <cell r="R2398">
            <v>0</v>
          </cell>
        </row>
        <row r="2399">
          <cell r="Q2399">
            <v>14.459169246919606</v>
          </cell>
          <cell r="R2399">
            <v>0</v>
          </cell>
        </row>
        <row r="2400">
          <cell r="Q2400">
            <v>0</v>
          </cell>
          <cell r="R2400">
            <v>0</v>
          </cell>
        </row>
        <row r="2401">
          <cell r="Q2401">
            <v>0</v>
          </cell>
          <cell r="R2401">
            <v>0</v>
          </cell>
        </row>
        <row r="2402">
          <cell r="Q2402">
            <v>0</v>
          </cell>
          <cell r="R2402">
            <v>0</v>
          </cell>
        </row>
        <row r="2403">
          <cell r="Q2403">
            <v>0</v>
          </cell>
          <cell r="R2403">
            <v>0</v>
          </cell>
        </row>
        <row r="2404">
          <cell r="Q2404">
            <v>3.4379500759364703</v>
          </cell>
          <cell r="R2404">
            <v>0</v>
          </cell>
        </row>
        <row r="2405">
          <cell r="Q2405">
            <v>0</v>
          </cell>
          <cell r="R2405">
            <v>0</v>
          </cell>
        </row>
        <row r="2406">
          <cell r="Q2406">
            <v>0</v>
          </cell>
          <cell r="R2406">
            <v>0</v>
          </cell>
        </row>
        <row r="2407">
          <cell r="Q2407">
            <v>0</v>
          </cell>
          <cell r="R2407">
            <v>0</v>
          </cell>
        </row>
        <row r="2408">
          <cell r="Q2408">
            <v>0</v>
          </cell>
          <cell r="R2408">
            <v>0</v>
          </cell>
        </row>
        <row r="2409">
          <cell r="Q2409">
            <v>0</v>
          </cell>
          <cell r="R2409">
            <v>0</v>
          </cell>
        </row>
        <row r="2410">
          <cell r="Q2410">
            <v>0</v>
          </cell>
          <cell r="R2410">
            <v>0</v>
          </cell>
        </row>
        <row r="2411">
          <cell r="Q2411">
            <v>0</v>
          </cell>
          <cell r="R2411">
            <v>0</v>
          </cell>
        </row>
        <row r="2412">
          <cell r="Q2412">
            <v>0</v>
          </cell>
          <cell r="R2412">
            <v>0</v>
          </cell>
        </row>
        <row r="2413">
          <cell r="Q2413">
            <v>0</v>
          </cell>
          <cell r="R2413">
            <v>0</v>
          </cell>
        </row>
        <row r="2414">
          <cell r="Q2414">
            <v>0</v>
          </cell>
          <cell r="R2414">
            <v>0</v>
          </cell>
        </row>
        <row r="2415">
          <cell r="Q2415">
            <v>0</v>
          </cell>
          <cell r="R2415">
            <v>0</v>
          </cell>
        </row>
        <row r="2416">
          <cell r="Q2416">
            <v>0</v>
          </cell>
          <cell r="R2416">
            <v>0</v>
          </cell>
        </row>
        <row r="2417">
          <cell r="Q2417">
            <v>0</v>
          </cell>
          <cell r="R2417">
            <v>0</v>
          </cell>
        </row>
        <row r="2418">
          <cell r="Q2418">
            <v>0</v>
          </cell>
          <cell r="R2418">
            <v>0</v>
          </cell>
        </row>
        <row r="2419">
          <cell r="Q2419">
            <v>0</v>
          </cell>
          <cell r="R2419">
            <v>0</v>
          </cell>
        </row>
        <row r="2420">
          <cell r="Q2420">
            <v>0</v>
          </cell>
          <cell r="R2420">
            <v>0</v>
          </cell>
        </row>
        <row r="2421">
          <cell r="Q2421">
            <v>100.51116071428569</v>
          </cell>
          <cell r="R2421">
            <v>0</v>
          </cell>
        </row>
        <row r="2422">
          <cell r="Q2422">
            <v>0</v>
          </cell>
          <cell r="R2422">
            <v>0</v>
          </cell>
        </row>
        <row r="2423">
          <cell r="Q2423">
            <v>0</v>
          </cell>
          <cell r="R2423">
            <v>0</v>
          </cell>
        </row>
        <row r="2424">
          <cell r="Q2424">
            <v>3.6211764779748625</v>
          </cell>
          <cell r="R2424">
            <v>0</v>
          </cell>
        </row>
        <row r="2425">
          <cell r="Q2425">
            <v>3.2934559440668907</v>
          </cell>
          <cell r="R2425">
            <v>0</v>
          </cell>
        </row>
        <row r="2426">
          <cell r="Q2426">
            <v>0</v>
          </cell>
          <cell r="R2426">
            <v>0</v>
          </cell>
        </row>
        <row r="2427">
          <cell r="Q2427">
            <v>5.489093240111484</v>
          </cell>
          <cell r="R2427">
            <v>0</v>
          </cell>
        </row>
        <row r="2428">
          <cell r="Q2428">
            <v>0</v>
          </cell>
          <cell r="R2428">
            <v>0</v>
          </cell>
        </row>
        <row r="2429">
          <cell r="Q2429">
            <v>0</v>
          </cell>
          <cell r="R2429">
            <v>0</v>
          </cell>
        </row>
        <row r="2430">
          <cell r="Q2430">
            <v>54.425220000000003</v>
          </cell>
          <cell r="R2430">
            <v>0</v>
          </cell>
        </row>
        <row r="2431">
          <cell r="Q2431">
            <v>8.2471820309898707</v>
          </cell>
          <cell r="R2431">
            <v>0</v>
          </cell>
        </row>
        <row r="2432">
          <cell r="Q2432">
            <v>0</v>
          </cell>
          <cell r="R2432">
            <v>0</v>
          </cell>
        </row>
        <row r="2433">
          <cell r="Q2433">
            <v>0</v>
          </cell>
          <cell r="R2433">
            <v>0</v>
          </cell>
        </row>
        <row r="2434">
          <cell r="Q2434">
            <v>0</v>
          </cell>
          <cell r="R2434">
            <v>0</v>
          </cell>
        </row>
        <row r="2435">
          <cell r="Q2435">
            <v>7.9283967503637305</v>
          </cell>
          <cell r="R2435">
            <v>15.856793500727461</v>
          </cell>
        </row>
        <row r="2436">
          <cell r="Q2436">
            <v>2.4839230185844197</v>
          </cell>
          <cell r="R2436">
            <v>4.9678460371688393</v>
          </cell>
        </row>
        <row r="2437">
          <cell r="Q2437">
            <v>2.4839230185844197</v>
          </cell>
          <cell r="R2437">
            <v>4.9678460371688393</v>
          </cell>
        </row>
        <row r="2438">
          <cell r="Q2438">
            <v>3.929788427286466</v>
          </cell>
          <cell r="R2438">
            <v>0</v>
          </cell>
        </row>
        <row r="2439">
          <cell r="Q2439">
            <v>0</v>
          </cell>
          <cell r="R2439">
            <v>0</v>
          </cell>
        </row>
        <row r="2440">
          <cell r="Q2440">
            <v>18.147000000000002</v>
          </cell>
          <cell r="R2440">
            <v>0</v>
          </cell>
        </row>
        <row r="2441">
          <cell r="Q2441">
            <v>13.702300000000001</v>
          </cell>
          <cell r="R2441">
            <v>0</v>
          </cell>
        </row>
        <row r="2442">
          <cell r="Q2442">
            <v>0</v>
          </cell>
          <cell r="R2442">
            <v>0</v>
          </cell>
        </row>
        <row r="2443">
          <cell r="Q2443">
            <v>13.702300000000001</v>
          </cell>
          <cell r="R2443">
            <v>0</v>
          </cell>
        </row>
        <row r="2444">
          <cell r="Q2444">
            <v>0</v>
          </cell>
          <cell r="R2444">
            <v>0</v>
          </cell>
        </row>
        <row r="2445">
          <cell r="Q2445">
            <v>18.136479999999999</v>
          </cell>
          <cell r="R2445">
            <v>0</v>
          </cell>
        </row>
        <row r="2446">
          <cell r="Q2446">
            <v>0</v>
          </cell>
          <cell r="R2446">
            <v>0</v>
          </cell>
        </row>
        <row r="2447">
          <cell r="Q2447">
            <v>0</v>
          </cell>
          <cell r="R2447">
            <v>0</v>
          </cell>
        </row>
        <row r="2448">
          <cell r="Q2448">
            <v>17.79458</v>
          </cell>
          <cell r="R2448">
            <v>0</v>
          </cell>
        </row>
        <row r="2449">
          <cell r="Q2449">
            <v>17.6999</v>
          </cell>
          <cell r="R2449">
            <v>0</v>
          </cell>
        </row>
        <row r="2450">
          <cell r="Q2450">
            <v>17.705159999999999</v>
          </cell>
          <cell r="R2450">
            <v>0</v>
          </cell>
        </row>
        <row r="2451">
          <cell r="Q2451">
            <v>18.82028</v>
          </cell>
          <cell r="R2451">
            <v>0</v>
          </cell>
        </row>
        <row r="2452">
          <cell r="Q2452">
            <v>18.82028</v>
          </cell>
          <cell r="R2452">
            <v>0</v>
          </cell>
        </row>
        <row r="2453">
          <cell r="Q2453">
            <v>18.82028</v>
          </cell>
          <cell r="R2453">
            <v>0</v>
          </cell>
        </row>
        <row r="2454">
          <cell r="Q2454">
            <v>17.536840000000002</v>
          </cell>
          <cell r="R2454">
            <v>0</v>
          </cell>
        </row>
        <row r="2455">
          <cell r="Q2455">
            <v>0</v>
          </cell>
          <cell r="R2455">
            <v>0</v>
          </cell>
        </row>
        <row r="2456">
          <cell r="Q2456">
            <v>0</v>
          </cell>
          <cell r="R2456">
            <v>0</v>
          </cell>
        </row>
        <row r="2457">
          <cell r="Q2457">
            <v>0</v>
          </cell>
          <cell r="R2457">
            <v>0</v>
          </cell>
        </row>
        <row r="2458">
          <cell r="Q2458">
            <v>4.0822583162049648</v>
          </cell>
          <cell r="R2458">
            <v>0</v>
          </cell>
        </row>
        <row r="2459">
          <cell r="Q2459">
            <v>0</v>
          </cell>
          <cell r="R2459">
            <v>0</v>
          </cell>
        </row>
        <row r="2460">
          <cell r="Q2460">
            <v>0</v>
          </cell>
          <cell r="R2460">
            <v>0</v>
          </cell>
        </row>
        <row r="2461">
          <cell r="Q2461">
            <v>0</v>
          </cell>
          <cell r="R2461">
            <v>0</v>
          </cell>
        </row>
        <row r="2462">
          <cell r="Q2462">
            <v>0</v>
          </cell>
          <cell r="R2462">
            <v>0</v>
          </cell>
        </row>
        <row r="2463">
          <cell r="Q2463">
            <v>3.0235411336132874</v>
          </cell>
          <cell r="R2463">
            <v>6.0470822672265747</v>
          </cell>
        </row>
        <row r="2464">
          <cell r="Q2464">
            <v>1.3757112102929094</v>
          </cell>
          <cell r="R2464">
            <v>2.7514224205858189</v>
          </cell>
        </row>
        <row r="2465">
          <cell r="Q2465">
            <v>1.3374970100069952</v>
          </cell>
          <cell r="R2465">
            <v>2.6749940200139903</v>
          </cell>
        </row>
        <row r="2466">
          <cell r="Q2466">
            <v>3.0235411336132874</v>
          </cell>
          <cell r="R2466">
            <v>6.0470822672265747</v>
          </cell>
        </row>
        <row r="2467">
          <cell r="Q2467">
            <v>1.3374970100069952</v>
          </cell>
          <cell r="R2467">
            <v>2.6749940200139903</v>
          </cell>
        </row>
        <row r="2468">
          <cell r="Q2468">
            <v>1.3757112102929094</v>
          </cell>
          <cell r="R2468">
            <v>2.7514224205858189</v>
          </cell>
        </row>
        <row r="2469">
          <cell r="Q2469">
            <v>0</v>
          </cell>
          <cell r="R2469">
            <v>0</v>
          </cell>
        </row>
        <row r="2470">
          <cell r="Q2470">
            <v>0</v>
          </cell>
          <cell r="R2470">
            <v>0</v>
          </cell>
        </row>
        <row r="2471">
          <cell r="Q2471">
            <v>0</v>
          </cell>
          <cell r="R2471">
            <v>0</v>
          </cell>
        </row>
        <row r="2472">
          <cell r="Q2472">
            <v>0</v>
          </cell>
          <cell r="R2472">
            <v>0</v>
          </cell>
        </row>
        <row r="2473">
          <cell r="Q2473">
            <v>0</v>
          </cell>
          <cell r="R2473">
            <v>0</v>
          </cell>
        </row>
        <row r="2474">
          <cell r="Q2474">
            <v>0</v>
          </cell>
          <cell r="R2474">
            <v>0</v>
          </cell>
        </row>
        <row r="2475">
          <cell r="Q2475">
            <v>0</v>
          </cell>
          <cell r="R2475">
            <v>0</v>
          </cell>
        </row>
        <row r="2476">
          <cell r="Q2476">
            <v>0</v>
          </cell>
          <cell r="R2476">
            <v>0</v>
          </cell>
        </row>
        <row r="2477">
          <cell r="Q2477">
            <v>0</v>
          </cell>
          <cell r="R2477">
            <v>0</v>
          </cell>
        </row>
        <row r="2478">
          <cell r="Q2478">
            <v>0</v>
          </cell>
          <cell r="R2478">
            <v>0</v>
          </cell>
        </row>
        <row r="2479">
          <cell r="Q2479">
            <v>0</v>
          </cell>
          <cell r="R2479">
            <v>0</v>
          </cell>
        </row>
        <row r="2480">
          <cell r="Q2480">
            <v>0</v>
          </cell>
          <cell r="R2480">
            <v>0</v>
          </cell>
        </row>
        <row r="2481">
          <cell r="Q2481">
            <v>0</v>
          </cell>
          <cell r="R2481">
            <v>0</v>
          </cell>
        </row>
        <row r="2482">
          <cell r="Q2482">
            <v>10.746749999999999</v>
          </cell>
          <cell r="R2482">
            <v>0</v>
          </cell>
        </row>
        <row r="2483">
          <cell r="Q2483">
            <v>2.1527332827731636</v>
          </cell>
          <cell r="R2483">
            <v>0</v>
          </cell>
        </row>
        <row r="2484">
          <cell r="Q2484">
            <v>1.989016262547437</v>
          </cell>
          <cell r="R2484">
            <v>0</v>
          </cell>
        </row>
        <row r="2485">
          <cell r="Q2485">
            <v>10.746749999999999</v>
          </cell>
          <cell r="R2485">
            <v>0</v>
          </cell>
        </row>
        <row r="2486">
          <cell r="Q2486">
            <v>1.989016262547437</v>
          </cell>
          <cell r="R2486">
            <v>0</v>
          </cell>
        </row>
        <row r="2487">
          <cell r="Q2487">
            <v>0</v>
          </cell>
          <cell r="R2487">
            <v>0</v>
          </cell>
        </row>
        <row r="2488">
          <cell r="Q2488">
            <v>0</v>
          </cell>
          <cell r="R2488">
            <v>0</v>
          </cell>
        </row>
        <row r="2489">
          <cell r="Q2489">
            <v>0</v>
          </cell>
          <cell r="R2489">
            <v>0</v>
          </cell>
        </row>
        <row r="2490">
          <cell r="Q2490">
            <v>0</v>
          </cell>
          <cell r="R2490">
            <v>0</v>
          </cell>
        </row>
        <row r="2491">
          <cell r="Q2491">
            <v>0</v>
          </cell>
          <cell r="R2491">
            <v>0</v>
          </cell>
        </row>
        <row r="2492">
          <cell r="Q2492">
            <v>0</v>
          </cell>
          <cell r="R2492">
            <v>0</v>
          </cell>
        </row>
        <row r="2493">
          <cell r="Q2493">
            <v>0</v>
          </cell>
          <cell r="R2493">
            <v>0</v>
          </cell>
        </row>
        <row r="2494">
          <cell r="Q2494">
            <v>0</v>
          </cell>
          <cell r="R2494">
            <v>0</v>
          </cell>
        </row>
        <row r="2495">
          <cell r="Q2495">
            <v>0</v>
          </cell>
          <cell r="R2495">
            <v>0</v>
          </cell>
        </row>
        <row r="2496">
          <cell r="Q2496">
            <v>0</v>
          </cell>
          <cell r="R2496">
            <v>0</v>
          </cell>
        </row>
        <row r="2497">
          <cell r="Q2497">
            <v>0</v>
          </cell>
          <cell r="R2497">
            <v>0</v>
          </cell>
        </row>
        <row r="2498">
          <cell r="Q2498">
            <v>0</v>
          </cell>
          <cell r="R2498">
            <v>0</v>
          </cell>
        </row>
        <row r="2499">
          <cell r="Q2499">
            <v>0</v>
          </cell>
          <cell r="R2499">
            <v>0</v>
          </cell>
        </row>
        <row r="2500">
          <cell r="Q2500">
            <v>0</v>
          </cell>
          <cell r="R2500">
            <v>0</v>
          </cell>
        </row>
        <row r="2501">
          <cell r="Q2501">
            <v>0</v>
          </cell>
          <cell r="R2501">
            <v>0</v>
          </cell>
        </row>
        <row r="2502">
          <cell r="Q2502">
            <v>0</v>
          </cell>
          <cell r="R2502">
            <v>0</v>
          </cell>
        </row>
        <row r="2503">
          <cell r="Q2503">
            <v>0</v>
          </cell>
          <cell r="R2503">
            <v>0</v>
          </cell>
        </row>
        <row r="2504">
          <cell r="Q2504">
            <v>0</v>
          </cell>
          <cell r="R2504">
            <v>0</v>
          </cell>
        </row>
        <row r="2505">
          <cell r="Q2505">
            <v>1.9579378834451333</v>
          </cell>
          <cell r="R2505">
            <v>0</v>
          </cell>
        </row>
        <row r="2506">
          <cell r="Q2506">
            <v>0</v>
          </cell>
          <cell r="R2506">
            <v>0</v>
          </cell>
        </row>
        <row r="2507">
          <cell r="Q2507">
            <v>0</v>
          </cell>
          <cell r="R2507">
            <v>0</v>
          </cell>
        </row>
        <row r="2508">
          <cell r="Q2508">
            <v>2.2508583994676696</v>
          </cell>
          <cell r="R2508">
            <v>4.5017167989353393</v>
          </cell>
        </row>
        <row r="2509">
          <cell r="Q2509">
            <v>1.6814248125802227</v>
          </cell>
          <cell r="R2509">
            <v>3.3628496251604454</v>
          </cell>
        </row>
        <row r="2510">
          <cell r="Q2510">
            <v>1.6814248125802227</v>
          </cell>
          <cell r="R2510">
            <v>3.3628496251604454</v>
          </cell>
        </row>
        <row r="2511">
          <cell r="Q2511">
            <v>0</v>
          </cell>
          <cell r="R2511">
            <v>0</v>
          </cell>
        </row>
        <row r="2512">
          <cell r="Q2512">
            <v>0</v>
          </cell>
          <cell r="R2512">
            <v>0</v>
          </cell>
        </row>
        <row r="2513">
          <cell r="Q2513">
            <v>0</v>
          </cell>
          <cell r="R2513">
            <v>0</v>
          </cell>
        </row>
        <row r="2514">
          <cell r="Q2514">
            <v>0</v>
          </cell>
          <cell r="R2514">
            <v>0</v>
          </cell>
        </row>
        <row r="2515">
          <cell r="Q2515">
            <v>0</v>
          </cell>
          <cell r="R2515">
            <v>0</v>
          </cell>
        </row>
        <row r="2516">
          <cell r="Q2516">
            <v>0</v>
          </cell>
          <cell r="R2516">
            <v>0</v>
          </cell>
        </row>
        <row r="2517">
          <cell r="Q2517">
            <v>0</v>
          </cell>
          <cell r="R2517">
            <v>0</v>
          </cell>
        </row>
        <row r="2518">
          <cell r="Q2518">
            <v>0</v>
          </cell>
          <cell r="R2518">
            <v>0</v>
          </cell>
        </row>
        <row r="2519">
          <cell r="Q2519">
            <v>0</v>
          </cell>
          <cell r="R2519">
            <v>0</v>
          </cell>
        </row>
        <row r="2520">
          <cell r="Q2520">
            <v>0</v>
          </cell>
          <cell r="R2520">
            <v>0</v>
          </cell>
        </row>
        <row r="2521">
          <cell r="Q2521">
            <v>0</v>
          </cell>
          <cell r="R2521">
            <v>0</v>
          </cell>
        </row>
        <row r="2522">
          <cell r="Q2522">
            <v>0</v>
          </cell>
          <cell r="R2522">
            <v>0</v>
          </cell>
        </row>
        <row r="2523">
          <cell r="Q2523">
            <v>5.2353454391702385</v>
          </cell>
          <cell r="R2523">
            <v>5.2353454391702385</v>
          </cell>
        </row>
        <row r="2524">
          <cell r="Q2524">
            <v>0</v>
          </cell>
          <cell r="R2524">
            <v>0</v>
          </cell>
        </row>
        <row r="2525">
          <cell r="Q2525">
            <v>0</v>
          </cell>
          <cell r="R2525">
            <v>0</v>
          </cell>
        </row>
        <row r="2526">
          <cell r="Q2526">
            <v>3.9870148964970427</v>
          </cell>
          <cell r="R2526">
            <v>3.9870148964970427</v>
          </cell>
        </row>
        <row r="2527">
          <cell r="Q2527">
            <v>0</v>
          </cell>
          <cell r="R2527">
            <v>0</v>
          </cell>
        </row>
        <row r="2528">
          <cell r="Q2528">
            <v>3.9870148964970427</v>
          </cell>
          <cell r="R2528">
            <v>3.9870148964970427</v>
          </cell>
        </row>
        <row r="2529">
          <cell r="Q2529">
            <v>0</v>
          </cell>
          <cell r="R2529">
            <v>0</v>
          </cell>
        </row>
        <row r="2530">
          <cell r="Q2530">
            <v>0</v>
          </cell>
          <cell r="R2530">
            <v>0</v>
          </cell>
        </row>
        <row r="2531">
          <cell r="Q2531">
            <v>0</v>
          </cell>
          <cell r="R2531">
            <v>0</v>
          </cell>
        </row>
        <row r="2532">
          <cell r="Q2532">
            <v>0</v>
          </cell>
          <cell r="R2532">
            <v>0</v>
          </cell>
        </row>
        <row r="2533">
          <cell r="Q2533">
            <v>2.9899462321286951</v>
          </cell>
          <cell r="R2533">
            <v>5.9798924642573903</v>
          </cell>
        </row>
        <row r="2534">
          <cell r="Q2534">
            <v>1.6049964120083942</v>
          </cell>
          <cell r="R2534">
            <v>3.2099928240167883</v>
          </cell>
        </row>
        <row r="2535">
          <cell r="Q2535">
            <v>1.6049964120083942</v>
          </cell>
          <cell r="R2535">
            <v>3.2099928240167883</v>
          </cell>
        </row>
        <row r="2536">
          <cell r="Q2536">
            <v>5.3627261067899523</v>
          </cell>
          <cell r="R2536">
            <v>5.3627261067899523</v>
          </cell>
        </row>
        <row r="2537">
          <cell r="Q2537">
            <v>0</v>
          </cell>
          <cell r="R2537">
            <v>0</v>
          </cell>
        </row>
        <row r="2538">
          <cell r="Q2538">
            <v>0</v>
          </cell>
          <cell r="R2538">
            <v>0</v>
          </cell>
        </row>
        <row r="2539">
          <cell r="Q2539">
            <v>0</v>
          </cell>
          <cell r="R2539">
            <v>0</v>
          </cell>
        </row>
        <row r="2540">
          <cell r="Q2540">
            <v>0</v>
          </cell>
          <cell r="R2540">
            <v>0</v>
          </cell>
        </row>
        <row r="2541">
          <cell r="Q2541">
            <v>1.8088054801999363</v>
          </cell>
          <cell r="R2541">
            <v>3.6176109603998725</v>
          </cell>
        </row>
        <row r="2542">
          <cell r="Q2542">
            <v>0</v>
          </cell>
          <cell r="R2542">
            <v>0</v>
          </cell>
        </row>
        <row r="2543">
          <cell r="Q2543">
            <v>0</v>
          </cell>
          <cell r="R2543">
            <v>0</v>
          </cell>
        </row>
        <row r="2544">
          <cell r="Q2544">
            <v>0</v>
          </cell>
          <cell r="R2544">
            <v>0</v>
          </cell>
        </row>
        <row r="2545">
          <cell r="Q2545">
            <v>0</v>
          </cell>
          <cell r="R2545">
            <v>0</v>
          </cell>
        </row>
        <row r="2546">
          <cell r="Q2546">
            <v>0</v>
          </cell>
          <cell r="R2546">
            <v>0</v>
          </cell>
        </row>
        <row r="2547">
          <cell r="Q2547">
            <v>0</v>
          </cell>
          <cell r="R2547">
            <v>0</v>
          </cell>
        </row>
        <row r="2548">
          <cell r="Q2548">
            <v>2.0890429489633067</v>
          </cell>
          <cell r="R2548">
            <v>4.1780858979266133</v>
          </cell>
        </row>
        <row r="2549">
          <cell r="Q2549">
            <v>2.0890429489633067</v>
          </cell>
          <cell r="R2549">
            <v>4.1780858979266133</v>
          </cell>
        </row>
        <row r="2550">
          <cell r="Q2550">
            <v>0</v>
          </cell>
          <cell r="R2550">
            <v>0</v>
          </cell>
        </row>
        <row r="2551">
          <cell r="Q2551">
            <v>0</v>
          </cell>
          <cell r="R2551">
            <v>0</v>
          </cell>
        </row>
        <row r="2552">
          <cell r="Q2552">
            <v>0</v>
          </cell>
          <cell r="R2552">
            <v>0</v>
          </cell>
        </row>
        <row r="2553">
          <cell r="Q2553">
            <v>0</v>
          </cell>
          <cell r="R2553">
            <v>0</v>
          </cell>
        </row>
        <row r="2554">
          <cell r="Q2554">
            <v>0</v>
          </cell>
          <cell r="R2554">
            <v>0</v>
          </cell>
        </row>
        <row r="2555">
          <cell r="Q2555">
            <v>0</v>
          </cell>
          <cell r="R2555">
            <v>0</v>
          </cell>
        </row>
        <row r="2556">
          <cell r="Q2556">
            <v>0</v>
          </cell>
          <cell r="R2556">
            <v>0</v>
          </cell>
        </row>
        <row r="2557">
          <cell r="Q2557">
            <v>1.4606838178082739</v>
          </cell>
          <cell r="R2557">
            <v>0</v>
          </cell>
        </row>
        <row r="2558">
          <cell r="Q2558">
            <v>0</v>
          </cell>
          <cell r="R2558">
            <v>0</v>
          </cell>
        </row>
        <row r="2559">
          <cell r="Q2559">
            <v>0</v>
          </cell>
          <cell r="R2559">
            <v>0</v>
          </cell>
        </row>
        <row r="2560">
          <cell r="Q2560">
            <v>0</v>
          </cell>
          <cell r="R2560">
            <v>0</v>
          </cell>
        </row>
        <row r="2561">
          <cell r="Q2561">
            <v>0</v>
          </cell>
          <cell r="R2561">
            <v>0</v>
          </cell>
        </row>
        <row r="2562">
          <cell r="Q2562">
            <v>0</v>
          </cell>
          <cell r="R2562">
            <v>0</v>
          </cell>
        </row>
        <row r="2563">
          <cell r="Q2563">
            <v>0</v>
          </cell>
          <cell r="R2563">
            <v>0</v>
          </cell>
        </row>
        <row r="2564">
          <cell r="Q2564">
            <v>0</v>
          </cell>
          <cell r="R2564">
            <v>0</v>
          </cell>
        </row>
        <row r="2565">
          <cell r="Q2565">
            <v>0</v>
          </cell>
          <cell r="R2565">
            <v>0</v>
          </cell>
        </row>
        <row r="2566">
          <cell r="Q2566">
            <v>0</v>
          </cell>
          <cell r="R2566">
            <v>0</v>
          </cell>
        </row>
        <row r="2567">
          <cell r="Q2567">
            <v>0</v>
          </cell>
          <cell r="R2567">
            <v>0</v>
          </cell>
        </row>
        <row r="2568">
          <cell r="Q2568">
            <v>0</v>
          </cell>
          <cell r="R2568">
            <v>0</v>
          </cell>
        </row>
        <row r="2569">
          <cell r="Q2569">
            <v>0</v>
          </cell>
          <cell r="R2569">
            <v>0</v>
          </cell>
        </row>
        <row r="2570">
          <cell r="Q2570">
            <v>0</v>
          </cell>
          <cell r="R2570">
            <v>0</v>
          </cell>
        </row>
        <row r="2571">
          <cell r="Q2571">
            <v>0</v>
          </cell>
          <cell r="R2571">
            <v>0</v>
          </cell>
        </row>
        <row r="2572">
          <cell r="Q2572">
            <v>0</v>
          </cell>
          <cell r="R2572">
            <v>0</v>
          </cell>
        </row>
        <row r="2573">
          <cell r="Q2573">
            <v>0</v>
          </cell>
          <cell r="R2573">
            <v>0</v>
          </cell>
        </row>
        <row r="2574">
          <cell r="Q2574">
            <v>0</v>
          </cell>
          <cell r="R2574">
            <v>0</v>
          </cell>
        </row>
        <row r="2575">
          <cell r="Q2575">
            <v>0</v>
          </cell>
          <cell r="R2575">
            <v>0</v>
          </cell>
        </row>
        <row r="2576">
          <cell r="Q2576">
            <v>0</v>
          </cell>
          <cell r="R2576">
            <v>0</v>
          </cell>
        </row>
        <row r="2577">
          <cell r="Q2577">
            <v>0</v>
          </cell>
          <cell r="R2577">
            <v>0</v>
          </cell>
        </row>
        <row r="2578">
          <cell r="Q2578">
            <v>0</v>
          </cell>
          <cell r="R2578">
            <v>0</v>
          </cell>
        </row>
        <row r="2579">
          <cell r="Q2579">
            <v>0</v>
          </cell>
          <cell r="R2579">
            <v>0</v>
          </cell>
        </row>
        <row r="2580">
          <cell r="Q2580">
            <v>0</v>
          </cell>
          <cell r="R2580">
            <v>0</v>
          </cell>
        </row>
        <row r="2581">
          <cell r="Q2581">
            <v>0</v>
          </cell>
          <cell r="R2581">
            <v>0</v>
          </cell>
        </row>
        <row r="2582">
          <cell r="Q2582">
            <v>0</v>
          </cell>
          <cell r="R2582">
            <v>0</v>
          </cell>
        </row>
        <row r="2583">
          <cell r="Q2583">
            <v>1.6687350609188947</v>
          </cell>
          <cell r="R2583">
            <v>0</v>
          </cell>
        </row>
        <row r="2584">
          <cell r="Q2584">
            <v>4.314969177585704</v>
          </cell>
          <cell r="R2584">
            <v>4.314969177585704</v>
          </cell>
        </row>
        <row r="2585">
          <cell r="Q2585">
            <v>0</v>
          </cell>
          <cell r="R2585">
            <v>0</v>
          </cell>
        </row>
        <row r="2586">
          <cell r="Q2586">
            <v>20.661905577326344</v>
          </cell>
          <cell r="R2586">
            <v>0</v>
          </cell>
        </row>
        <row r="2587">
          <cell r="Q2587">
            <v>2.6827931890525907</v>
          </cell>
          <cell r="R2587">
            <v>0</v>
          </cell>
        </row>
        <row r="2588">
          <cell r="Q2588">
            <v>14.948247202327689</v>
          </cell>
          <cell r="R2588">
            <v>0</v>
          </cell>
        </row>
        <row r="2589">
          <cell r="Q2589">
            <v>6.916203144049395</v>
          </cell>
          <cell r="R2589">
            <v>0</v>
          </cell>
        </row>
        <row r="2590">
          <cell r="Q2590">
            <v>7.1574660444232112</v>
          </cell>
          <cell r="R2590">
            <v>0</v>
          </cell>
        </row>
        <row r="2591">
          <cell r="Q2591">
            <v>3.5058515210570151</v>
          </cell>
          <cell r="R2591">
            <v>0</v>
          </cell>
        </row>
        <row r="2592">
          <cell r="Q2592">
            <v>0.80797940073106111</v>
          </cell>
          <cell r="R2592">
            <v>0</v>
          </cell>
        </row>
        <row r="2593">
          <cell r="Q2593">
            <v>1.7592086485590757</v>
          </cell>
          <cell r="R2593">
            <v>0</v>
          </cell>
        </row>
        <row r="2594">
          <cell r="Q2594">
            <v>4.3150874993941901</v>
          </cell>
          <cell r="R2594">
            <v>0</v>
          </cell>
        </row>
        <row r="2595">
          <cell r="Q2595">
            <v>45.889165066202047</v>
          </cell>
          <cell r="R2595">
            <v>0</v>
          </cell>
        </row>
        <row r="2596">
          <cell r="Q2596">
            <v>0</v>
          </cell>
          <cell r="R2596">
            <v>0</v>
          </cell>
        </row>
        <row r="2597">
          <cell r="Q2597">
            <v>0</v>
          </cell>
          <cell r="R2597">
            <v>0</v>
          </cell>
        </row>
        <row r="2598">
          <cell r="Q2598">
            <v>7.2232179754403232</v>
          </cell>
          <cell r="R2598">
            <v>7.2232179754403232</v>
          </cell>
        </row>
        <row r="2599">
          <cell r="Q2599">
            <v>5.6302255087913515</v>
          </cell>
          <cell r="R2599">
            <v>22.520902035165406</v>
          </cell>
        </row>
        <row r="2600">
          <cell r="Q2600">
            <v>2.9745485689482574</v>
          </cell>
          <cell r="R2600">
            <v>2.9745485689482574</v>
          </cell>
        </row>
        <row r="2601">
          <cell r="Q2601">
            <v>2.713679068783811</v>
          </cell>
          <cell r="R2601">
            <v>2.713679068783811</v>
          </cell>
        </row>
        <row r="2602">
          <cell r="Q2602">
            <v>5.1207028383124955</v>
          </cell>
          <cell r="R2602">
            <v>20.482811353249982</v>
          </cell>
        </row>
        <row r="2603">
          <cell r="Q2603">
            <v>0</v>
          </cell>
          <cell r="R2603">
            <v>0</v>
          </cell>
        </row>
        <row r="2604">
          <cell r="Q2604">
            <v>0</v>
          </cell>
          <cell r="R2604">
            <v>0</v>
          </cell>
        </row>
        <row r="2605">
          <cell r="Q2605">
            <v>0</v>
          </cell>
          <cell r="R2605">
            <v>0</v>
          </cell>
        </row>
        <row r="2606">
          <cell r="Q2606">
            <v>0</v>
          </cell>
          <cell r="R2606">
            <v>0</v>
          </cell>
        </row>
        <row r="2607">
          <cell r="Q2607">
            <v>0</v>
          </cell>
          <cell r="R2607">
            <v>0</v>
          </cell>
        </row>
        <row r="2608">
          <cell r="Q2608">
            <v>4.1489703333471226</v>
          </cell>
          <cell r="R2608">
            <v>16.59588133338849</v>
          </cell>
        </row>
        <row r="2609">
          <cell r="Q2609">
            <v>1.5795202784844515</v>
          </cell>
          <cell r="R2609">
            <v>6.3180811139378061</v>
          </cell>
        </row>
        <row r="2610">
          <cell r="Q2610">
            <v>1.897971947533736</v>
          </cell>
          <cell r="R2610">
            <v>7.591887790134944</v>
          </cell>
        </row>
        <row r="2611">
          <cell r="Q2611">
            <v>0</v>
          </cell>
          <cell r="R2611">
            <v>0</v>
          </cell>
        </row>
        <row r="2612">
          <cell r="Q2612">
            <v>0</v>
          </cell>
          <cell r="R2612">
            <v>0</v>
          </cell>
        </row>
        <row r="2613">
          <cell r="Q2613">
            <v>8.5854569975687127</v>
          </cell>
          <cell r="R2613">
            <v>34.341827990274851</v>
          </cell>
        </row>
        <row r="2614">
          <cell r="Q2614">
            <v>12.410389270018344</v>
          </cell>
          <cell r="R2614">
            <v>0</v>
          </cell>
        </row>
        <row r="2615">
          <cell r="Q2615">
            <v>12.410389270018344</v>
          </cell>
          <cell r="R2615">
            <v>0</v>
          </cell>
        </row>
        <row r="2616">
          <cell r="Q2616">
            <v>7.2407192972473098</v>
          </cell>
          <cell r="R2616">
            <v>0</v>
          </cell>
        </row>
        <row r="2617">
          <cell r="Q2617">
            <v>3.4390235326556859</v>
          </cell>
          <cell r="R2617">
            <v>0</v>
          </cell>
        </row>
        <row r="2618">
          <cell r="Q2618">
            <v>3.4390235326556859</v>
          </cell>
          <cell r="R2618">
            <v>0</v>
          </cell>
        </row>
        <row r="2619">
          <cell r="Q2619">
            <v>3.3543375562069713</v>
          </cell>
          <cell r="R2619">
            <v>0</v>
          </cell>
        </row>
        <row r="2620">
          <cell r="Q2620">
            <v>3.7521024604561148</v>
          </cell>
          <cell r="R2620">
            <v>0</v>
          </cell>
        </row>
        <row r="2621">
          <cell r="Q2621">
            <v>5.7454916743535325</v>
          </cell>
          <cell r="R2621">
            <v>0</v>
          </cell>
        </row>
        <row r="2622">
          <cell r="Q2622">
            <v>5.7454916743535325</v>
          </cell>
          <cell r="R2622">
            <v>0</v>
          </cell>
        </row>
        <row r="2623">
          <cell r="Q2623">
            <v>5.7454916743535325</v>
          </cell>
          <cell r="R2623">
            <v>0</v>
          </cell>
        </row>
        <row r="2624">
          <cell r="Q2624">
            <v>5.7454916743535325</v>
          </cell>
          <cell r="R2624">
            <v>0</v>
          </cell>
        </row>
        <row r="2625">
          <cell r="Q2625">
            <v>5.7454916743535325</v>
          </cell>
          <cell r="R2625">
            <v>0</v>
          </cell>
        </row>
        <row r="2626">
          <cell r="Q2626">
            <v>3.6808050206129774</v>
          </cell>
          <cell r="R2626">
            <v>0</v>
          </cell>
        </row>
        <row r="2627">
          <cell r="Q2627">
            <v>3.6871676913486957</v>
          </cell>
          <cell r="R2627">
            <v>0</v>
          </cell>
        </row>
        <row r="2628">
          <cell r="Q2628">
            <v>14.262614310408097</v>
          </cell>
          <cell r="R2628">
            <v>0</v>
          </cell>
        </row>
        <row r="2629">
          <cell r="Q2629">
            <v>0</v>
          </cell>
          <cell r="R2629">
            <v>0</v>
          </cell>
        </row>
        <row r="2630">
          <cell r="Q2630">
            <v>0</v>
          </cell>
          <cell r="R2630">
            <v>0</v>
          </cell>
        </row>
        <row r="2631">
          <cell r="Q2631">
            <v>0</v>
          </cell>
          <cell r="R2631">
            <v>0</v>
          </cell>
        </row>
        <row r="2632">
          <cell r="Q2632">
            <v>4.3421410168835264</v>
          </cell>
          <cell r="R2632">
            <v>17.368564067534106</v>
          </cell>
        </row>
        <row r="2633">
          <cell r="Q2633">
            <v>2.0380906819154214</v>
          </cell>
          <cell r="R2633">
            <v>8.1523627276616857</v>
          </cell>
        </row>
        <row r="2634">
          <cell r="Q2634">
            <v>2.0380906819154214</v>
          </cell>
          <cell r="R2634">
            <v>8.1523627276616857</v>
          </cell>
        </row>
        <row r="2635">
          <cell r="Q2635">
            <v>0</v>
          </cell>
          <cell r="R2635">
            <v>0</v>
          </cell>
        </row>
        <row r="2636">
          <cell r="Q2636">
            <v>0</v>
          </cell>
          <cell r="R2636">
            <v>0</v>
          </cell>
        </row>
        <row r="2637">
          <cell r="Q2637">
            <v>10.897750106252346</v>
          </cell>
          <cell r="R2637">
            <v>0</v>
          </cell>
        </row>
        <row r="2638">
          <cell r="Q2638">
            <v>0.17592086485590755</v>
          </cell>
          <cell r="R2638">
            <v>0</v>
          </cell>
        </row>
        <row r="2639">
          <cell r="Q2639">
            <v>0</v>
          </cell>
          <cell r="R2639">
            <v>0</v>
          </cell>
        </row>
        <row r="2640">
          <cell r="Q2640">
            <v>0</v>
          </cell>
          <cell r="R2640">
            <v>0</v>
          </cell>
        </row>
        <row r="2641">
          <cell r="Q2641">
            <v>0</v>
          </cell>
          <cell r="R2641">
            <v>0</v>
          </cell>
        </row>
        <row r="2642">
          <cell r="Q2642">
            <v>13.552488667079762</v>
          </cell>
          <cell r="R2642">
            <v>0</v>
          </cell>
        </row>
        <row r="2643">
          <cell r="Q2643">
            <v>7.6523200333872738</v>
          </cell>
          <cell r="R2643">
            <v>7.6523200333872738</v>
          </cell>
        </row>
        <row r="2644">
          <cell r="Q2644">
            <v>10.25954861523469</v>
          </cell>
          <cell r="R2644">
            <v>0</v>
          </cell>
        </row>
        <row r="2645">
          <cell r="Q2645">
            <v>9.3244939631950192</v>
          </cell>
          <cell r="R2645">
            <v>0</v>
          </cell>
        </row>
        <row r="2646">
          <cell r="Q2646">
            <v>0</v>
          </cell>
          <cell r="R2646">
            <v>0</v>
          </cell>
        </row>
        <row r="2647">
          <cell r="Q2647">
            <v>11.338279251049828</v>
          </cell>
          <cell r="R2647">
            <v>11.338279251049828</v>
          </cell>
        </row>
        <row r="2648">
          <cell r="Q2648">
            <v>16.222913891402534</v>
          </cell>
          <cell r="R2648">
            <v>0</v>
          </cell>
        </row>
        <row r="2649">
          <cell r="Q2649">
            <v>3.2290553983769854</v>
          </cell>
          <cell r="R2649">
            <v>0</v>
          </cell>
        </row>
        <row r="2650">
          <cell r="Q2650">
            <v>0</v>
          </cell>
          <cell r="R2650">
            <v>0</v>
          </cell>
        </row>
        <row r="2651">
          <cell r="Q2651">
            <v>0</v>
          </cell>
          <cell r="R2651">
            <v>0</v>
          </cell>
        </row>
        <row r="2652">
          <cell r="Q2652">
            <v>3.3626714838270675</v>
          </cell>
          <cell r="R2652">
            <v>0</v>
          </cell>
        </row>
        <row r="2653">
          <cell r="Q2653">
            <v>3.3054074472056039</v>
          </cell>
          <cell r="R2653">
            <v>0</v>
          </cell>
        </row>
        <row r="2654">
          <cell r="Q2654">
            <v>3.1908793739626762</v>
          </cell>
          <cell r="R2654">
            <v>0</v>
          </cell>
        </row>
        <row r="2655">
          <cell r="Q2655">
            <v>3.2449620752162804</v>
          </cell>
          <cell r="R2655">
            <v>0</v>
          </cell>
        </row>
        <row r="2656">
          <cell r="Q2656">
            <v>0</v>
          </cell>
          <cell r="R2656">
            <v>0</v>
          </cell>
        </row>
        <row r="2657">
          <cell r="Q2657">
            <v>4.921224876948636</v>
          </cell>
          <cell r="R2657">
            <v>0</v>
          </cell>
        </row>
        <row r="2658">
          <cell r="Q2658">
            <v>3.2926821057341673</v>
          </cell>
          <cell r="R2658">
            <v>0</v>
          </cell>
        </row>
        <row r="2659">
          <cell r="Q2659">
            <v>3.5821836242093452</v>
          </cell>
          <cell r="R2659">
            <v>0</v>
          </cell>
        </row>
        <row r="2660">
          <cell r="Q2660">
            <v>3.2926821057341673</v>
          </cell>
          <cell r="R2660">
            <v>0</v>
          </cell>
        </row>
        <row r="2661">
          <cell r="Q2661">
            <v>7.9103394591842289</v>
          </cell>
          <cell r="R2661">
            <v>31.641357836736915</v>
          </cell>
        </row>
        <row r="2662">
          <cell r="Q2662">
            <v>1.1781028022001148</v>
          </cell>
          <cell r="R2662">
            <v>0</v>
          </cell>
        </row>
        <row r="2663">
          <cell r="Q2663">
            <v>0</v>
          </cell>
          <cell r="R2663">
            <v>0</v>
          </cell>
        </row>
        <row r="2664">
          <cell r="Q2664">
            <v>6.1725214609608914</v>
          </cell>
          <cell r="R2664">
            <v>0</v>
          </cell>
        </row>
        <row r="2665">
          <cell r="Q2665">
            <v>0</v>
          </cell>
          <cell r="R2665">
            <v>0</v>
          </cell>
        </row>
        <row r="2666">
          <cell r="Q2666">
            <v>0</v>
          </cell>
          <cell r="R2666">
            <v>0</v>
          </cell>
        </row>
        <row r="2667">
          <cell r="Q2667">
            <v>0</v>
          </cell>
          <cell r="R2667">
            <v>0</v>
          </cell>
        </row>
        <row r="2668">
          <cell r="Q2668">
            <v>0</v>
          </cell>
          <cell r="R2668">
            <v>0</v>
          </cell>
        </row>
        <row r="2669">
          <cell r="Q2669">
            <v>6.3446089607264833</v>
          </cell>
          <cell r="R2669">
            <v>0</v>
          </cell>
        </row>
        <row r="2670">
          <cell r="Q2670">
            <v>0</v>
          </cell>
          <cell r="R2670">
            <v>0</v>
          </cell>
        </row>
        <row r="2671">
          <cell r="Q2671">
            <v>0</v>
          </cell>
          <cell r="R2671">
            <v>0</v>
          </cell>
        </row>
        <row r="2672">
          <cell r="Q2672">
            <v>5.8085584434589501</v>
          </cell>
          <cell r="R2672">
            <v>23.2342337738358</v>
          </cell>
        </row>
        <row r="2673">
          <cell r="Q2673">
            <v>3.4871339110714699</v>
          </cell>
          <cell r="R2673">
            <v>0</v>
          </cell>
        </row>
        <row r="2674">
          <cell r="Q2674">
            <v>0</v>
          </cell>
          <cell r="R2674">
            <v>0</v>
          </cell>
        </row>
        <row r="2675">
          <cell r="Q2675">
            <v>0.97666995793274325</v>
          </cell>
          <cell r="R2675">
            <v>0</v>
          </cell>
        </row>
        <row r="2676">
          <cell r="Q2676">
            <v>12.295861196775416</v>
          </cell>
          <cell r="R2676">
            <v>0</v>
          </cell>
        </row>
        <row r="2677">
          <cell r="Q2677">
            <v>13.116645721683064</v>
          </cell>
          <cell r="R2677">
            <v>0</v>
          </cell>
        </row>
        <row r="2678">
          <cell r="Q2678">
            <v>7.8515356878762557</v>
          </cell>
          <cell r="R2678">
            <v>0</v>
          </cell>
        </row>
        <row r="2679">
          <cell r="Q2679">
            <v>0</v>
          </cell>
          <cell r="R2679">
            <v>0</v>
          </cell>
        </row>
        <row r="2680">
          <cell r="Q2680">
            <v>0</v>
          </cell>
          <cell r="R2680">
            <v>0</v>
          </cell>
        </row>
        <row r="2681">
          <cell r="Q2681">
            <v>0</v>
          </cell>
          <cell r="R2681">
            <v>0</v>
          </cell>
        </row>
        <row r="2682">
          <cell r="Q2682">
            <v>0</v>
          </cell>
          <cell r="R2682">
            <v>0</v>
          </cell>
        </row>
        <row r="2683">
          <cell r="Q2683">
            <v>0</v>
          </cell>
          <cell r="R2683">
            <v>0</v>
          </cell>
        </row>
        <row r="2684">
          <cell r="Q2684">
            <v>0</v>
          </cell>
          <cell r="R2684">
            <v>0</v>
          </cell>
        </row>
        <row r="2685">
          <cell r="Q2685">
            <v>0</v>
          </cell>
          <cell r="R2685">
            <v>0</v>
          </cell>
        </row>
        <row r="2686">
          <cell r="Q2686">
            <v>0</v>
          </cell>
          <cell r="R2686">
            <v>0</v>
          </cell>
        </row>
        <row r="2687">
          <cell r="Q2687">
            <v>0</v>
          </cell>
          <cell r="R2687">
            <v>0</v>
          </cell>
        </row>
        <row r="2688">
          <cell r="Q2688">
            <v>0</v>
          </cell>
          <cell r="R2688">
            <v>0</v>
          </cell>
        </row>
        <row r="2689">
          <cell r="Q2689">
            <v>0</v>
          </cell>
          <cell r="R2689">
            <v>0</v>
          </cell>
        </row>
        <row r="2690">
          <cell r="Q2690">
            <v>0</v>
          </cell>
          <cell r="R2690">
            <v>0</v>
          </cell>
        </row>
        <row r="2691">
          <cell r="Q2691">
            <v>0</v>
          </cell>
          <cell r="R2691">
            <v>0</v>
          </cell>
        </row>
        <row r="2692">
          <cell r="Q2692">
            <v>0</v>
          </cell>
          <cell r="R2692">
            <v>0</v>
          </cell>
        </row>
        <row r="2693">
          <cell r="Q2693">
            <v>0</v>
          </cell>
          <cell r="R2693">
            <v>0</v>
          </cell>
        </row>
        <row r="2694">
          <cell r="Q2694">
            <v>0</v>
          </cell>
          <cell r="R2694">
            <v>0</v>
          </cell>
        </row>
        <row r="2695">
          <cell r="Q2695">
            <v>0</v>
          </cell>
          <cell r="R2695">
            <v>0</v>
          </cell>
        </row>
        <row r="2696">
          <cell r="Q2696">
            <v>0</v>
          </cell>
          <cell r="R2696">
            <v>0</v>
          </cell>
        </row>
        <row r="2697">
          <cell r="Q2697">
            <v>0</v>
          </cell>
          <cell r="R2697">
            <v>0</v>
          </cell>
        </row>
        <row r="2698">
          <cell r="Q2698">
            <v>0</v>
          </cell>
          <cell r="R2698">
            <v>0</v>
          </cell>
        </row>
        <row r="2699">
          <cell r="Q2699">
            <v>0</v>
          </cell>
          <cell r="R2699">
            <v>0</v>
          </cell>
        </row>
        <row r="2700">
          <cell r="Q2700">
            <v>0</v>
          </cell>
          <cell r="R2700">
            <v>0</v>
          </cell>
        </row>
        <row r="2701">
          <cell r="Q2701">
            <v>0</v>
          </cell>
          <cell r="R2701">
            <v>0</v>
          </cell>
        </row>
        <row r="2702">
          <cell r="Q2702">
            <v>0</v>
          </cell>
          <cell r="R2702">
            <v>0</v>
          </cell>
        </row>
        <row r="2703">
          <cell r="Q2703">
            <v>0</v>
          </cell>
          <cell r="R2703">
            <v>0</v>
          </cell>
        </row>
        <row r="2704">
          <cell r="Q2704">
            <v>0</v>
          </cell>
          <cell r="R2704">
            <v>0</v>
          </cell>
        </row>
        <row r="2705">
          <cell r="Q2705">
            <v>0</v>
          </cell>
          <cell r="R2705">
            <v>0</v>
          </cell>
        </row>
        <row r="2706">
          <cell r="Q2706">
            <v>0</v>
          </cell>
          <cell r="R2706">
            <v>0</v>
          </cell>
        </row>
        <row r="2707">
          <cell r="Q2707">
            <v>0</v>
          </cell>
          <cell r="R2707">
            <v>0</v>
          </cell>
        </row>
        <row r="2708">
          <cell r="Q2708">
            <v>0</v>
          </cell>
          <cell r="R2708">
            <v>0</v>
          </cell>
        </row>
        <row r="2709">
          <cell r="Q2709">
            <v>0</v>
          </cell>
          <cell r="R2709">
            <v>0</v>
          </cell>
        </row>
        <row r="2710">
          <cell r="Q2710">
            <v>0</v>
          </cell>
          <cell r="R2710">
            <v>0</v>
          </cell>
        </row>
        <row r="2711">
          <cell r="Q2711">
            <v>0</v>
          </cell>
          <cell r="R2711">
            <v>0</v>
          </cell>
        </row>
        <row r="2712">
          <cell r="Q2712">
            <v>0</v>
          </cell>
          <cell r="R2712">
            <v>0</v>
          </cell>
        </row>
        <row r="2713">
          <cell r="Q2713">
            <v>6.4135721016039442</v>
          </cell>
          <cell r="R2713">
            <v>0</v>
          </cell>
        </row>
        <row r="2714">
          <cell r="Q2714">
            <v>0</v>
          </cell>
          <cell r="R2714">
            <v>0</v>
          </cell>
        </row>
        <row r="2715">
          <cell r="Q2715">
            <v>0</v>
          </cell>
          <cell r="R2715">
            <v>0</v>
          </cell>
        </row>
        <row r="2716">
          <cell r="Q2716">
            <v>0</v>
          </cell>
          <cell r="R2716">
            <v>0</v>
          </cell>
        </row>
        <row r="2717">
          <cell r="Q2717">
            <v>0</v>
          </cell>
          <cell r="R2717">
            <v>0</v>
          </cell>
        </row>
        <row r="2718">
          <cell r="Q2718">
            <v>0</v>
          </cell>
          <cell r="R2718">
            <v>0</v>
          </cell>
        </row>
        <row r="2719">
          <cell r="Q2719">
            <v>0</v>
          </cell>
          <cell r="R2719">
            <v>0</v>
          </cell>
        </row>
        <row r="2720">
          <cell r="Q2720">
            <v>0</v>
          </cell>
          <cell r="R2720">
            <v>0</v>
          </cell>
        </row>
        <row r="2721">
          <cell r="Q2721">
            <v>0</v>
          </cell>
          <cell r="R2721">
            <v>0</v>
          </cell>
        </row>
        <row r="2722">
          <cell r="Q2722">
            <v>0</v>
          </cell>
          <cell r="R2722">
            <v>0</v>
          </cell>
        </row>
        <row r="2723">
          <cell r="Q2723">
            <v>0</v>
          </cell>
          <cell r="R2723">
            <v>0</v>
          </cell>
        </row>
        <row r="2724">
          <cell r="Q2724">
            <v>0</v>
          </cell>
          <cell r="R2724">
            <v>0</v>
          </cell>
        </row>
        <row r="2725">
          <cell r="Q2725">
            <v>6.4643028532791709</v>
          </cell>
          <cell r="R2725">
            <v>0</v>
          </cell>
        </row>
        <row r="2726">
          <cell r="Q2726">
            <v>0</v>
          </cell>
          <cell r="R2726">
            <v>0</v>
          </cell>
        </row>
        <row r="2727">
          <cell r="Q2727">
            <v>0</v>
          </cell>
          <cell r="R2727">
            <v>0</v>
          </cell>
        </row>
        <row r="2728">
          <cell r="Q2728">
            <v>0</v>
          </cell>
          <cell r="R2728">
            <v>0</v>
          </cell>
        </row>
        <row r="2729">
          <cell r="Q2729">
            <v>0</v>
          </cell>
          <cell r="R2729">
            <v>0</v>
          </cell>
        </row>
        <row r="2730">
          <cell r="Q2730">
            <v>0</v>
          </cell>
          <cell r="R2730">
            <v>0</v>
          </cell>
        </row>
        <row r="2731">
          <cell r="Q2731">
            <v>0</v>
          </cell>
          <cell r="R2731">
            <v>0</v>
          </cell>
        </row>
        <row r="2732">
          <cell r="Q2732">
            <v>0</v>
          </cell>
          <cell r="R2732">
            <v>0</v>
          </cell>
        </row>
        <row r="2733">
          <cell r="Q2733">
            <v>0</v>
          </cell>
          <cell r="R2733">
            <v>0</v>
          </cell>
        </row>
        <row r="2734">
          <cell r="Q2734">
            <v>0</v>
          </cell>
          <cell r="R2734">
            <v>0</v>
          </cell>
        </row>
        <row r="2735">
          <cell r="Q2735">
            <v>0</v>
          </cell>
          <cell r="R2735">
            <v>0</v>
          </cell>
        </row>
        <row r="2736">
          <cell r="Q2736">
            <v>4.3602627658738671</v>
          </cell>
          <cell r="R2736">
            <v>0</v>
          </cell>
        </row>
        <row r="2737">
          <cell r="Q2737">
            <v>0</v>
          </cell>
          <cell r="R2737">
            <v>0</v>
          </cell>
        </row>
        <row r="2738">
          <cell r="Q2738">
            <v>0</v>
          </cell>
          <cell r="R2738">
            <v>0</v>
          </cell>
        </row>
        <row r="2739">
          <cell r="Q2739">
            <v>0</v>
          </cell>
          <cell r="R2739">
            <v>0</v>
          </cell>
        </row>
        <row r="2740">
          <cell r="Q2740">
            <v>0</v>
          </cell>
          <cell r="R2740">
            <v>0</v>
          </cell>
        </row>
        <row r="2741">
          <cell r="Q2741">
            <v>0</v>
          </cell>
          <cell r="R2741">
            <v>0</v>
          </cell>
        </row>
        <row r="2742">
          <cell r="Q2742">
            <v>0</v>
          </cell>
          <cell r="R2742">
            <v>0</v>
          </cell>
        </row>
        <row r="2743">
          <cell r="Q2743">
            <v>0</v>
          </cell>
          <cell r="R2743">
            <v>0</v>
          </cell>
        </row>
        <row r="2744">
          <cell r="Q2744">
            <v>0</v>
          </cell>
          <cell r="R2744">
            <v>0</v>
          </cell>
        </row>
        <row r="2745">
          <cell r="Q2745">
            <v>0</v>
          </cell>
          <cell r="R2745">
            <v>0</v>
          </cell>
        </row>
        <row r="2746">
          <cell r="Q2746">
            <v>0</v>
          </cell>
          <cell r="R2746">
            <v>0</v>
          </cell>
        </row>
        <row r="2747">
          <cell r="Q2747">
            <v>0</v>
          </cell>
          <cell r="R2747">
            <v>0</v>
          </cell>
        </row>
        <row r="2748">
          <cell r="Q2748">
            <v>0</v>
          </cell>
          <cell r="R2748">
            <v>0</v>
          </cell>
        </row>
        <row r="2749">
          <cell r="Q2749">
            <v>0</v>
          </cell>
          <cell r="R2749">
            <v>0</v>
          </cell>
        </row>
        <row r="2750">
          <cell r="Q2750">
            <v>0</v>
          </cell>
          <cell r="R2750">
            <v>0</v>
          </cell>
        </row>
        <row r="2751">
          <cell r="Q2751">
            <v>0</v>
          </cell>
          <cell r="R2751">
            <v>0</v>
          </cell>
        </row>
        <row r="2752">
          <cell r="Q2752">
            <v>0</v>
          </cell>
          <cell r="R2752">
            <v>0</v>
          </cell>
        </row>
        <row r="2753">
          <cell r="Q2753">
            <v>0</v>
          </cell>
          <cell r="R2753">
            <v>0</v>
          </cell>
        </row>
        <row r="2754">
          <cell r="Q2754">
            <v>18.845972336629359</v>
          </cell>
          <cell r="R2754">
            <v>0</v>
          </cell>
        </row>
        <row r="2755">
          <cell r="Q2755">
            <v>0</v>
          </cell>
          <cell r="R2755">
            <v>0</v>
          </cell>
        </row>
        <row r="2756">
          <cell r="Q2756">
            <v>0</v>
          </cell>
          <cell r="R2756">
            <v>0</v>
          </cell>
        </row>
        <row r="2757">
          <cell r="Q2757">
            <v>0</v>
          </cell>
          <cell r="R2757">
            <v>0</v>
          </cell>
        </row>
        <row r="2758">
          <cell r="Q2758">
            <v>0</v>
          </cell>
          <cell r="R2758">
            <v>0</v>
          </cell>
        </row>
        <row r="2759">
          <cell r="Q2759">
            <v>0</v>
          </cell>
          <cell r="R2759">
            <v>0</v>
          </cell>
        </row>
        <row r="2760">
          <cell r="Q2760">
            <v>0</v>
          </cell>
          <cell r="R2760">
            <v>0</v>
          </cell>
        </row>
        <row r="2761">
          <cell r="Q2761">
            <v>0</v>
          </cell>
          <cell r="R2761">
            <v>0</v>
          </cell>
        </row>
        <row r="2762">
          <cell r="Q2762">
            <v>0</v>
          </cell>
          <cell r="R2762">
            <v>0</v>
          </cell>
        </row>
        <row r="2763">
          <cell r="Q2763">
            <v>0</v>
          </cell>
          <cell r="R2763">
            <v>0</v>
          </cell>
        </row>
        <row r="2764">
          <cell r="Q2764">
            <v>0</v>
          </cell>
          <cell r="R2764">
            <v>0</v>
          </cell>
        </row>
        <row r="2765">
          <cell r="Q2765">
            <v>0</v>
          </cell>
          <cell r="R2765">
            <v>0</v>
          </cell>
        </row>
        <row r="2766">
          <cell r="Q2766">
            <v>0</v>
          </cell>
          <cell r="R2766">
            <v>0</v>
          </cell>
        </row>
        <row r="2767">
          <cell r="Q2767">
            <v>9.4482070203683506</v>
          </cell>
          <cell r="R2767">
            <v>0</v>
          </cell>
        </row>
        <row r="2768">
          <cell r="Q2768">
            <v>0</v>
          </cell>
          <cell r="R2768">
            <v>0</v>
          </cell>
        </row>
        <row r="2769">
          <cell r="Q2769">
            <v>0</v>
          </cell>
          <cell r="R2769">
            <v>0</v>
          </cell>
        </row>
        <row r="2770">
          <cell r="Q2770">
            <v>0</v>
          </cell>
          <cell r="R2770">
            <v>0</v>
          </cell>
        </row>
        <row r="2771">
          <cell r="Q2771">
            <v>0</v>
          </cell>
          <cell r="R2771">
            <v>0</v>
          </cell>
        </row>
        <row r="2772">
          <cell r="Q2772">
            <v>0</v>
          </cell>
          <cell r="R2772">
            <v>0</v>
          </cell>
        </row>
        <row r="2773">
          <cell r="Q2773">
            <v>0</v>
          </cell>
          <cell r="R2773">
            <v>0</v>
          </cell>
        </row>
        <row r="2774">
          <cell r="Q2774">
            <v>3.1665755674063361</v>
          </cell>
          <cell r="R2774">
            <v>0</v>
          </cell>
        </row>
        <row r="2775">
          <cell r="Q2775">
            <v>0</v>
          </cell>
          <cell r="R2775">
            <v>0</v>
          </cell>
        </row>
        <row r="2776">
          <cell r="Q2776">
            <v>0</v>
          </cell>
          <cell r="R2776">
            <v>0</v>
          </cell>
        </row>
        <row r="2777">
          <cell r="Q2777">
            <v>0</v>
          </cell>
          <cell r="R2777">
            <v>0</v>
          </cell>
        </row>
        <row r="2778">
          <cell r="Q2778">
            <v>0</v>
          </cell>
          <cell r="R2778">
            <v>0</v>
          </cell>
        </row>
        <row r="2779">
          <cell r="Q2779">
            <v>0</v>
          </cell>
          <cell r="R2779">
            <v>0</v>
          </cell>
        </row>
        <row r="2780">
          <cell r="Q2780">
            <v>0</v>
          </cell>
          <cell r="R2780">
            <v>0</v>
          </cell>
        </row>
        <row r="2781">
          <cell r="Q2781">
            <v>0</v>
          </cell>
          <cell r="R2781">
            <v>0</v>
          </cell>
        </row>
        <row r="2782">
          <cell r="Q2782">
            <v>0</v>
          </cell>
          <cell r="R2782">
            <v>0</v>
          </cell>
        </row>
        <row r="2783">
          <cell r="Q2783">
            <v>0</v>
          </cell>
          <cell r="R2783">
            <v>0</v>
          </cell>
        </row>
        <row r="2784">
          <cell r="Q2784">
            <v>0</v>
          </cell>
          <cell r="R2784">
            <v>0</v>
          </cell>
        </row>
        <row r="2785">
          <cell r="Q2785">
            <v>0</v>
          </cell>
          <cell r="R2785">
            <v>0</v>
          </cell>
        </row>
        <row r="2786">
          <cell r="Q2786">
            <v>0</v>
          </cell>
          <cell r="R2786">
            <v>0</v>
          </cell>
        </row>
        <row r="2787">
          <cell r="Q2787">
            <v>0</v>
          </cell>
          <cell r="R2787">
            <v>0</v>
          </cell>
        </row>
        <row r="2788">
          <cell r="Q2788">
            <v>0</v>
          </cell>
          <cell r="R2788">
            <v>0</v>
          </cell>
        </row>
        <row r="2789">
          <cell r="Q2789">
            <v>0</v>
          </cell>
          <cell r="R2789">
            <v>0</v>
          </cell>
        </row>
        <row r="2790">
          <cell r="Q2790">
            <v>0</v>
          </cell>
          <cell r="R2790">
            <v>0</v>
          </cell>
        </row>
        <row r="2791">
          <cell r="Q2791">
            <v>0</v>
          </cell>
          <cell r="R2791">
            <v>0</v>
          </cell>
        </row>
        <row r="2792">
          <cell r="Q2792">
            <v>0</v>
          </cell>
          <cell r="R2792">
            <v>0</v>
          </cell>
        </row>
        <row r="2793">
          <cell r="Q2793">
            <v>0</v>
          </cell>
          <cell r="R2793">
            <v>0</v>
          </cell>
        </row>
        <row r="2794">
          <cell r="Q2794">
            <v>0</v>
          </cell>
          <cell r="R2794">
            <v>0</v>
          </cell>
        </row>
        <row r="2795">
          <cell r="Q2795">
            <v>0</v>
          </cell>
          <cell r="R2795">
            <v>0</v>
          </cell>
        </row>
        <row r="2796">
          <cell r="Q2796">
            <v>0</v>
          </cell>
          <cell r="R2796">
            <v>0</v>
          </cell>
        </row>
        <row r="2797">
          <cell r="Q2797">
            <v>0</v>
          </cell>
          <cell r="R2797">
            <v>0</v>
          </cell>
        </row>
        <row r="2798">
          <cell r="Q2798">
            <v>0</v>
          </cell>
          <cell r="R2798">
            <v>0</v>
          </cell>
        </row>
        <row r="2799">
          <cell r="Q2799">
            <v>0</v>
          </cell>
          <cell r="R2799">
            <v>0</v>
          </cell>
        </row>
        <row r="2800">
          <cell r="Q2800">
            <v>0</v>
          </cell>
          <cell r="R2800">
            <v>0</v>
          </cell>
        </row>
        <row r="2801">
          <cell r="Q2801">
            <v>0</v>
          </cell>
          <cell r="R2801">
            <v>0</v>
          </cell>
        </row>
        <row r="2802">
          <cell r="Q2802">
            <v>0</v>
          </cell>
          <cell r="R2802">
            <v>0</v>
          </cell>
        </row>
        <row r="2803">
          <cell r="Q2803">
            <v>0</v>
          </cell>
          <cell r="R2803">
            <v>0</v>
          </cell>
        </row>
        <row r="2804">
          <cell r="Q2804">
            <v>0</v>
          </cell>
          <cell r="R2804">
            <v>0</v>
          </cell>
        </row>
        <row r="2805">
          <cell r="Q2805">
            <v>0</v>
          </cell>
          <cell r="R2805">
            <v>0</v>
          </cell>
        </row>
        <row r="2806">
          <cell r="Q2806">
            <v>0</v>
          </cell>
          <cell r="R2806">
            <v>0</v>
          </cell>
        </row>
        <row r="2807">
          <cell r="Q2807">
            <v>0</v>
          </cell>
          <cell r="R2807">
            <v>0</v>
          </cell>
        </row>
        <row r="2808">
          <cell r="Q2808">
            <v>0</v>
          </cell>
          <cell r="R2808">
            <v>0</v>
          </cell>
        </row>
        <row r="2809">
          <cell r="Q2809">
            <v>0</v>
          </cell>
          <cell r="R2809">
            <v>0</v>
          </cell>
        </row>
        <row r="2810">
          <cell r="Q2810">
            <v>0</v>
          </cell>
          <cell r="R2810">
            <v>0</v>
          </cell>
        </row>
        <row r="2811">
          <cell r="Q2811">
            <v>0</v>
          </cell>
          <cell r="R2811">
            <v>0</v>
          </cell>
        </row>
        <row r="2812">
          <cell r="Q2812">
            <v>0</v>
          </cell>
          <cell r="R2812">
            <v>0</v>
          </cell>
        </row>
        <row r="2813">
          <cell r="Q2813">
            <v>0</v>
          </cell>
          <cell r="R2813">
            <v>0</v>
          </cell>
        </row>
        <row r="2814">
          <cell r="Q2814">
            <v>0</v>
          </cell>
          <cell r="R2814">
            <v>0</v>
          </cell>
        </row>
        <row r="2815">
          <cell r="Q2815">
            <v>0</v>
          </cell>
          <cell r="R2815">
            <v>0</v>
          </cell>
        </row>
        <row r="2816">
          <cell r="Q2816">
            <v>0</v>
          </cell>
          <cell r="R2816">
            <v>0</v>
          </cell>
        </row>
        <row r="2817">
          <cell r="Q2817">
            <v>0</v>
          </cell>
          <cell r="R2817">
            <v>0</v>
          </cell>
        </row>
        <row r="2818">
          <cell r="Q2818">
            <v>0</v>
          </cell>
          <cell r="R2818">
            <v>0</v>
          </cell>
        </row>
        <row r="2819">
          <cell r="Q2819">
            <v>0</v>
          </cell>
          <cell r="R2819">
            <v>0</v>
          </cell>
        </row>
        <row r="2820">
          <cell r="Q2820">
            <v>0</v>
          </cell>
          <cell r="R2820">
            <v>0</v>
          </cell>
        </row>
        <row r="2821">
          <cell r="Q2821">
            <v>0</v>
          </cell>
          <cell r="R2821">
            <v>0</v>
          </cell>
        </row>
        <row r="2822">
          <cell r="Q2822">
            <v>0</v>
          </cell>
          <cell r="R2822">
            <v>0</v>
          </cell>
        </row>
        <row r="2823">
          <cell r="Q2823">
            <v>0</v>
          </cell>
          <cell r="R2823">
            <v>0</v>
          </cell>
        </row>
        <row r="2824">
          <cell r="Q2824">
            <v>0</v>
          </cell>
          <cell r="R2824">
            <v>0</v>
          </cell>
        </row>
        <row r="2825">
          <cell r="Q2825">
            <v>0</v>
          </cell>
          <cell r="R2825">
            <v>0</v>
          </cell>
        </row>
        <row r="2826">
          <cell r="Q2826">
            <v>3.3494191726934708</v>
          </cell>
          <cell r="R2826">
            <v>0</v>
          </cell>
        </row>
        <row r="2827">
          <cell r="Q2827">
            <v>0</v>
          </cell>
          <cell r="R2827">
            <v>0</v>
          </cell>
        </row>
        <row r="2828">
          <cell r="Q2828">
            <v>0</v>
          </cell>
          <cell r="R2828">
            <v>0</v>
          </cell>
        </row>
        <row r="2829">
          <cell r="Q2829">
            <v>0</v>
          </cell>
          <cell r="R2829">
            <v>0</v>
          </cell>
        </row>
        <row r="2830">
          <cell r="Q2830">
            <v>0</v>
          </cell>
          <cell r="R2830">
            <v>0</v>
          </cell>
        </row>
        <row r="2831">
          <cell r="Q2831">
            <v>0</v>
          </cell>
          <cell r="R2831">
            <v>0</v>
          </cell>
        </row>
        <row r="2832">
          <cell r="Q2832">
            <v>0</v>
          </cell>
          <cell r="R2832">
            <v>0</v>
          </cell>
        </row>
        <row r="2833">
          <cell r="Q2833">
            <v>0</v>
          </cell>
          <cell r="R2833">
            <v>0</v>
          </cell>
        </row>
        <row r="2834">
          <cell r="Q2834">
            <v>0</v>
          </cell>
          <cell r="R2834">
            <v>0</v>
          </cell>
        </row>
        <row r="2835">
          <cell r="Q2835">
            <v>0</v>
          </cell>
          <cell r="R2835">
            <v>0</v>
          </cell>
        </row>
        <row r="2836">
          <cell r="Q2836">
            <v>0</v>
          </cell>
          <cell r="R2836">
            <v>0</v>
          </cell>
        </row>
        <row r="2837">
          <cell r="Q2837">
            <v>0</v>
          </cell>
          <cell r="R2837">
            <v>0</v>
          </cell>
        </row>
        <row r="2838">
          <cell r="Q2838">
            <v>0</v>
          </cell>
          <cell r="R2838">
            <v>0</v>
          </cell>
        </row>
        <row r="2839">
          <cell r="Q2839">
            <v>0</v>
          </cell>
          <cell r="R2839">
            <v>0</v>
          </cell>
        </row>
        <row r="2840">
          <cell r="Q2840">
            <v>0</v>
          </cell>
          <cell r="R2840">
            <v>0</v>
          </cell>
        </row>
        <row r="2841">
          <cell r="Q2841">
            <v>0</v>
          </cell>
          <cell r="R2841">
            <v>0</v>
          </cell>
        </row>
        <row r="2842">
          <cell r="Q2842">
            <v>0</v>
          </cell>
          <cell r="R2842">
            <v>0</v>
          </cell>
        </row>
        <row r="2843">
          <cell r="Q2843">
            <v>0</v>
          </cell>
          <cell r="R2843">
            <v>0</v>
          </cell>
        </row>
        <row r="2844">
          <cell r="Q2844">
            <v>0</v>
          </cell>
          <cell r="R2844">
            <v>0</v>
          </cell>
        </row>
        <row r="2845">
          <cell r="Q2845">
            <v>0</v>
          </cell>
          <cell r="R2845">
            <v>0</v>
          </cell>
        </row>
        <row r="2846">
          <cell r="Q2846">
            <v>0</v>
          </cell>
          <cell r="R2846">
            <v>0</v>
          </cell>
        </row>
        <row r="2847">
          <cell r="Q2847">
            <v>2.5797538253512733</v>
          </cell>
          <cell r="R2847">
            <v>0</v>
          </cell>
        </row>
        <row r="2848">
          <cell r="Q2848">
            <v>2.4551919490819927</v>
          </cell>
          <cell r="R2848">
            <v>0</v>
          </cell>
        </row>
        <row r="2849">
          <cell r="Q2849">
            <v>0</v>
          </cell>
          <cell r="R2849">
            <v>0</v>
          </cell>
        </row>
        <row r="2850">
          <cell r="Q2850">
            <v>0</v>
          </cell>
          <cell r="R2850">
            <v>0</v>
          </cell>
        </row>
        <row r="2851">
          <cell r="Q2851">
            <v>0</v>
          </cell>
          <cell r="R2851">
            <v>0</v>
          </cell>
        </row>
        <row r="2852">
          <cell r="Q2852">
            <v>0</v>
          </cell>
          <cell r="R2852">
            <v>0</v>
          </cell>
        </row>
        <row r="2853">
          <cell r="Q2853">
            <v>0</v>
          </cell>
          <cell r="R2853">
            <v>0</v>
          </cell>
        </row>
        <row r="2854">
          <cell r="Q2854">
            <v>0</v>
          </cell>
          <cell r="R2854">
            <v>0</v>
          </cell>
        </row>
        <row r="2855">
          <cell r="Q2855">
            <v>0</v>
          </cell>
          <cell r="R2855">
            <v>0</v>
          </cell>
        </row>
        <row r="2856">
          <cell r="Q2856">
            <v>0</v>
          </cell>
          <cell r="R2856">
            <v>0</v>
          </cell>
        </row>
        <row r="2857">
          <cell r="Q2857">
            <v>0</v>
          </cell>
          <cell r="R2857">
            <v>0</v>
          </cell>
        </row>
        <row r="2858">
          <cell r="Q2858">
            <v>0</v>
          </cell>
          <cell r="R2858">
            <v>0</v>
          </cell>
        </row>
        <row r="2859">
          <cell r="Q2859">
            <v>0</v>
          </cell>
          <cell r="R2859">
            <v>0</v>
          </cell>
        </row>
        <row r="2860">
          <cell r="Q2860">
            <v>0</v>
          </cell>
          <cell r="R2860">
            <v>0</v>
          </cell>
        </row>
        <row r="2861">
          <cell r="Q2861">
            <v>0</v>
          </cell>
          <cell r="R2861">
            <v>0</v>
          </cell>
        </row>
        <row r="2862">
          <cell r="Q2862">
            <v>0</v>
          </cell>
          <cell r="R2862">
            <v>0</v>
          </cell>
        </row>
        <row r="2863">
          <cell r="Q2863">
            <v>0</v>
          </cell>
          <cell r="R2863">
            <v>0</v>
          </cell>
        </row>
        <row r="2864">
          <cell r="Q2864">
            <v>0</v>
          </cell>
          <cell r="R2864">
            <v>0</v>
          </cell>
        </row>
        <row r="2865">
          <cell r="Q2865">
            <v>0</v>
          </cell>
          <cell r="R2865">
            <v>0</v>
          </cell>
        </row>
        <row r="2866">
          <cell r="Q2866">
            <v>0</v>
          </cell>
          <cell r="R2866">
            <v>0</v>
          </cell>
        </row>
        <row r="2867">
          <cell r="Q2867">
            <v>0</v>
          </cell>
          <cell r="R2867">
            <v>0</v>
          </cell>
        </row>
        <row r="2868">
          <cell r="Q2868">
            <v>0</v>
          </cell>
          <cell r="R2868">
            <v>0</v>
          </cell>
        </row>
        <row r="2869">
          <cell r="Q2869">
            <v>0</v>
          </cell>
          <cell r="R2869">
            <v>0</v>
          </cell>
        </row>
        <row r="2870">
          <cell r="Q2870">
            <v>0</v>
          </cell>
          <cell r="R2870">
            <v>0</v>
          </cell>
        </row>
        <row r="2871">
          <cell r="Q2871">
            <v>0</v>
          </cell>
          <cell r="R2871">
            <v>0</v>
          </cell>
        </row>
        <row r="2872">
          <cell r="Q2872">
            <v>0</v>
          </cell>
          <cell r="R2872">
            <v>0</v>
          </cell>
        </row>
        <row r="2873">
          <cell r="Q2873">
            <v>0</v>
          </cell>
          <cell r="R2873">
            <v>0</v>
          </cell>
        </row>
        <row r="2874">
          <cell r="Q2874">
            <v>3.1011571183853532</v>
          </cell>
          <cell r="R2874">
            <v>0</v>
          </cell>
        </row>
        <row r="2875">
          <cell r="Q2875">
            <v>3.8243090403145144</v>
          </cell>
          <cell r="R2875">
            <v>0</v>
          </cell>
        </row>
        <row r="2876">
          <cell r="Q2876">
            <v>3.3313740223702926</v>
          </cell>
          <cell r="R2876">
            <v>0</v>
          </cell>
        </row>
        <row r="2877">
          <cell r="Q2877">
            <v>0</v>
          </cell>
          <cell r="R2877">
            <v>0</v>
          </cell>
        </row>
        <row r="2878">
          <cell r="Q2878">
            <v>0</v>
          </cell>
          <cell r="R2878">
            <v>0</v>
          </cell>
        </row>
        <row r="2879">
          <cell r="Q2879">
            <v>0</v>
          </cell>
          <cell r="R2879">
            <v>0</v>
          </cell>
        </row>
        <row r="2880">
          <cell r="Q2880">
            <v>0</v>
          </cell>
          <cell r="R2880">
            <v>0</v>
          </cell>
        </row>
        <row r="2881">
          <cell r="Q2881">
            <v>0</v>
          </cell>
          <cell r="R2881">
            <v>0</v>
          </cell>
        </row>
        <row r="2882">
          <cell r="Q2882">
            <v>0</v>
          </cell>
          <cell r="R2882">
            <v>0</v>
          </cell>
        </row>
        <row r="2883">
          <cell r="Q2883">
            <v>0</v>
          </cell>
          <cell r="R2883">
            <v>0</v>
          </cell>
        </row>
        <row r="2884">
          <cell r="Q2884">
            <v>0</v>
          </cell>
          <cell r="R2884">
            <v>0</v>
          </cell>
        </row>
        <row r="2885">
          <cell r="Q2885">
            <v>0</v>
          </cell>
          <cell r="R2885">
            <v>0</v>
          </cell>
        </row>
        <row r="2886">
          <cell r="Q2886">
            <v>0</v>
          </cell>
          <cell r="R2886">
            <v>0</v>
          </cell>
        </row>
        <row r="2887">
          <cell r="Q2887">
            <v>0</v>
          </cell>
          <cell r="R2887">
            <v>0</v>
          </cell>
        </row>
        <row r="2888">
          <cell r="Q2888">
            <v>0</v>
          </cell>
          <cell r="R2888">
            <v>0</v>
          </cell>
        </row>
        <row r="2889">
          <cell r="Q2889">
            <v>0</v>
          </cell>
          <cell r="R2889">
            <v>0</v>
          </cell>
        </row>
        <row r="2890">
          <cell r="Q2890">
            <v>0</v>
          </cell>
          <cell r="R2890">
            <v>0</v>
          </cell>
        </row>
        <row r="2891">
          <cell r="Q2891">
            <v>0</v>
          </cell>
          <cell r="R2891">
            <v>0</v>
          </cell>
        </row>
        <row r="2892">
          <cell r="Q2892">
            <v>0</v>
          </cell>
          <cell r="R2892">
            <v>0</v>
          </cell>
        </row>
        <row r="2893">
          <cell r="Q2893">
            <v>0</v>
          </cell>
          <cell r="R2893">
            <v>0</v>
          </cell>
        </row>
        <row r="2894">
          <cell r="Q2894">
            <v>0</v>
          </cell>
          <cell r="R2894">
            <v>0</v>
          </cell>
        </row>
        <row r="2895">
          <cell r="Q2895">
            <v>0</v>
          </cell>
          <cell r="R2895">
            <v>0</v>
          </cell>
        </row>
        <row r="2896">
          <cell r="Q2896">
            <v>0</v>
          </cell>
          <cell r="R2896">
            <v>0</v>
          </cell>
        </row>
        <row r="2897">
          <cell r="Q2897">
            <v>0</v>
          </cell>
          <cell r="R2897">
            <v>0</v>
          </cell>
        </row>
        <row r="2898">
          <cell r="Q2898">
            <v>0</v>
          </cell>
          <cell r="R2898">
            <v>0</v>
          </cell>
        </row>
        <row r="2899">
          <cell r="Q2899">
            <v>0</v>
          </cell>
          <cell r="R2899">
            <v>0</v>
          </cell>
        </row>
        <row r="2900">
          <cell r="Q2900">
            <v>0</v>
          </cell>
          <cell r="R2900">
            <v>0</v>
          </cell>
        </row>
        <row r="2901">
          <cell r="Q2901">
            <v>0</v>
          </cell>
          <cell r="R2901">
            <v>0</v>
          </cell>
        </row>
        <row r="2902">
          <cell r="Q2902">
            <v>0</v>
          </cell>
          <cell r="R2902">
            <v>0</v>
          </cell>
        </row>
        <row r="2903">
          <cell r="Q2903">
            <v>0</v>
          </cell>
          <cell r="R2903">
            <v>0</v>
          </cell>
        </row>
        <row r="2904">
          <cell r="Q2904">
            <v>0</v>
          </cell>
          <cell r="R2904">
            <v>0</v>
          </cell>
        </row>
        <row r="2905">
          <cell r="Q2905">
            <v>0</v>
          </cell>
          <cell r="R2905">
            <v>0</v>
          </cell>
        </row>
        <row r="2906">
          <cell r="Q2906">
            <v>0</v>
          </cell>
          <cell r="R2906">
            <v>0</v>
          </cell>
        </row>
        <row r="2907">
          <cell r="Q2907">
            <v>0</v>
          </cell>
          <cell r="R2907">
            <v>0</v>
          </cell>
        </row>
        <row r="2908">
          <cell r="Q2908">
            <v>0</v>
          </cell>
          <cell r="R2908">
            <v>0</v>
          </cell>
        </row>
        <row r="2909">
          <cell r="Q2909">
            <v>0</v>
          </cell>
          <cell r="R2909">
            <v>0</v>
          </cell>
        </row>
        <row r="2910">
          <cell r="Q2910">
            <v>0</v>
          </cell>
          <cell r="R2910">
            <v>0</v>
          </cell>
        </row>
        <row r="2911">
          <cell r="Q2911">
            <v>0</v>
          </cell>
          <cell r="R2911">
            <v>0</v>
          </cell>
        </row>
        <row r="2912">
          <cell r="Q2912">
            <v>0</v>
          </cell>
          <cell r="R2912">
            <v>0</v>
          </cell>
        </row>
        <row r="2913">
          <cell r="Q2913">
            <v>0</v>
          </cell>
          <cell r="R2913">
            <v>0</v>
          </cell>
        </row>
        <row r="2914">
          <cell r="Q2914">
            <v>0</v>
          </cell>
          <cell r="R2914">
            <v>0</v>
          </cell>
        </row>
        <row r="2915">
          <cell r="Q2915">
            <v>0</v>
          </cell>
          <cell r="R2915">
            <v>0</v>
          </cell>
        </row>
        <row r="2916">
          <cell r="Q2916">
            <v>0</v>
          </cell>
          <cell r="R2916">
            <v>0</v>
          </cell>
        </row>
        <row r="2917">
          <cell r="Q2917">
            <v>0</v>
          </cell>
          <cell r="R2917">
            <v>0</v>
          </cell>
        </row>
        <row r="2918">
          <cell r="Q2918">
            <v>0</v>
          </cell>
          <cell r="R2918">
            <v>0</v>
          </cell>
        </row>
        <row r="2919">
          <cell r="Q2919">
            <v>0</v>
          </cell>
          <cell r="R2919">
            <v>0</v>
          </cell>
        </row>
        <row r="2920">
          <cell r="Q2920">
            <v>0</v>
          </cell>
          <cell r="R2920">
            <v>0</v>
          </cell>
        </row>
        <row r="2921">
          <cell r="Q2921">
            <v>0</v>
          </cell>
          <cell r="R2921">
            <v>0</v>
          </cell>
        </row>
        <row r="2922">
          <cell r="Q2922">
            <v>0</v>
          </cell>
          <cell r="R2922">
            <v>0</v>
          </cell>
        </row>
        <row r="2923">
          <cell r="Q2923">
            <v>0</v>
          </cell>
          <cell r="R2923">
            <v>0</v>
          </cell>
        </row>
        <row r="2924">
          <cell r="Q2924">
            <v>0</v>
          </cell>
          <cell r="R2924">
            <v>0</v>
          </cell>
        </row>
        <row r="2925">
          <cell r="Q2925">
            <v>0</v>
          </cell>
          <cell r="R2925">
            <v>0</v>
          </cell>
        </row>
        <row r="2926">
          <cell r="Q2926">
            <v>0</v>
          </cell>
          <cell r="R2926">
            <v>0</v>
          </cell>
        </row>
        <row r="2927">
          <cell r="Q2927">
            <v>0</v>
          </cell>
          <cell r="R2927">
            <v>0</v>
          </cell>
        </row>
        <row r="2928">
          <cell r="Q2928">
            <v>0</v>
          </cell>
          <cell r="R2928">
            <v>0</v>
          </cell>
        </row>
        <row r="2929">
          <cell r="Q2929">
            <v>0</v>
          </cell>
          <cell r="R2929">
            <v>0</v>
          </cell>
        </row>
        <row r="2930">
          <cell r="Q2930">
            <v>0</v>
          </cell>
          <cell r="R2930">
            <v>0</v>
          </cell>
        </row>
        <row r="2931">
          <cell r="Q2931">
            <v>0</v>
          </cell>
          <cell r="R2931">
            <v>0</v>
          </cell>
        </row>
        <row r="2932">
          <cell r="Q2932">
            <v>0</v>
          </cell>
          <cell r="R2932">
            <v>0</v>
          </cell>
        </row>
        <row r="2933">
          <cell r="Q2933">
            <v>0</v>
          </cell>
          <cell r="R2933">
            <v>0</v>
          </cell>
        </row>
        <row r="2934">
          <cell r="Q2934">
            <v>0</v>
          </cell>
          <cell r="R2934">
            <v>0</v>
          </cell>
        </row>
        <row r="2935">
          <cell r="Q2935">
            <v>0</v>
          </cell>
          <cell r="R2935">
            <v>0</v>
          </cell>
        </row>
        <row r="2936">
          <cell r="Q2936">
            <v>0</v>
          </cell>
          <cell r="R2936">
            <v>0</v>
          </cell>
        </row>
        <row r="2937">
          <cell r="Q2937">
            <v>0</v>
          </cell>
          <cell r="R2937">
            <v>0</v>
          </cell>
        </row>
        <row r="2938">
          <cell r="Q2938">
            <v>0</v>
          </cell>
          <cell r="R2938">
            <v>0</v>
          </cell>
        </row>
        <row r="2939">
          <cell r="Q2939">
            <v>0</v>
          </cell>
          <cell r="R2939">
            <v>0</v>
          </cell>
        </row>
        <row r="2940">
          <cell r="Q2940">
            <v>0</v>
          </cell>
          <cell r="R2940">
            <v>0</v>
          </cell>
        </row>
        <row r="2941">
          <cell r="Q2941">
            <v>0</v>
          </cell>
          <cell r="R2941">
            <v>0</v>
          </cell>
        </row>
        <row r="2942">
          <cell r="Q2942">
            <v>0</v>
          </cell>
          <cell r="R2942">
            <v>0</v>
          </cell>
        </row>
        <row r="2943">
          <cell r="Q2943">
            <v>0</v>
          </cell>
          <cell r="R2943">
            <v>0</v>
          </cell>
        </row>
        <row r="2944">
          <cell r="Q2944">
            <v>0</v>
          </cell>
          <cell r="R2944">
            <v>0</v>
          </cell>
        </row>
        <row r="2945">
          <cell r="Q2945">
            <v>0</v>
          </cell>
          <cell r="R2945">
            <v>0</v>
          </cell>
        </row>
        <row r="2946">
          <cell r="Q2946">
            <v>0</v>
          </cell>
          <cell r="R2946">
            <v>0</v>
          </cell>
        </row>
        <row r="2947">
          <cell r="Q2947">
            <v>0</v>
          </cell>
          <cell r="R2947">
            <v>0</v>
          </cell>
        </row>
        <row r="2948">
          <cell r="Q2948">
            <v>0</v>
          </cell>
          <cell r="R2948">
            <v>0</v>
          </cell>
        </row>
        <row r="2949">
          <cell r="Q2949">
            <v>0</v>
          </cell>
          <cell r="R2949">
            <v>0</v>
          </cell>
        </row>
        <row r="2950">
          <cell r="Q2950">
            <v>0</v>
          </cell>
          <cell r="R2950">
            <v>0</v>
          </cell>
        </row>
        <row r="2951">
          <cell r="Q2951">
            <v>0</v>
          </cell>
          <cell r="R2951">
            <v>0</v>
          </cell>
        </row>
        <row r="2952">
          <cell r="Q2952">
            <v>0</v>
          </cell>
          <cell r="R2952">
            <v>0</v>
          </cell>
        </row>
        <row r="2953">
          <cell r="Q2953">
            <v>0</v>
          </cell>
          <cell r="R2953">
            <v>0</v>
          </cell>
        </row>
        <row r="2954">
          <cell r="Q2954">
            <v>0</v>
          </cell>
          <cell r="R2954">
            <v>0</v>
          </cell>
        </row>
        <row r="2955">
          <cell r="Q2955">
            <v>0</v>
          </cell>
          <cell r="R2955">
            <v>0</v>
          </cell>
        </row>
        <row r="2956">
          <cell r="Q2956">
            <v>0</v>
          </cell>
          <cell r="R2956">
            <v>0</v>
          </cell>
        </row>
        <row r="2957">
          <cell r="Q2957">
            <v>0</v>
          </cell>
          <cell r="R2957">
            <v>0</v>
          </cell>
        </row>
        <row r="2958">
          <cell r="Q2958">
            <v>0</v>
          </cell>
          <cell r="R2958">
            <v>0</v>
          </cell>
        </row>
        <row r="2959">
          <cell r="Q2959">
            <v>0</v>
          </cell>
          <cell r="R2959">
            <v>0</v>
          </cell>
        </row>
        <row r="2960">
          <cell r="Q2960">
            <v>0</v>
          </cell>
          <cell r="R2960">
            <v>0</v>
          </cell>
        </row>
        <row r="2961">
          <cell r="Q2961">
            <v>0</v>
          </cell>
          <cell r="R2961">
            <v>0</v>
          </cell>
        </row>
        <row r="2962">
          <cell r="Q2962">
            <v>0</v>
          </cell>
          <cell r="R2962">
            <v>0</v>
          </cell>
        </row>
        <row r="2963">
          <cell r="Q2963">
            <v>0</v>
          </cell>
          <cell r="R2963">
            <v>0</v>
          </cell>
        </row>
        <row r="2964">
          <cell r="Q2964">
            <v>0</v>
          </cell>
          <cell r="R2964">
            <v>0</v>
          </cell>
        </row>
        <row r="2965">
          <cell r="Q2965">
            <v>0</v>
          </cell>
          <cell r="R2965">
            <v>0</v>
          </cell>
        </row>
        <row r="2966">
          <cell r="Q2966">
            <v>0</v>
          </cell>
          <cell r="R2966">
            <v>0</v>
          </cell>
        </row>
        <row r="2967">
          <cell r="Q2967">
            <v>0</v>
          </cell>
          <cell r="R2967">
            <v>0</v>
          </cell>
        </row>
        <row r="2968">
          <cell r="Q2968">
            <v>0</v>
          </cell>
          <cell r="R2968">
            <v>0</v>
          </cell>
        </row>
        <row r="2969">
          <cell r="Q2969">
            <v>0</v>
          </cell>
          <cell r="R2969">
            <v>0</v>
          </cell>
        </row>
        <row r="2970">
          <cell r="Q2970">
            <v>0</v>
          </cell>
          <cell r="R2970">
            <v>0</v>
          </cell>
        </row>
        <row r="2971">
          <cell r="Q2971">
            <v>0</v>
          </cell>
          <cell r="R2971">
            <v>0</v>
          </cell>
        </row>
        <row r="2972">
          <cell r="Q2972">
            <v>0</v>
          </cell>
          <cell r="R2972">
            <v>0</v>
          </cell>
        </row>
        <row r="2973">
          <cell r="Q2973">
            <v>0</v>
          </cell>
          <cell r="R2973">
            <v>0</v>
          </cell>
        </row>
        <row r="2974">
          <cell r="Q2974">
            <v>0</v>
          </cell>
          <cell r="R2974">
            <v>0</v>
          </cell>
        </row>
        <row r="2975">
          <cell r="Q2975">
            <v>0</v>
          </cell>
          <cell r="R2975">
            <v>0</v>
          </cell>
        </row>
        <row r="2976">
          <cell r="Q2976">
            <v>0</v>
          </cell>
          <cell r="R2976">
            <v>0</v>
          </cell>
        </row>
        <row r="2977">
          <cell r="Q2977">
            <v>0</v>
          </cell>
          <cell r="R2977">
            <v>0</v>
          </cell>
        </row>
        <row r="2978">
          <cell r="Q2978">
            <v>0</v>
          </cell>
          <cell r="R2978">
            <v>0</v>
          </cell>
        </row>
        <row r="2979">
          <cell r="Q2979">
            <v>0</v>
          </cell>
          <cell r="R2979">
            <v>0</v>
          </cell>
        </row>
        <row r="2980">
          <cell r="Q2980">
            <v>0</v>
          </cell>
          <cell r="R2980">
            <v>0</v>
          </cell>
        </row>
        <row r="2981">
          <cell r="Q2981">
            <v>0</v>
          </cell>
          <cell r="R2981">
            <v>0</v>
          </cell>
        </row>
        <row r="2982">
          <cell r="Q2982">
            <v>0</v>
          </cell>
          <cell r="R2982">
            <v>0</v>
          </cell>
        </row>
        <row r="2983">
          <cell r="Q2983">
            <v>0</v>
          </cell>
          <cell r="R2983">
            <v>0</v>
          </cell>
        </row>
        <row r="2984">
          <cell r="Q2984">
            <v>0</v>
          </cell>
          <cell r="R2984">
            <v>0</v>
          </cell>
        </row>
        <row r="2985">
          <cell r="Q2985">
            <v>0</v>
          </cell>
          <cell r="R2985">
            <v>0</v>
          </cell>
        </row>
        <row r="2986">
          <cell r="Q2986">
            <v>0</v>
          </cell>
          <cell r="R2986">
            <v>0</v>
          </cell>
        </row>
        <row r="2987">
          <cell r="Q2987">
            <v>0</v>
          </cell>
          <cell r="R2987">
            <v>0</v>
          </cell>
        </row>
        <row r="2988">
          <cell r="Q2988">
            <v>0</v>
          </cell>
          <cell r="R2988">
            <v>0</v>
          </cell>
        </row>
        <row r="2989">
          <cell r="Q2989">
            <v>0</v>
          </cell>
          <cell r="R2989">
            <v>0</v>
          </cell>
        </row>
        <row r="2990">
          <cell r="Q2990">
            <v>0</v>
          </cell>
          <cell r="R2990">
            <v>0</v>
          </cell>
        </row>
        <row r="2991">
          <cell r="Q2991">
            <v>0</v>
          </cell>
          <cell r="R2991">
            <v>0</v>
          </cell>
        </row>
        <row r="2992">
          <cell r="Q2992">
            <v>0</v>
          </cell>
          <cell r="R2992">
            <v>0</v>
          </cell>
        </row>
        <row r="2993">
          <cell r="Q2993">
            <v>0</v>
          </cell>
          <cell r="R2993">
            <v>0</v>
          </cell>
        </row>
        <row r="2994">
          <cell r="Q2994">
            <v>0</v>
          </cell>
          <cell r="R2994">
            <v>0</v>
          </cell>
        </row>
        <row r="2995">
          <cell r="Q2995">
            <v>0</v>
          </cell>
          <cell r="R2995">
            <v>0</v>
          </cell>
        </row>
        <row r="2996">
          <cell r="Q2996">
            <v>0</v>
          </cell>
          <cell r="R2996">
            <v>0</v>
          </cell>
        </row>
        <row r="2997">
          <cell r="Q2997">
            <v>0</v>
          </cell>
          <cell r="R2997">
            <v>0</v>
          </cell>
        </row>
        <row r="2998">
          <cell r="Q2998">
            <v>0</v>
          </cell>
          <cell r="R2998">
            <v>0</v>
          </cell>
        </row>
        <row r="2999">
          <cell r="Q2999">
            <v>0</v>
          </cell>
          <cell r="R2999">
            <v>0</v>
          </cell>
        </row>
        <row r="3000">
          <cell r="Q3000">
            <v>0</v>
          </cell>
          <cell r="R3000">
            <v>0</v>
          </cell>
        </row>
        <row r="3001">
          <cell r="Q3001">
            <v>0</v>
          </cell>
          <cell r="R3001">
            <v>0</v>
          </cell>
        </row>
        <row r="3002">
          <cell r="Q3002">
            <v>0</v>
          </cell>
          <cell r="R3002">
            <v>0</v>
          </cell>
        </row>
        <row r="3003">
          <cell r="Q3003">
            <v>0</v>
          </cell>
          <cell r="R3003">
            <v>0</v>
          </cell>
        </row>
        <row r="3004">
          <cell r="Q3004">
            <v>0</v>
          </cell>
          <cell r="R3004">
            <v>0</v>
          </cell>
        </row>
        <row r="3005">
          <cell r="Q3005">
            <v>0</v>
          </cell>
          <cell r="R3005">
            <v>0</v>
          </cell>
        </row>
        <row r="3006">
          <cell r="Q3006">
            <v>0</v>
          </cell>
          <cell r="R3006">
            <v>0</v>
          </cell>
        </row>
        <row r="3007">
          <cell r="Q3007">
            <v>0</v>
          </cell>
          <cell r="R3007">
            <v>0</v>
          </cell>
        </row>
        <row r="3008">
          <cell r="Q3008">
            <v>0</v>
          </cell>
          <cell r="R3008">
            <v>0</v>
          </cell>
        </row>
        <row r="3009">
          <cell r="Q3009">
            <v>0</v>
          </cell>
          <cell r="R3009">
            <v>0</v>
          </cell>
        </row>
        <row r="3010">
          <cell r="Q3010">
            <v>0</v>
          </cell>
          <cell r="R3010">
            <v>0</v>
          </cell>
        </row>
        <row r="3011">
          <cell r="Q3011">
            <v>0</v>
          </cell>
          <cell r="R3011">
            <v>0</v>
          </cell>
        </row>
        <row r="3012">
          <cell r="Q3012">
            <v>0</v>
          </cell>
          <cell r="R3012">
            <v>0</v>
          </cell>
        </row>
        <row r="3013">
          <cell r="Q3013">
            <v>0</v>
          </cell>
          <cell r="R3013">
            <v>0</v>
          </cell>
        </row>
        <row r="3014">
          <cell r="Q3014">
            <v>0</v>
          </cell>
          <cell r="R3014">
            <v>0</v>
          </cell>
        </row>
        <row r="3015">
          <cell r="Q3015">
            <v>0</v>
          </cell>
          <cell r="R3015">
            <v>0</v>
          </cell>
        </row>
        <row r="3016">
          <cell r="Q3016">
            <v>0</v>
          </cell>
          <cell r="R3016">
            <v>0</v>
          </cell>
        </row>
        <row r="3017">
          <cell r="Q3017">
            <v>0</v>
          </cell>
          <cell r="R3017">
            <v>0</v>
          </cell>
        </row>
        <row r="3018">
          <cell r="Q3018">
            <v>0</v>
          </cell>
          <cell r="R3018">
            <v>0</v>
          </cell>
        </row>
        <row r="3019">
          <cell r="Q3019">
            <v>0</v>
          </cell>
          <cell r="R3019">
            <v>0</v>
          </cell>
        </row>
        <row r="3020">
          <cell r="Q3020">
            <v>0</v>
          </cell>
          <cell r="R3020">
            <v>0</v>
          </cell>
        </row>
        <row r="3021">
          <cell r="Q3021">
            <v>0</v>
          </cell>
          <cell r="R3021">
            <v>0</v>
          </cell>
        </row>
        <row r="3022">
          <cell r="Q3022">
            <v>0</v>
          </cell>
          <cell r="R3022">
            <v>0</v>
          </cell>
        </row>
        <row r="3023">
          <cell r="Q3023">
            <v>0</v>
          </cell>
          <cell r="R3023">
            <v>0</v>
          </cell>
        </row>
        <row r="3024">
          <cell r="Q3024">
            <v>0</v>
          </cell>
          <cell r="R3024">
            <v>0</v>
          </cell>
        </row>
        <row r="3025">
          <cell r="Q3025">
            <v>0</v>
          </cell>
          <cell r="R3025">
            <v>0</v>
          </cell>
        </row>
        <row r="3026">
          <cell r="Q3026">
            <v>0</v>
          </cell>
          <cell r="R3026">
            <v>0</v>
          </cell>
        </row>
        <row r="3027">
          <cell r="Q3027">
            <v>0</v>
          </cell>
          <cell r="R3027">
            <v>0</v>
          </cell>
        </row>
        <row r="3028">
          <cell r="Q3028">
            <v>0</v>
          </cell>
          <cell r="R3028">
            <v>0</v>
          </cell>
        </row>
        <row r="3029">
          <cell r="Q3029">
            <v>0</v>
          </cell>
          <cell r="R3029">
            <v>0</v>
          </cell>
        </row>
        <row r="3030">
          <cell r="Q3030">
            <v>0</v>
          </cell>
          <cell r="R3030">
            <v>0</v>
          </cell>
        </row>
        <row r="3031">
          <cell r="Q3031">
            <v>0</v>
          </cell>
          <cell r="R3031">
            <v>0</v>
          </cell>
        </row>
        <row r="3032">
          <cell r="Q3032">
            <v>0</v>
          </cell>
          <cell r="R3032">
            <v>0</v>
          </cell>
        </row>
        <row r="3033">
          <cell r="Q3033">
            <v>0</v>
          </cell>
          <cell r="R3033">
            <v>0</v>
          </cell>
        </row>
        <row r="3034">
          <cell r="Q3034">
            <v>0</v>
          </cell>
          <cell r="R3034">
            <v>0</v>
          </cell>
        </row>
        <row r="3035">
          <cell r="Q3035">
            <v>0</v>
          </cell>
          <cell r="R3035">
            <v>0</v>
          </cell>
        </row>
        <row r="3036">
          <cell r="Q3036">
            <v>0</v>
          </cell>
          <cell r="R3036">
            <v>0</v>
          </cell>
        </row>
        <row r="3037">
          <cell r="Q3037">
            <v>0</v>
          </cell>
          <cell r="R3037">
            <v>0</v>
          </cell>
        </row>
        <row r="3038">
          <cell r="Q3038">
            <v>0</v>
          </cell>
          <cell r="R3038">
            <v>0</v>
          </cell>
        </row>
        <row r="3039">
          <cell r="Q3039">
            <v>0</v>
          </cell>
          <cell r="R3039">
            <v>0</v>
          </cell>
        </row>
        <row r="3040">
          <cell r="Q3040">
            <v>0</v>
          </cell>
          <cell r="R3040">
            <v>0</v>
          </cell>
        </row>
        <row r="3041">
          <cell r="Q3041">
            <v>0</v>
          </cell>
          <cell r="R3041">
            <v>0</v>
          </cell>
        </row>
        <row r="3042">
          <cell r="Q3042">
            <v>0</v>
          </cell>
          <cell r="R3042">
            <v>0</v>
          </cell>
        </row>
        <row r="3043">
          <cell r="Q3043">
            <v>0</v>
          </cell>
          <cell r="R3043">
            <v>0</v>
          </cell>
        </row>
        <row r="3044">
          <cell r="Q3044">
            <v>0</v>
          </cell>
          <cell r="R3044">
            <v>0</v>
          </cell>
        </row>
        <row r="3045">
          <cell r="Q3045">
            <v>0</v>
          </cell>
          <cell r="R3045">
            <v>0</v>
          </cell>
        </row>
        <row r="3046">
          <cell r="Q3046">
            <v>0</v>
          </cell>
          <cell r="R3046">
            <v>0</v>
          </cell>
        </row>
        <row r="3047">
          <cell r="Q3047">
            <v>0</v>
          </cell>
          <cell r="R3047">
            <v>0</v>
          </cell>
        </row>
        <row r="3048">
          <cell r="Q3048">
            <v>0</v>
          </cell>
          <cell r="R3048">
            <v>0</v>
          </cell>
        </row>
        <row r="3049">
          <cell r="Q3049">
            <v>0</v>
          </cell>
          <cell r="R3049">
            <v>0</v>
          </cell>
        </row>
        <row r="3050">
          <cell r="Q3050">
            <v>0</v>
          </cell>
          <cell r="R3050">
            <v>0</v>
          </cell>
        </row>
        <row r="3051">
          <cell r="Q3051">
            <v>0</v>
          </cell>
          <cell r="R3051">
            <v>0</v>
          </cell>
        </row>
        <row r="3052">
          <cell r="Q3052">
            <v>0</v>
          </cell>
          <cell r="R3052">
            <v>0</v>
          </cell>
        </row>
        <row r="3053">
          <cell r="Q3053">
            <v>0</v>
          </cell>
          <cell r="R3053">
            <v>0</v>
          </cell>
        </row>
        <row r="3054">
          <cell r="Q3054">
            <v>0</v>
          </cell>
          <cell r="R3054">
            <v>0</v>
          </cell>
        </row>
        <row r="3055">
          <cell r="Q3055">
            <v>0</v>
          </cell>
          <cell r="R3055">
            <v>0</v>
          </cell>
        </row>
        <row r="3056">
          <cell r="Q3056">
            <v>0</v>
          </cell>
          <cell r="R3056">
            <v>0</v>
          </cell>
        </row>
        <row r="3057">
          <cell r="Q3057">
            <v>0</v>
          </cell>
          <cell r="R3057">
            <v>0</v>
          </cell>
        </row>
        <row r="3058">
          <cell r="Q3058">
            <v>0</v>
          </cell>
          <cell r="R3058">
            <v>0</v>
          </cell>
        </row>
        <row r="3059">
          <cell r="Q3059">
            <v>0</v>
          </cell>
          <cell r="R3059">
            <v>0</v>
          </cell>
        </row>
        <row r="3060">
          <cell r="Q3060">
            <v>0</v>
          </cell>
          <cell r="R3060">
            <v>0</v>
          </cell>
        </row>
        <row r="3061">
          <cell r="Q3061">
            <v>0</v>
          </cell>
          <cell r="R3061">
            <v>0</v>
          </cell>
        </row>
        <row r="3062">
          <cell r="Q3062">
            <v>0</v>
          </cell>
          <cell r="R3062">
            <v>0</v>
          </cell>
        </row>
        <row r="3063">
          <cell r="Q3063">
            <v>0</v>
          </cell>
          <cell r="R3063">
            <v>0</v>
          </cell>
        </row>
        <row r="3064">
          <cell r="Q3064">
            <v>0</v>
          </cell>
          <cell r="R3064">
            <v>0</v>
          </cell>
        </row>
        <row r="3065">
          <cell r="Q3065">
            <v>0</v>
          </cell>
          <cell r="R3065">
            <v>0</v>
          </cell>
        </row>
        <row r="3066">
          <cell r="Q3066">
            <v>0</v>
          </cell>
          <cell r="R3066">
            <v>0</v>
          </cell>
        </row>
        <row r="3067">
          <cell r="Q3067">
            <v>0</v>
          </cell>
          <cell r="R3067">
            <v>0</v>
          </cell>
        </row>
        <row r="3068">
          <cell r="Q3068">
            <v>0</v>
          </cell>
          <cell r="R3068">
            <v>0</v>
          </cell>
        </row>
        <row r="3069">
          <cell r="Q3069">
            <v>0</v>
          </cell>
          <cell r="R3069">
            <v>0</v>
          </cell>
        </row>
        <row r="3070">
          <cell r="Q3070">
            <v>0</v>
          </cell>
          <cell r="R3070">
            <v>0</v>
          </cell>
        </row>
        <row r="3071">
          <cell r="Q3071">
            <v>0</v>
          </cell>
          <cell r="R3071">
            <v>0</v>
          </cell>
        </row>
        <row r="3072">
          <cell r="Q3072">
            <v>0</v>
          </cell>
          <cell r="R3072">
            <v>0</v>
          </cell>
        </row>
        <row r="3073">
          <cell r="Q3073">
            <v>0</v>
          </cell>
          <cell r="R3073">
            <v>0</v>
          </cell>
        </row>
        <row r="3074">
          <cell r="Q3074">
            <v>0</v>
          </cell>
          <cell r="R3074">
            <v>0</v>
          </cell>
        </row>
        <row r="3075">
          <cell r="Q3075">
            <v>0</v>
          </cell>
          <cell r="R3075">
            <v>0</v>
          </cell>
        </row>
        <row r="3076">
          <cell r="Q3076">
            <v>0</v>
          </cell>
          <cell r="R3076">
            <v>0</v>
          </cell>
        </row>
        <row r="3077">
          <cell r="Q3077">
            <v>0</v>
          </cell>
          <cell r="R3077">
            <v>0</v>
          </cell>
        </row>
        <row r="3078">
          <cell r="Q3078">
            <v>0</v>
          </cell>
          <cell r="R3078">
            <v>0</v>
          </cell>
        </row>
        <row r="3079">
          <cell r="Q3079">
            <v>0</v>
          </cell>
          <cell r="R3079">
            <v>0</v>
          </cell>
        </row>
        <row r="3080">
          <cell r="Q3080">
            <v>0</v>
          </cell>
          <cell r="R3080">
            <v>0</v>
          </cell>
        </row>
        <row r="3081">
          <cell r="Q3081">
            <v>0</v>
          </cell>
          <cell r="R3081">
            <v>0</v>
          </cell>
        </row>
        <row r="3082">
          <cell r="Q3082">
            <v>0</v>
          </cell>
          <cell r="R3082">
            <v>0</v>
          </cell>
        </row>
        <row r="3083">
          <cell r="Q3083">
            <v>0</v>
          </cell>
          <cell r="R3083">
            <v>0</v>
          </cell>
        </row>
        <row r="3084">
          <cell r="Q3084">
            <v>0</v>
          </cell>
          <cell r="R3084">
            <v>0</v>
          </cell>
        </row>
        <row r="3085">
          <cell r="Q3085">
            <v>0</v>
          </cell>
          <cell r="R3085">
            <v>0</v>
          </cell>
        </row>
        <row r="3086">
          <cell r="Q3086">
            <v>0</v>
          </cell>
          <cell r="R3086">
            <v>0</v>
          </cell>
        </row>
        <row r="3087">
          <cell r="Q3087">
            <v>0</v>
          </cell>
          <cell r="R3087">
            <v>0</v>
          </cell>
        </row>
        <row r="3088">
          <cell r="Q3088">
            <v>0</v>
          </cell>
          <cell r="R3088">
            <v>0</v>
          </cell>
        </row>
        <row r="3089">
          <cell r="Q3089">
            <v>0</v>
          </cell>
          <cell r="R3089">
            <v>0</v>
          </cell>
        </row>
        <row r="3090">
          <cell r="Q3090">
            <v>0</v>
          </cell>
          <cell r="R3090">
            <v>0</v>
          </cell>
        </row>
        <row r="3091">
          <cell r="Q3091">
            <v>0</v>
          </cell>
          <cell r="R3091">
            <v>0</v>
          </cell>
        </row>
        <row r="3092">
          <cell r="Q3092">
            <v>0</v>
          </cell>
          <cell r="R3092">
            <v>0</v>
          </cell>
        </row>
        <row r="3093">
          <cell r="Q3093">
            <v>0</v>
          </cell>
          <cell r="R3093">
            <v>0</v>
          </cell>
        </row>
        <row r="3094">
          <cell r="Q3094">
            <v>0</v>
          </cell>
          <cell r="R3094">
            <v>0</v>
          </cell>
        </row>
        <row r="3095">
          <cell r="Q3095">
            <v>0</v>
          </cell>
          <cell r="R3095">
            <v>0</v>
          </cell>
        </row>
        <row r="3096">
          <cell r="Q3096">
            <v>0</v>
          </cell>
          <cell r="R3096">
            <v>0</v>
          </cell>
        </row>
        <row r="3097">
          <cell r="Q3097">
            <v>0</v>
          </cell>
          <cell r="R3097">
            <v>0</v>
          </cell>
        </row>
        <row r="3098">
          <cell r="Q3098">
            <v>0</v>
          </cell>
          <cell r="R3098">
            <v>0</v>
          </cell>
        </row>
        <row r="3099">
          <cell r="Q3099">
            <v>0</v>
          </cell>
          <cell r="R3099">
            <v>0</v>
          </cell>
        </row>
        <row r="3100">
          <cell r="Q3100">
            <v>0</v>
          </cell>
          <cell r="R3100">
            <v>0</v>
          </cell>
        </row>
        <row r="3101">
          <cell r="Q3101">
            <v>0</v>
          </cell>
          <cell r="R3101">
            <v>0</v>
          </cell>
        </row>
        <row r="3102">
          <cell r="Q3102">
            <v>0</v>
          </cell>
          <cell r="R3102">
            <v>0</v>
          </cell>
        </row>
        <row r="3103">
          <cell r="Q3103">
            <v>0</v>
          </cell>
          <cell r="R3103">
            <v>0</v>
          </cell>
        </row>
        <row r="3104">
          <cell r="Q3104">
            <v>0</v>
          </cell>
          <cell r="R3104">
            <v>0</v>
          </cell>
        </row>
        <row r="3105">
          <cell r="Q3105">
            <v>0</v>
          </cell>
          <cell r="R3105">
            <v>0</v>
          </cell>
        </row>
        <row r="3106">
          <cell r="Q3106">
            <v>0</v>
          </cell>
          <cell r="R3106">
            <v>0</v>
          </cell>
        </row>
        <row r="3107">
          <cell r="Q3107">
            <v>0</v>
          </cell>
          <cell r="R3107">
            <v>0</v>
          </cell>
        </row>
        <row r="3108">
          <cell r="Q3108">
            <v>0</v>
          </cell>
          <cell r="R3108">
            <v>0</v>
          </cell>
        </row>
        <row r="3109">
          <cell r="Q3109">
            <v>0</v>
          </cell>
          <cell r="R3109">
            <v>0</v>
          </cell>
        </row>
        <row r="3110">
          <cell r="Q3110">
            <v>0</v>
          </cell>
          <cell r="R3110">
            <v>0</v>
          </cell>
        </row>
        <row r="3111">
          <cell r="Q3111">
            <v>0</v>
          </cell>
          <cell r="R3111">
            <v>0</v>
          </cell>
        </row>
        <row r="3112">
          <cell r="Q3112">
            <v>0</v>
          </cell>
          <cell r="R3112">
            <v>0</v>
          </cell>
        </row>
        <row r="3113">
          <cell r="Q3113">
            <v>0</v>
          </cell>
          <cell r="R3113">
            <v>0</v>
          </cell>
        </row>
        <row r="3114">
          <cell r="Q3114">
            <v>0</v>
          </cell>
          <cell r="R3114">
            <v>0</v>
          </cell>
        </row>
        <row r="3115">
          <cell r="Q3115">
            <v>0</v>
          </cell>
          <cell r="R3115">
            <v>0</v>
          </cell>
        </row>
        <row r="3116">
          <cell r="Q3116">
            <v>0</v>
          </cell>
          <cell r="R3116">
            <v>0</v>
          </cell>
        </row>
        <row r="3117">
          <cell r="Q3117">
            <v>0</v>
          </cell>
          <cell r="R3117">
            <v>0</v>
          </cell>
        </row>
        <row r="3118">
          <cell r="Q3118">
            <v>0</v>
          </cell>
          <cell r="R3118">
            <v>0</v>
          </cell>
        </row>
        <row r="3119">
          <cell r="Q3119">
            <v>0</v>
          </cell>
          <cell r="R3119">
            <v>0</v>
          </cell>
        </row>
        <row r="3120">
          <cell r="Q3120">
            <v>0</v>
          </cell>
          <cell r="R3120">
            <v>0</v>
          </cell>
        </row>
        <row r="3121">
          <cell r="Q3121">
            <v>0</v>
          </cell>
          <cell r="R3121">
            <v>0</v>
          </cell>
        </row>
        <row r="3122">
          <cell r="Q3122">
            <v>0</v>
          </cell>
          <cell r="R3122">
            <v>0</v>
          </cell>
        </row>
        <row r="3123">
          <cell r="Q3123">
            <v>0</v>
          </cell>
          <cell r="R3123">
            <v>0</v>
          </cell>
        </row>
        <row r="3124">
          <cell r="Q3124">
            <v>0</v>
          </cell>
          <cell r="R3124">
            <v>0</v>
          </cell>
        </row>
        <row r="3125">
          <cell r="Q3125">
            <v>0</v>
          </cell>
          <cell r="R3125">
            <v>0</v>
          </cell>
        </row>
        <row r="3126">
          <cell r="Q3126">
            <v>0</v>
          </cell>
          <cell r="R3126">
            <v>0</v>
          </cell>
        </row>
        <row r="3127">
          <cell r="Q3127">
            <v>0</v>
          </cell>
          <cell r="R3127">
            <v>0</v>
          </cell>
        </row>
        <row r="3128">
          <cell r="Q3128">
            <v>0</v>
          </cell>
          <cell r="R3128">
            <v>0</v>
          </cell>
        </row>
        <row r="3129">
          <cell r="Q3129">
            <v>0</v>
          </cell>
          <cell r="R3129">
            <v>0</v>
          </cell>
        </row>
        <row r="3130">
          <cell r="Q3130">
            <v>0</v>
          </cell>
          <cell r="R3130">
            <v>0</v>
          </cell>
        </row>
        <row r="3131">
          <cell r="Q3131">
            <v>0</v>
          </cell>
          <cell r="R3131">
            <v>0</v>
          </cell>
        </row>
        <row r="3132">
          <cell r="Q3132">
            <v>0</v>
          </cell>
          <cell r="R3132">
            <v>0</v>
          </cell>
        </row>
        <row r="3133">
          <cell r="Q3133">
            <v>0</v>
          </cell>
          <cell r="R3133">
            <v>0</v>
          </cell>
        </row>
        <row r="3134">
          <cell r="Q3134">
            <v>0</v>
          </cell>
          <cell r="R3134">
            <v>0</v>
          </cell>
        </row>
        <row r="3135">
          <cell r="Q3135">
            <v>0</v>
          </cell>
          <cell r="R3135">
            <v>0</v>
          </cell>
        </row>
        <row r="3136">
          <cell r="Q3136">
            <v>0</v>
          </cell>
          <cell r="R3136">
            <v>0</v>
          </cell>
        </row>
        <row r="3137">
          <cell r="Q3137">
            <v>0</v>
          </cell>
          <cell r="R3137">
            <v>0</v>
          </cell>
        </row>
        <row r="3138">
          <cell r="Q3138">
            <v>0</v>
          </cell>
          <cell r="R3138">
            <v>0</v>
          </cell>
        </row>
        <row r="3139">
          <cell r="Q3139">
            <v>0</v>
          </cell>
          <cell r="R3139">
            <v>0</v>
          </cell>
        </row>
        <row r="3140">
          <cell r="Q3140">
            <v>0</v>
          </cell>
          <cell r="R3140">
            <v>0</v>
          </cell>
        </row>
        <row r="3141">
          <cell r="Q3141">
            <v>0</v>
          </cell>
          <cell r="R3141">
            <v>0</v>
          </cell>
        </row>
        <row r="3142">
          <cell r="Q3142">
            <v>0</v>
          </cell>
          <cell r="R3142">
            <v>0</v>
          </cell>
        </row>
        <row r="3143">
          <cell r="Q3143">
            <v>0</v>
          </cell>
          <cell r="R3143">
            <v>0</v>
          </cell>
        </row>
        <row r="3144">
          <cell r="Q3144">
            <v>0</v>
          </cell>
          <cell r="R3144">
            <v>0</v>
          </cell>
        </row>
        <row r="3145">
          <cell r="Q3145">
            <v>0</v>
          </cell>
          <cell r="R3145">
            <v>0</v>
          </cell>
        </row>
        <row r="3146">
          <cell r="Q3146">
            <v>0</v>
          </cell>
          <cell r="R3146">
            <v>0</v>
          </cell>
        </row>
        <row r="3147">
          <cell r="Q3147">
            <v>10.85180420639727</v>
          </cell>
          <cell r="R3147">
            <v>0</v>
          </cell>
        </row>
        <row r="3148">
          <cell r="Q3148">
            <v>0</v>
          </cell>
          <cell r="R3148">
            <v>0</v>
          </cell>
        </row>
        <row r="3149">
          <cell r="Q3149">
            <v>0</v>
          </cell>
          <cell r="R3149">
            <v>0</v>
          </cell>
        </row>
        <row r="3150">
          <cell r="Q3150">
            <v>0</v>
          </cell>
          <cell r="R3150">
            <v>0</v>
          </cell>
        </row>
        <row r="3151">
          <cell r="Q3151">
            <v>0</v>
          </cell>
          <cell r="R3151">
            <v>0</v>
          </cell>
        </row>
        <row r="3152">
          <cell r="Q3152">
            <v>0</v>
          </cell>
          <cell r="R3152">
            <v>0</v>
          </cell>
        </row>
        <row r="3153">
          <cell r="Q3153">
            <v>0</v>
          </cell>
          <cell r="R3153">
            <v>0</v>
          </cell>
        </row>
        <row r="3154">
          <cell r="Q3154">
            <v>0</v>
          </cell>
          <cell r="R3154">
            <v>0</v>
          </cell>
        </row>
        <row r="3155">
          <cell r="Q3155">
            <v>0</v>
          </cell>
          <cell r="R3155">
            <v>0</v>
          </cell>
        </row>
        <row r="3156">
          <cell r="Q3156">
            <v>0</v>
          </cell>
          <cell r="R3156">
            <v>0</v>
          </cell>
        </row>
        <row r="3157">
          <cell r="Q3157">
            <v>0</v>
          </cell>
          <cell r="R3157">
            <v>0</v>
          </cell>
        </row>
        <row r="3158">
          <cell r="Q3158">
            <v>0</v>
          </cell>
          <cell r="R3158">
            <v>0</v>
          </cell>
        </row>
        <row r="3159">
          <cell r="Q3159">
            <v>0</v>
          </cell>
          <cell r="R3159">
            <v>0</v>
          </cell>
        </row>
        <row r="3160">
          <cell r="Q3160">
            <v>0</v>
          </cell>
          <cell r="R3160">
            <v>0</v>
          </cell>
        </row>
        <row r="3161">
          <cell r="Q3161">
            <v>0</v>
          </cell>
          <cell r="R3161">
            <v>0</v>
          </cell>
        </row>
        <row r="3162">
          <cell r="Q3162">
            <v>0</v>
          </cell>
          <cell r="R3162">
            <v>0</v>
          </cell>
        </row>
        <row r="3163">
          <cell r="Q3163">
            <v>0</v>
          </cell>
          <cell r="R3163">
            <v>0</v>
          </cell>
        </row>
        <row r="3164">
          <cell r="Q3164">
            <v>0</v>
          </cell>
          <cell r="R3164">
            <v>0</v>
          </cell>
        </row>
        <row r="3165">
          <cell r="Q3165">
            <v>0</v>
          </cell>
          <cell r="R3165">
            <v>0</v>
          </cell>
        </row>
        <row r="3166">
          <cell r="Q3166">
            <v>0</v>
          </cell>
          <cell r="R3166">
            <v>0</v>
          </cell>
        </row>
        <row r="3167">
          <cell r="Q3167">
            <v>0</v>
          </cell>
          <cell r="R3167">
            <v>0</v>
          </cell>
        </row>
        <row r="3168">
          <cell r="Q3168">
            <v>0</v>
          </cell>
          <cell r="R3168">
            <v>0</v>
          </cell>
        </row>
        <row r="3169">
          <cell r="Q3169">
            <v>0</v>
          </cell>
          <cell r="R3169">
            <v>0</v>
          </cell>
        </row>
        <row r="3170">
          <cell r="Q3170">
            <v>0</v>
          </cell>
          <cell r="R3170">
            <v>0</v>
          </cell>
        </row>
        <row r="3171">
          <cell r="Q3171">
            <v>0</v>
          </cell>
          <cell r="R3171">
            <v>0</v>
          </cell>
        </row>
        <row r="3172">
          <cell r="Q3172">
            <v>0</v>
          </cell>
          <cell r="R3172">
            <v>0</v>
          </cell>
        </row>
        <row r="3173">
          <cell r="Q3173">
            <v>0</v>
          </cell>
          <cell r="R3173">
            <v>0</v>
          </cell>
        </row>
        <row r="3174">
          <cell r="Q3174">
            <v>0</v>
          </cell>
          <cell r="R3174">
            <v>0</v>
          </cell>
        </row>
        <row r="3175">
          <cell r="Q3175">
            <v>0</v>
          </cell>
          <cell r="R3175">
            <v>0</v>
          </cell>
        </row>
        <row r="3176">
          <cell r="Q3176">
            <v>0</v>
          </cell>
          <cell r="R3176">
            <v>0</v>
          </cell>
        </row>
        <row r="3177">
          <cell r="Q3177">
            <v>0</v>
          </cell>
          <cell r="R3177">
            <v>0</v>
          </cell>
        </row>
        <row r="3178">
          <cell r="Q3178">
            <v>0</v>
          </cell>
          <cell r="R3178">
            <v>0</v>
          </cell>
        </row>
        <row r="3179">
          <cell r="Q3179">
            <v>0</v>
          </cell>
          <cell r="R3179">
            <v>0</v>
          </cell>
        </row>
        <row r="3180">
          <cell r="Q3180">
            <v>0</v>
          </cell>
          <cell r="R3180">
            <v>0</v>
          </cell>
        </row>
        <row r="3181">
          <cell r="Q3181">
            <v>0</v>
          </cell>
          <cell r="R3181">
            <v>0</v>
          </cell>
        </row>
        <row r="3182">
          <cell r="Q3182">
            <v>0</v>
          </cell>
          <cell r="R3182">
            <v>0</v>
          </cell>
        </row>
        <row r="3183">
          <cell r="Q3183">
            <v>0</v>
          </cell>
          <cell r="R3183">
            <v>0</v>
          </cell>
        </row>
        <row r="3184">
          <cell r="Q3184">
            <v>0</v>
          </cell>
          <cell r="R3184">
            <v>0</v>
          </cell>
        </row>
        <row r="3185">
          <cell r="Q3185">
            <v>0</v>
          </cell>
          <cell r="R3185">
            <v>0</v>
          </cell>
        </row>
        <row r="3186">
          <cell r="Q3186">
            <v>0</v>
          </cell>
          <cell r="R3186">
            <v>0</v>
          </cell>
        </row>
        <row r="3187">
          <cell r="Q3187">
            <v>0</v>
          </cell>
          <cell r="R3187">
            <v>0</v>
          </cell>
        </row>
        <row r="3188">
          <cell r="Q3188">
            <v>0</v>
          </cell>
          <cell r="R3188">
            <v>0</v>
          </cell>
        </row>
        <row r="3189">
          <cell r="Q3189">
            <v>0</v>
          </cell>
          <cell r="R3189">
            <v>0</v>
          </cell>
        </row>
        <row r="3190">
          <cell r="Q3190">
            <v>0</v>
          </cell>
          <cell r="R3190">
            <v>0</v>
          </cell>
        </row>
        <row r="3191">
          <cell r="Q3191">
            <v>0</v>
          </cell>
          <cell r="R3191">
            <v>0</v>
          </cell>
        </row>
        <row r="3192">
          <cell r="Q3192">
            <v>0</v>
          </cell>
          <cell r="R3192">
            <v>0</v>
          </cell>
        </row>
        <row r="3193">
          <cell r="Q3193">
            <v>0</v>
          </cell>
          <cell r="R3193">
            <v>0</v>
          </cell>
        </row>
        <row r="3194">
          <cell r="Q3194">
            <v>0</v>
          </cell>
          <cell r="R3194">
            <v>0</v>
          </cell>
        </row>
        <row r="3195">
          <cell r="Q3195">
            <v>0</v>
          </cell>
          <cell r="R3195">
            <v>0</v>
          </cell>
        </row>
        <row r="3196">
          <cell r="Q3196">
            <v>0</v>
          </cell>
          <cell r="R3196">
            <v>0</v>
          </cell>
        </row>
        <row r="3197">
          <cell r="Q3197">
            <v>0</v>
          </cell>
          <cell r="R3197">
            <v>0</v>
          </cell>
        </row>
        <row r="3198">
          <cell r="Q3198">
            <v>0</v>
          </cell>
          <cell r="R3198">
            <v>0</v>
          </cell>
        </row>
        <row r="3199">
          <cell r="Q3199">
            <v>0</v>
          </cell>
          <cell r="R3199">
            <v>0</v>
          </cell>
        </row>
        <row r="3200">
          <cell r="Q3200">
            <v>0</v>
          </cell>
          <cell r="R3200">
            <v>0</v>
          </cell>
        </row>
        <row r="3201">
          <cell r="Q3201">
            <v>0</v>
          </cell>
          <cell r="R3201">
            <v>0</v>
          </cell>
        </row>
        <row r="3202">
          <cell r="Q3202">
            <v>0</v>
          </cell>
          <cell r="R3202">
            <v>0</v>
          </cell>
        </row>
        <row r="3203">
          <cell r="Q3203">
            <v>0</v>
          </cell>
          <cell r="R3203">
            <v>0</v>
          </cell>
        </row>
        <row r="3204">
          <cell r="Q3204">
            <v>0</v>
          </cell>
          <cell r="R3204">
            <v>0</v>
          </cell>
        </row>
        <row r="3205">
          <cell r="Q3205">
            <v>0</v>
          </cell>
          <cell r="R3205">
            <v>0</v>
          </cell>
        </row>
        <row r="3206">
          <cell r="Q3206">
            <v>0</v>
          </cell>
          <cell r="R3206">
            <v>0</v>
          </cell>
        </row>
        <row r="3207">
          <cell r="Q3207">
            <v>0</v>
          </cell>
          <cell r="R3207">
            <v>0</v>
          </cell>
        </row>
        <row r="3208">
          <cell r="Q3208">
            <v>0</v>
          </cell>
          <cell r="R3208">
            <v>0</v>
          </cell>
        </row>
        <row r="3209">
          <cell r="Q3209">
            <v>0</v>
          </cell>
          <cell r="R3209">
            <v>0</v>
          </cell>
        </row>
        <row r="3210">
          <cell r="Q3210">
            <v>0</v>
          </cell>
          <cell r="R3210">
            <v>0</v>
          </cell>
        </row>
        <row r="3211">
          <cell r="Q3211">
            <v>0</v>
          </cell>
          <cell r="R3211">
            <v>0</v>
          </cell>
        </row>
        <row r="3212">
          <cell r="Q3212">
            <v>0</v>
          </cell>
          <cell r="R3212">
            <v>0</v>
          </cell>
        </row>
        <row r="3213">
          <cell r="Q3213">
            <v>0</v>
          </cell>
          <cell r="R3213">
            <v>0</v>
          </cell>
        </row>
        <row r="3214">
          <cell r="Q3214">
            <v>0</v>
          </cell>
          <cell r="R3214">
            <v>0</v>
          </cell>
        </row>
        <row r="3215">
          <cell r="Q3215">
            <v>0</v>
          </cell>
          <cell r="R3215">
            <v>0</v>
          </cell>
        </row>
        <row r="3216">
          <cell r="Q3216">
            <v>0</v>
          </cell>
          <cell r="R3216">
            <v>0</v>
          </cell>
        </row>
        <row r="3217">
          <cell r="Q3217">
            <v>0</v>
          </cell>
          <cell r="R3217">
            <v>0</v>
          </cell>
        </row>
        <row r="3218">
          <cell r="Q3218">
            <v>0</v>
          </cell>
          <cell r="R3218">
            <v>0</v>
          </cell>
        </row>
        <row r="3219">
          <cell r="Q3219">
            <v>0</v>
          </cell>
          <cell r="R3219">
            <v>0</v>
          </cell>
        </row>
        <row r="3220">
          <cell r="Q3220">
            <v>0</v>
          </cell>
          <cell r="R3220">
            <v>0</v>
          </cell>
        </row>
        <row r="3221">
          <cell r="Q3221">
            <v>0</v>
          </cell>
          <cell r="R3221">
            <v>0</v>
          </cell>
        </row>
        <row r="3222">
          <cell r="Q3222">
            <v>0</v>
          </cell>
          <cell r="R3222">
            <v>0</v>
          </cell>
        </row>
        <row r="3223">
          <cell r="Q3223">
            <v>0</v>
          </cell>
          <cell r="R3223">
            <v>0</v>
          </cell>
        </row>
        <row r="3224">
          <cell r="Q3224">
            <v>0</v>
          </cell>
          <cell r="R3224">
            <v>0</v>
          </cell>
        </row>
        <row r="3225">
          <cell r="Q3225">
            <v>0</v>
          </cell>
          <cell r="R3225">
            <v>0</v>
          </cell>
        </row>
        <row r="3226">
          <cell r="Q3226">
            <v>0</v>
          </cell>
          <cell r="R3226">
            <v>0</v>
          </cell>
        </row>
        <row r="3227">
          <cell r="Q3227">
            <v>0</v>
          </cell>
          <cell r="R3227">
            <v>0</v>
          </cell>
        </row>
        <row r="3228">
          <cell r="Q3228">
            <v>0</v>
          </cell>
          <cell r="R3228">
            <v>0</v>
          </cell>
        </row>
        <row r="3229">
          <cell r="Q3229">
            <v>0</v>
          </cell>
          <cell r="R3229">
            <v>0</v>
          </cell>
        </row>
        <row r="3230">
          <cell r="Q3230">
            <v>0</v>
          </cell>
          <cell r="R3230">
            <v>0</v>
          </cell>
        </row>
        <row r="3231">
          <cell r="Q3231">
            <v>0</v>
          </cell>
          <cell r="R3231">
            <v>0</v>
          </cell>
        </row>
        <row r="3232">
          <cell r="Q3232">
            <v>0</v>
          </cell>
          <cell r="R3232">
            <v>0</v>
          </cell>
        </row>
        <row r="3233">
          <cell r="Q3233">
            <v>0</v>
          </cell>
          <cell r="R3233">
            <v>0</v>
          </cell>
        </row>
        <row r="3234">
          <cell r="Q3234">
            <v>0</v>
          </cell>
          <cell r="R3234">
            <v>0</v>
          </cell>
        </row>
        <row r="3235">
          <cell r="Q3235">
            <v>0</v>
          </cell>
          <cell r="R3235">
            <v>0</v>
          </cell>
        </row>
        <row r="3236">
          <cell r="Q3236">
            <v>0</v>
          </cell>
          <cell r="R3236">
            <v>0</v>
          </cell>
        </row>
        <row r="3237">
          <cell r="Q3237">
            <v>0</v>
          </cell>
          <cell r="R3237">
            <v>0</v>
          </cell>
        </row>
        <row r="3238">
          <cell r="Q3238">
            <v>0</v>
          </cell>
          <cell r="R3238">
            <v>0</v>
          </cell>
        </row>
        <row r="3239">
          <cell r="Q3239">
            <v>0</v>
          </cell>
          <cell r="R3239">
            <v>0</v>
          </cell>
        </row>
        <row r="3240">
          <cell r="Q3240">
            <v>0</v>
          </cell>
          <cell r="R3240">
            <v>0</v>
          </cell>
        </row>
        <row r="3241">
          <cell r="Q3241">
            <v>0</v>
          </cell>
          <cell r="R3241">
            <v>0</v>
          </cell>
        </row>
        <row r="3242">
          <cell r="Q3242">
            <v>0</v>
          </cell>
          <cell r="R3242">
            <v>0</v>
          </cell>
        </row>
        <row r="3243">
          <cell r="Q3243">
            <v>0</v>
          </cell>
          <cell r="R3243">
            <v>0</v>
          </cell>
        </row>
        <row r="3244">
          <cell r="Q3244">
            <v>0</v>
          </cell>
          <cell r="R3244">
            <v>0</v>
          </cell>
        </row>
        <row r="3245">
          <cell r="Q3245">
            <v>0</v>
          </cell>
          <cell r="R3245">
            <v>0</v>
          </cell>
        </row>
        <row r="3246">
          <cell r="Q3246">
            <v>0</v>
          </cell>
          <cell r="R3246">
            <v>0</v>
          </cell>
        </row>
        <row r="3247">
          <cell r="Q3247">
            <v>0</v>
          </cell>
          <cell r="R3247">
            <v>0</v>
          </cell>
        </row>
        <row r="3248">
          <cell r="Q3248">
            <v>0</v>
          </cell>
          <cell r="R3248">
            <v>0</v>
          </cell>
        </row>
        <row r="3249">
          <cell r="Q3249">
            <v>0</v>
          </cell>
          <cell r="R3249">
            <v>0</v>
          </cell>
        </row>
        <row r="3250">
          <cell r="Q3250">
            <v>0</v>
          </cell>
          <cell r="R3250">
            <v>0</v>
          </cell>
        </row>
        <row r="3251">
          <cell r="Q3251">
            <v>0</v>
          </cell>
          <cell r="R3251">
            <v>0</v>
          </cell>
        </row>
        <row r="3252">
          <cell r="Q3252">
            <v>0</v>
          </cell>
          <cell r="R3252">
            <v>0</v>
          </cell>
        </row>
        <row r="3253">
          <cell r="Q3253">
            <v>0</v>
          </cell>
          <cell r="R3253">
            <v>0</v>
          </cell>
        </row>
        <row r="3254">
          <cell r="Q3254">
            <v>0</v>
          </cell>
          <cell r="R3254">
            <v>0</v>
          </cell>
        </row>
        <row r="3255">
          <cell r="Q3255">
            <v>0</v>
          </cell>
          <cell r="R3255">
            <v>0</v>
          </cell>
        </row>
        <row r="3256">
          <cell r="Q3256">
            <v>25.037658099894166</v>
          </cell>
          <cell r="R3256">
            <v>0</v>
          </cell>
        </row>
        <row r="3257">
          <cell r="Q3257">
            <v>8.3876555208084511</v>
          </cell>
          <cell r="R3257">
            <v>0</v>
          </cell>
        </row>
        <row r="3258">
          <cell r="Q3258">
            <v>7.6523200333872738</v>
          </cell>
          <cell r="R3258">
            <v>0</v>
          </cell>
        </row>
        <row r="3259">
          <cell r="Q3259">
            <v>2.4779710392560692</v>
          </cell>
          <cell r="R3259">
            <v>0</v>
          </cell>
        </row>
        <row r="3260">
          <cell r="Q3260">
            <v>1.2967880895092616</v>
          </cell>
          <cell r="R3260">
            <v>0</v>
          </cell>
        </row>
        <row r="3261">
          <cell r="Q3261">
            <v>0</v>
          </cell>
          <cell r="R3261">
            <v>0</v>
          </cell>
        </row>
        <row r="3262">
          <cell r="Q3262">
            <v>0</v>
          </cell>
          <cell r="R3262">
            <v>0</v>
          </cell>
        </row>
        <row r="3263">
          <cell r="Q3263">
            <v>0</v>
          </cell>
          <cell r="R3263">
            <v>0</v>
          </cell>
        </row>
        <row r="3264">
          <cell r="Q3264">
            <v>157.83730158730157</v>
          </cell>
          <cell r="R3264">
            <v>0</v>
          </cell>
        </row>
        <row r="3265">
          <cell r="Q3265">
            <v>10.689286836006575</v>
          </cell>
          <cell r="R3265">
            <v>0</v>
          </cell>
        </row>
        <row r="3266">
          <cell r="Q3266">
            <v>7.9451942011060277</v>
          </cell>
          <cell r="R3266">
            <v>23.835582603318084</v>
          </cell>
        </row>
        <row r="3267">
          <cell r="Q3267">
            <v>3.2354689575407312</v>
          </cell>
          <cell r="R3267">
            <v>9.7064068726221944</v>
          </cell>
        </row>
        <row r="3268">
          <cell r="Q3268">
            <v>3.2354689575407312</v>
          </cell>
          <cell r="R3268">
            <v>9.7064068726221944</v>
          </cell>
        </row>
        <row r="3269">
          <cell r="Q3269">
            <v>6.8197650013721915</v>
          </cell>
          <cell r="R3269">
            <v>20.459295004116573</v>
          </cell>
        </row>
        <row r="3270">
          <cell r="Q3270">
            <v>3.2354689575407312</v>
          </cell>
          <cell r="R3270">
            <v>9.7064068726221944</v>
          </cell>
        </row>
        <row r="3271">
          <cell r="Q3271">
            <v>2.3692804177266775</v>
          </cell>
          <cell r="R3271">
            <v>7.1078412531800321</v>
          </cell>
        </row>
        <row r="3272">
          <cell r="Q3272">
            <v>0</v>
          </cell>
          <cell r="R3272">
            <v>0</v>
          </cell>
        </row>
        <row r="3273">
          <cell r="Q3273">
            <v>0</v>
          </cell>
          <cell r="R3273">
            <v>0</v>
          </cell>
        </row>
        <row r="3274">
          <cell r="Q3274">
            <v>0</v>
          </cell>
          <cell r="R3274">
            <v>0</v>
          </cell>
        </row>
        <row r="3275">
          <cell r="Q3275">
            <v>0</v>
          </cell>
          <cell r="R3275">
            <v>0</v>
          </cell>
        </row>
        <row r="3276">
          <cell r="Q3276">
            <v>0</v>
          </cell>
          <cell r="R3276">
            <v>0</v>
          </cell>
        </row>
        <row r="3277">
          <cell r="Q3277">
            <v>0</v>
          </cell>
          <cell r="R3277">
            <v>0</v>
          </cell>
        </row>
        <row r="3278">
          <cell r="Q3278">
            <v>0</v>
          </cell>
          <cell r="R3278">
            <v>0</v>
          </cell>
        </row>
        <row r="3279">
          <cell r="Q3279">
            <v>0</v>
          </cell>
          <cell r="R3279">
            <v>0</v>
          </cell>
        </row>
        <row r="3280">
          <cell r="Q3280">
            <v>0</v>
          </cell>
          <cell r="R3280">
            <v>0</v>
          </cell>
        </row>
        <row r="3281">
          <cell r="Q3281">
            <v>0</v>
          </cell>
          <cell r="R3281">
            <v>0</v>
          </cell>
        </row>
        <row r="3282">
          <cell r="Q3282">
            <v>11.9438</v>
          </cell>
          <cell r="R3282">
            <v>0</v>
          </cell>
        </row>
        <row r="3283">
          <cell r="Q3283">
            <v>3.3875433221511035</v>
          </cell>
          <cell r="R3283">
            <v>0</v>
          </cell>
        </row>
        <row r="3284">
          <cell r="Q3284">
            <v>3.1915156410362475</v>
          </cell>
          <cell r="R3284">
            <v>0</v>
          </cell>
        </row>
        <row r="3285">
          <cell r="Q3285">
            <v>1.630472545532337</v>
          </cell>
          <cell r="R3285">
            <v>0</v>
          </cell>
        </row>
        <row r="3286">
          <cell r="Q3286">
            <v>1.630472545532337</v>
          </cell>
          <cell r="R3286">
            <v>0</v>
          </cell>
        </row>
        <row r="3287">
          <cell r="Q3287">
            <v>0</v>
          </cell>
          <cell r="R3287">
            <v>0</v>
          </cell>
        </row>
        <row r="3288">
          <cell r="Q3288">
            <v>0</v>
          </cell>
          <cell r="R3288">
            <v>0</v>
          </cell>
        </row>
        <row r="3289">
          <cell r="Q3289">
            <v>17.517197553063507</v>
          </cell>
          <cell r="R3289">
            <v>0</v>
          </cell>
        </row>
        <row r="3290">
          <cell r="Q3290">
            <v>2.9956810129748832</v>
          </cell>
          <cell r="R3290">
            <v>0</v>
          </cell>
        </row>
        <row r="3291">
          <cell r="Q3291">
            <v>8.7746814234914474</v>
          </cell>
          <cell r="R3291">
            <v>0</v>
          </cell>
        </row>
        <row r="3292">
          <cell r="Q3292">
            <v>8.206576858235417</v>
          </cell>
          <cell r="R3292">
            <v>0</v>
          </cell>
        </row>
        <row r="3293">
          <cell r="Q3293">
            <v>12.589689331350883</v>
          </cell>
          <cell r="R3293">
            <v>0</v>
          </cell>
        </row>
        <row r="3294">
          <cell r="Q3294">
            <v>0</v>
          </cell>
          <cell r="R3294">
            <v>0</v>
          </cell>
        </row>
        <row r="3295">
          <cell r="Q3295">
            <v>0</v>
          </cell>
          <cell r="R3295">
            <v>0</v>
          </cell>
        </row>
        <row r="3296">
          <cell r="Q3296">
            <v>0</v>
          </cell>
          <cell r="R3296">
            <v>0</v>
          </cell>
        </row>
        <row r="3297">
          <cell r="Q3297">
            <v>2.2583622147674025</v>
          </cell>
          <cell r="R3297">
            <v>0</v>
          </cell>
        </row>
        <row r="3298">
          <cell r="Q3298">
            <v>1.0414419460223545</v>
          </cell>
          <cell r="R3298">
            <v>0</v>
          </cell>
        </row>
        <row r="3299">
          <cell r="Q3299">
            <v>6.9804605855603183</v>
          </cell>
          <cell r="R3299">
            <v>0</v>
          </cell>
        </row>
        <row r="3300">
          <cell r="Q3300">
            <v>0.85666998785709814</v>
          </cell>
          <cell r="R3300">
            <v>0</v>
          </cell>
        </row>
        <row r="3301">
          <cell r="Q3301">
            <v>1.2561421818583995</v>
          </cell>
          <cell r="R3301">
            <v>0</v>
          </cell>
        </row>
        <row r="3302">
          <cell r="Q3302">
            <v>0</v>
          </cell>
          <cell r="R3302">
            <v>0</v>
          </cell>
        </row>
        <row r="3303">
          <cell r="Q3303">
            <v>0</v>
          </cell>
          <cell r="R3303">
            <v>0</v>
          </cell>
        </row>
        <row r="3304">
          <cell r="Q3304">
            <v>0</v>
          </cell>
          <cell r="R3304">
            <v>0</v>
          </cell>
        </row>
        <row r="3305">
          <cell r="Q3305">
            <v>0.96324364426160924</v>
          </cell>
          <cell r="R3305">
            <v>0</v>
          </cell>
        </row>
        <row r="3306">
          <cell r="Q3306">
            <v>0</v>
          </cell>
          <cell r="R3306">
            <v>0</v>
          </cell>
        </row>
        <row r="3307">
          <cell r="Q3307">
            <v>0</v>
          </cell>
          <cell r="R3307">
            <v>0</v>
          </cell>
        </row>
        <row r="3308">
          <cell r="Q3308">
            <v>0</v>
          </cell>
          <cell r="R3308">
            <v>0</v>
          </cell>
        </row>
        <row r="3309">
          <cell r="Q3309">
            <v>0</v>
          </cell>
          <cell r="R3309">
            <v>0</v>
          </cell>
        </row>
        <row r="3310">
          <cell r="Q3310">
            <v>0</v>
          </cell>
          <cell r="R3310">
            <v>0</v>
          </cell>
        </row>
        <row r="3311">
          <cell r="Q3311">
            <v>0</v>
          </cell>
          <cell r="R3311">
            <v>0</v>
          </cell>
        </row>
        <row r="3312">
          <cell r="Q3312">
            <v>0</v>
          </cell>
          <cell r="R3312">
            <v>0</v>
          </cell>
        </row>
        <row r="3313">
          <cell r="Q3313">
            <v>3.7201999999999997</v>
          </cell>
          <cell r="R3313">
            <v>0</v>
          </cell>
        </row>
        <row r="3314">
          <cell r="Q3314">
            <v>1.2766062564144991</v>
          </cell>
          <cell r="R3314">
            <v>0</v>
          </cell>
        </row>
        <row r="3315">
          <cell r="Q3315">
            <v>1.5540441449605087</v>
          </cell>
          <cell r="R3315">
            <v>0</v>
          </cell>
        </row>
        <row r="3316">
          <cell r="Q3316">
            <v>0</v>
          </cell>
          <cell r="R3316">
            <v>0</v>
          </cell>
        </row>
        <row r="3317">
          <cell r="Q3317">
            <v>0</v>
          </cell>
          <cell r="R3317">
            <v>0</v>
          </cell>
        </row>
        <row r="3318">
          <cell r="Q3318">
            <v>12.214612036200771</v>
          </cell>
          <cell r="R3318">
            <v>0</v>
          </cell>
        </row>
        <row r="3319">
          <cell r="Q3319">
            <v>7.5507748351367763</v>
          </cell>
          <cell r="R3319">
            <v>0</v>
          </cell>
        </row>
        <row r="3320">
          <cell r="Q3320">
            <v>20.125333499022311</v>
          </cell>
          <cell r="R3320">
            <v>0</v>
          </cell>
        </row>
        <row r="3321">
          <cell r="Q3321">
            <v>3.6591539890028777</v>
          </cell>
          <cell r="R3321">
            <v>0</v>
          </cell>
        </row>
        <row r="3322">
          <cell r="Q3322">
            <v>3.37343083153185</v>
          </cell>
          <cell r="R3322">
            <v>0</v>
          </cell>
        </row>
        <row r="3323">
          <cell r="Q3323">
            <v>8.2512749892715576</v>
          </cell>
          <cell r="R3323">
            <v>0</v>
          </cell>
        </row>
        <row r="3324">
          <cell r="Q3324">
            <v>0</v>
          </cell>
          <cell r="R3324">
            <v>0</v>
          </cell>
        </row>
        <row r="3325">
          <cell r="Q3325">
            <v>0</v>
          </cell>
          <cell r="R3325">
            <v>0</v>
          </cell>
        </row>
        <row r="3326">
          <cell r="Q3326">
            <v>2.2583622147674025</v>
          </cell>
          <cell r="R3326">
            <v>0</v>
          </cell>
        </row>
        <row r="3327">
          <cell r="Q3327">
            <v>1.5795202784844515</v>
          </cell>
          <cell r="R3327">
            <v>0</v>
          </cell>
        </row>
        <row r="3328">
          <cell r="Q3328">
            <v>1.2992828097210811</v>
          </cell>
          <cell r="R3328">
            <v>0</v>
          </cell>
        </row>
        <row r="3329">
          <cell r="Q3329">
            <v>7.0314128526082031</v>
          </cell>
          <cell r="R3329">
            <v>0</v>
          </cell>
        </row>
        <row r="3330">
          <cell r="Q3330">
            <v>0</v>
          </cell>
          <cell r="R3330">
            <v>0</v>
          </cell>
        </row>
        <row r="3331">
          <cell r="Q3331">
            <v>0</v>
          </cell>
          <cell r="R3331">
            <v>0</v>
          </cell>
        </row>
        <row r="3332">
          <cell r="Q3332">
            <v>2.9459</v>
          </cell>
          <cell r="R3332">
            <v>0</v>
          </cell>
        </row>
        <row r="3333">
          <cell r="Q3333">
            <v>0</v>
          </cell>
          <cell r="R3333">
            <v>0</v>
          </cell>
        </row>
        <row r="3334">
          <cell r="Q3334">
            <v>0</v>
          </cell>
          <cell r="R3334">
            <v>0</v>
          </cell>
        </row>
        <row r="3335">
          <cell r="Q3335">
            <v>0</v>
          </cell>
          <cell r="R3335">
            <v>0</v>
          </cell>
        </row>
        <row r="3336">
          <cell r="Q3336">
            <v>0</v>
          </cell>
          <cell r="R3336">
            <v>0</v>
          </cell>
        </row>
        <row r="3337">
          <cell r="Q3337">
            <v>0</v>
          </cell>
          <cell r="R3337">
            <v>0</v>
          </cell>
        </row>
        <row r="3338">
          <cell r="Q3338">
            <v>0</v>
          </cell>
          <cell r="R3338">
            <v>0</v>
          </cell>
        </row>
        <row r="3339">
          <cell r="Q3339">
            <v>0</v>
          </cell>
          <cell r="R3339">
            <v>0</v>
          </cell>
        </row>
        <row r="3340">
          <cell r="Q3340">
            <v>0</v>
          </cell>
          <cell r="R3340">
            <v>0</v>
          </cell>
        </row>
        <row r="3341">
          <cell r="Q3341">
            <v>0</v>
          </cell>
          <cell r="R3341">
            <v>0</v>
          </cell>
        </row>
        <row r="3342">
          <cell r="Q3342">
            <v>0</v>
          </cell>
          <cell r="R3342">
            <v>0</v>
          </cell>
        </row>
        <row r="3343">
          <cell r="Q3343">
            <v>1.630472545532337</v>
          </cell>
          <cell r="R3343">
            <v>0</v>
          </cell>
        </row>
        <row r="3344">
          <cell r="Q3344">
            <v>0</v>
          </cell>
          <cell r="R3344">
            <v>0</v>
          </cell>
        </row>
        <row r="3345">
          <cell r="Q3345">
            <v>1.5540441449605087</v>
          </cell>
          <cell r="R3345">
            <v>0</v>
          </cell>
        </row>
        <row r="3346">
          <cell r="Q3346">
            <v>0</v>
          </cell>
          <cell r="R3346">
            <v>0</v>
          </cell>
        </row>
        <row r="3347">
          <cell r="Q3347">
            <v>0</v>
          </cell>
          <cell r="R3347">
            <v>0</v>
          </cell>
        </row>
        <row r="3348">
          <cell r="Q3348">
            <v>0</v>
          </cell>
          <cell r="R3348">
            <v>0</v>
          </cell>
        </row>
        <row r="3349">
          <cell r="Q3349">
            <v>14.78390684020351</v>
          </cell>
          <cell r="R3349">
            <v>0</v>
          </cell>
        </row>
        <row r="3350">
          <cell r="Q3350">
            <v>11.373283912934426</v>
          </cell>
          <cell r="R3350">
            <v>0</v>
          </cell>
        </row>
        <row r="3351">
          <cell r="Q3351">
            <v>2.3648790547058431</v>
          </cell>
          <cell r="R3351">
            <v>0</v>
          </cell>
        </row>
        <row r="3352">
          <cell r="Q3352">
            <v>8.2222212040980658</v>
          </cell>
          <cell r="R3352">
            <v>0</v>
          </cell>
        </row>
        <row r="3353">
          <cell r="Q3353">
            <v>0</v>
          </cell>
          <cell r="R3353">
            <v>0</v>
          </cell>
        </row>
        <row r="3354">
          <cell r="Q3354">
            <v>0</v>
          </cell>
          <cell r="R3354">
            <v>0</v>
          </cell>
        </row>
        <row r="3355">
          <cell r="Q3355">
            <v>0</v>
          </cell>
          <cell r="R3355">
            <v>0</v>
          </cell>
        </row>
        <row r="3356">
          <cell r="Q3356">
            <v>1.8509388138053704</v>
          </cell>
          <cell r="R3356">
            <v>0</v>
          </cell>
        </row>
        <row r="3357">
          <cell r="Q3357">
            <v>2.3205189729720099</v>
          </cell>
          <cell r="R3357">
            <v>0</v>
          </cell>
        </row>
        <row r="3358">
          <cell r="Q3358">
            <v>1.210848593570236</v>
          </cell>
          <cell r="R3358">
            <v>0</v>
          </cell>
        </row>
        <row r="3359">
          <cell r="Q3359">
            <v>1.0078470445377623</v>
          </cell>
          <cell r="R3359">
            <v>0</v>
          </cell>
        </row>
        <row r="3360">
          <cell r="Q3360">
            <v>1.2610686094351669</v>
          </cell>
          <cell r="R3360">
            <v>0</v>
          </cell>
        </row>
        <row r="3361">
          <cell r="Q3361">
            <v>7.4135548554673454</v>
          </cell>
          <cell r="R3361">
            <v>0</v>
          </cell>
        </row>
        <row r="3362">
          <cell r="Q3362">
            <v>0</v>
          </cell>
          <cell r="R3362">
            <v>0</v>
          </cell>
        </row>
        <row r="3363">
          <cell r="Q3363">
            <v>0</v>
          </cell>
          <cell r="R3363">
            <v>0</v>
          </cell>
        </row>
        <row r="3364">
          <cell r="Q3364">
            <v>0</v>
          </cell>
          <cell r="R3364">
            <v>0</v>
          </cell>
        </row>
        <row r="3365">
          <cell r="Q3365">
            <v>0</v>
          </cell>
          <cell r="R3365">
            <v>0</v>
          </cell>
        </row>
        <row r="3366">
          <cell r="Q3366">
            <v>0</v>
          </cell>
          <cell r="R3366">
            <v>0</v>
          </cell>
        </row>
        <row r="3367">
          <cell r="Q3367">
            <v>0</v>
          </cell>
          <cell r="R3367">
            <v>0</v>
          </cell>
        </row>
        <row r="3368">
          <cell r="Q3368">
            <v>0</v>
          </cell>
          <cell r="R3368">
            <v>0</v>
          </cell>
        </row>
        <row r="3369">
          <cell r="Q3369">
            <v>0</v>
          </cell>
          <cell r="R3369">
            <v>0</v>
          </cell>
        </row>
        <row r="3370">
          <cell r="Q3370">
            <v>0</v>
          </cell>
          <cell r="R3370">
            <v>0</v>
          </cell>
        </row>
        <row r="3371">
          <cell r="Q3371">
            <v>0</v>
          </cell>
          <cell r="R3371">
            <v>0</v>
          </cell>
        </row>
        <row r="3372">
          <cell r="Q3372">
            <v>0</v>
          </cell>
          <cell r="R3372">
            <v>0</v>
          </cell>
        </row>
        <row r="3373">
          <cell r="Q3373">
            <v>1.57975</v>
          </cell>
          <cell r="R3373">
            <v>0</v>
          </cell>
        </row>
        <row r="3374">
          <cell r="Q3374">
            <v>1.57975</v>
          </cell>
          <cell r="R3374">
            <v>0</v>
          </cell>
        </row>
        <row r="3375">
          <cell r="Q3375">
            <v>1.57975</v>
          </cell>
          <cell r="R3375">
            <v>0</v>
          </cell>
        </row>
        <row r="3376">
          <cell r="Q3376">
            <v>1.7578532131520508</v>
          </cell>
          <cell r="R3376">
            <v>0</v>
          </cell>
        </row>
        <row r="3377">
          <cell r="Q3377">
            <v>3.6623500000000004</v>
          </cell>
          <cell r="R3377">
            <v>0</v>
          </cell>
        </row>
        <row r="3378">
          <cell r="Q3378">
            <v>1.2766062564144991</v>
          </cell>
          <cell r="R3378">
            <v>0</v>
          </cell>
        </row>
        <row r="3379">
          <cell r="Q3379">
            <v>1.5540441449605087</v>
          </cell>
          <cell r="R3379">
            <v>0</v>
          </cell>
        </row>
        <row r="3380">
          <cell r="Q3380">
            <v>0</v>
          </cell>
          <cell r="R3380">
            <v>0</v>
          </cell>
        </row>
        <row r="3381">
          <cell r="Q3381">
            <v>0</v>
          </cell>
          <cell r="R3381">
            <v>0</v>
          </cell>
        </row>
        <row r="3382">
          <cell r="Q3382">
            <v>0</v>
          </cell>
          <cell r="R3382">
            <v>0</v>
          </cell>
        </row>
        <row r="3383">
          <cell r="Q3383">
            <v>0</v>
          </cell>
          <cell r="R3383">
            <v>0</v>
          </cell>
        </row>
        <row r="3384">
          <cell r="Q3384">
            <v>14.78390684020351</v>
          </cell>
          <cell r="R3384">
            <v>0</v>
          </cell>
        </row>
        <row r="3385">
          <cell r="Q3385">
            <v>2.3560830114630478</v>
          </cell>
          <cell r="R3385">
            <v>0</v>
          </cell>
        </row>
        <row r="3386">
          <cell r="Q3386">
            <v>12.316973695125757</v>
          </cell>
          <cell r="R3386">
            <v>0</v>
          </cell>
        </row>
        <row r="3387">
          <cell r="Q3387">
            <v>7.8311125575318359</v>
          </cell>
          <cell r="R3387">
            <v>0</v>
          </cell>
        </row>
        <row r="3388">
          <cell r="Q3388">
            <v>0</v>
          </cell>
          <cell r="R3388">
            <v>0</v>
          </cell>
        </row>
        <row r="3389">
          <cell r="Q3389">
            <v>0</v>
          </cell>
          <cell r="R3389">
            <v>0</v>
          </cell>
        </row>
        <row r="3390">
          <cell r="Q3390">
            <v>0</v>
          </cell>
          <cell r="R3390">
            <v>0</v>
          </cell>
        </row>
        <row r="3391">
          <cell r="Q3391">
            <v>12.371322471701035</v>
          </cell>
          <cell r="R3391">
            <v>0</v>
          </cell>
        </row>
        <row r="3392">
          <cell r="Q3392">
            <v>2.3205189729720099</v>
          </cell>
          <cell r="R3392">
            <v>0</v>
          </cell>
        </row>
        <row r="3393">
          <cell r="Q3393">
            <v>1.0078470445377623</v>
          </cell>
          <cell r="R3393">
            <v>0</v>
          </cell>
        </row>
        <row r="3394">
          <cell r="Q3394">
            <v>1.2610686094351669</v>
          </cell>
          <cell r="R3394">
            <v>0</v>
          </cell>
        </row>
        <row r="3395">
          <cell r="Q3395">
            <v>7.4135548554673454</v>
          </cell>
          <cell r="R3395">
            <v>0</v>
          </cell>
        </row>
        <row r="3396">
          <cell r="Q3396">
            <v>0</v>
          </cell>
          <cell r="R3396">
            <v>0</v>
          </cell>
        </row>
        <row r="3397">
          <cell r="Q3397">
            <v>1.1987703033600592</v>
          </cell>
          <cell r="R3397">
            <v>0</v>
          </cell>
        </row>
        <row r="3398">
          <cell r="Q3398">
            <v>0</v>
          </cell>
          <cell r="R3398">
            <v>0</v>
          </cell>
        </row>
        <row r="3399">
          <cell r="Q3399">
            <v>0</v>
          </cell>
          <cell r="R3399">
            <v>0</v>
          </cell>
        </row>
        <row r="3400">
          <cell r="Q3400">
            <v>0</v>
          </cell>
          <cell r="R3400">
            <v>0</v>
          </cell>
        </row>
        <row r="3401">
          <cell r="Q3401">
            <v>0</v>
          </cell>
          <cell r="R3401">
            <v>0</v>
          </cell>
        </row>
        <row r="3402">
          <cell r="Q3402">
            <v>0</v>
          </cell>
          <cell r="R3402">
            <v>0</v>
          </cell>
        </row>
        <row r="3403">
          <cell r="Q3403">
            <v>0</v>
          </cell>
          <cell r="R3403">
            <v>0</v>
          </cell>
        </row>
        <row r="3404">
          <cell r="Q3404">
            <v>0</v>
          </cell>
          <cell r="R3404">
            <v>0</v>
          </cell>
        </row>
        <row r="3405">
          <cell r="Q3405">
            <v>0</v>
          </cell>
          <cell r="R3405">
            <v>0</v>
          </cell>
        </row>
        <row r="3406">
          <cell r="Q3406">
            <v>0</v>
          </cell>
          <cell r="R3406">
            <v>0</v>
          </cell>
        </row>
        <row r="3407">
          <cell r="Q3407">
            <v>0</v>
          </cell>
          <cell r="R3407">
            <v>0</v>
          </cell>
        </row>
        <row r="3408">
          <cell r="Q3408">
            <v>0</v>
          </cell>
          <cell r="R3408">
            <v>0</v>
          </cell>
        </row>
        <row r="3409">
          <cell r="Q3409">
            <v>2.3824103842262949</v>
          </cell>
          <cell r="R3409">
            <v>0</v>
          </cell>
        </row>
        <row r="3410">
          <cell r="Q3410">
            <v>1.7578532131520508</v>
          </cell>
          <cell r="R3410">
            <v>0</v>
          </cell>
        </row>
        <row r="3411">
          <cell r="Q3411">
            <v>3.7291000000000003</v>
          </cell>
          <cell r="R3411">
            <v>0</v>
          </cell>
        </row>
        <row r="3412">
          <cell r="Q3412">
            <v>1.5540441449605087</v>
          </cell>
          <cell r="R3412">
            <v>0</v>
          </cell>
        </row>
        <row r="3413">
          <cell r="Q3413">
            <v>1.2766062564144991</v>
          </cell>
          <cell r="R3413">
            <v>0</v>
          </cell>
        </row>
        <row r="3414">
          <cell r="Q3414">
            <v>0</v>
          </cell>
          <cell r="R3414">
            <v>0</v>
          </cell>
        </row>
        <row r="3415">
          <cell r="Q3415">
            <v>0</v>
          </cell>
          <cell r="R3415">
            <v>0</v>
          </cell>
        </row>
        <row r="3416">
          <cell r="Q3416">
            <v>0</v>
          </cell>
          <cell r="R3416">
            <v>0</v>
          </cell>
        </row>
        <row r="3417">
          <cell r="Q3417">
            <v>0</v>
          </cell>
          <cell r="R3417">
            <v>0</v>
          </cell>
        </row>
        <row r="3418">
          <cell r="Q3418">
            <v>14.78390684020351</v>
          </cell>
          <cell r="R3418">
            <v>0</v>
          </cell>
        </row>
        <row r="3419">
          <cell r="Q3419">
            <v>2.3560830114630478</v>
          </cell>
          <cell r="R3419">
            <v>0</v>
          </cell>
        </row>
        <row r="3420">
          <cell r="Q3420">
            <v>12.316973695125757</v>
          </cell>
          <cell r="R3420">
            <v>0</v>
          </cell>
        </row>
        <row r="3421">
          <cell r="Q3421">
            <v>7.8311125575318359</v>
          </cell>
          <cell r="R3421">
            <v>0</v>
          </cell>
        </row>
        <row r="3422">
          <cell r="Q3422">
            <v>0</v>
          </cell>
          <cell r="R3422">
            <v>0</v>
          </cell>
        </row>
        <row r="3423">
          <cell r="Q3423">
            <v>0</v>
          </cell>
          <cell r="R3423">
            <v>0</v>
          </cell>
        </row>
        <row r="3424">
          <cell r="Q3424">
            <v>0</v>
          </cell>
          <cell r="R3424">
            <v>0</v>
          </cell>
        </row>
        <row r="3425">
          <cell r="Q3425">
            <v>0</v>
          </cell>
          <cell r="R3425">
            <v>0</v>
          </cell>
        </row>
        <row r="3426">
          <cell r="Q3426">
            <v>2.3205189729720099</v>
          </cell>
          <cell r="R3426">
            <v>0</v>
          </cell>
        </row>
        <row r="3427">
          <cell r="Q3427">
            <v>1.0078470445377623</v>
          </cell>
          <cell r="R3427">
            <v>0</v>
          </cell>
        </row>
        <row r="3428">
          <cell r="Q3428">
            <v>1.2610686094351669</v>
          </cell>
          <cell r="R3428">
            <v>0</v>
          </cell>
        </row>
        <row r="3429">
          <cell r="Q3429">
            <v>7.4135548554673454</v>
          </cell>
          <cell r="R3429">
            <v>0</v>
          </cell>
        </row>
        <row r="3430">
          <cell r="Q3430">
            <v>0</v>
          </cell>
          <cell r="R3430">
            <v>0</v>
          </cell>
        </row>
        <row r="3431">
          <cell r="Q3431">
            <v>0</v>
          </cell>
          <cell r="R3431">
            <v>0</v>
          </cell>
        </row>
        <row r="3432">
          <cell r="Q3432">
            <v>0</v>
          </cell>
          <cell r="R3432">
            <v>0</v>
          </cell>
        </row>
        <row r="3433">
          <cell r="Q3433">
            <v>0</v>
          </cell>
          <cell r="R3433">
            <v>0</v>
          </cell>
        </row>
        <row r="3434">
          <cell r="Q3434">
            <v>0</v>
          </cell>
          <cell r="R3434">
            <v>0</v>
          </cell>
        </row>
        <row r="3435">
          <cell r="Q3435">
            <v>0</v>
          </cell>
          <cell r="R3435">
            <v>0</v>
          </cell>
        </row>
        <row r="3436">
          <cell r="Q3436">
            <v>0</v>
          </cell>
          <cell r="R3436">
            <v>0</v>
          </cell>
        </row>
        <row r="3437">
          <cell r="Q3437">
            <v>0</v>
          </cell>
          <cell r="R3437">
            <v>0</v>
          </cell>
        </row>
        <row r="3438">
          <cell r="Q3438">
            <v>0</v>
          </cell>
          <cell r="R3438">
            <v>0</v>
          </cell>
        </row>
        <row r="3439">
          <cell r="Q3439">
            <v>0</v>
          </cell>
          <cell r="R3439">
            <v>0</v>
          </cell>
        </row>
        <row r="3440">
          <cell r="Q3440">
            <v>0</v>
          </cell>
          <cell r="R3440">
            <v>0</v>
          </cell>
        </row>
        <row r="3441">
          <cell r="Q3441">
            <v>5.2287499999999998</v>
          </cell>
          <cell r="R3441">
            <v>0</v>
          </cell>
        </row>
        <row r="3442">
          <cell r="Q3442">
            <v>0</v>
          </cell>
          <cell r="R3442">
            <v>0</v>
          </cell>
        </row>
        <row r="3443">
          <cell r="Q3443">
            <v>0</v>
          </cell>
          <cell r="R3443">
            <v>0</v>
          </cell>
        </row>
        <row r="3444">
          <cell r="Q3444">
            <v>4.7437000000000005</v>
          </cell>
          <cell r="R3444">
            <v>0</v>
          </cell>
        </row>
        <row r="3445">
          <cell r="Q3445">
            <v>1.7578532131520508</v>
          </cell>
          <cell r="R3445">
            <v>0</v>
          </cell>
        </row>
        <row r="3446">
          <cell r="Q3446">
            <v>3.7291000000000003</v>
          </cell>
          <cell r="R3446">
            <v>0</v>
          </cell>
        </row>
        <row r="3447">
          <cell r="Q3447">
            <v>1.2766062564144991</v>
          </cell>
          <cell r="R3447">
            <v>0</v>
          </cell>
        </row>
        <row r="3448">
          <cell r="Q3448">
            <v>1.5540441449605087</v>
          </cell>
          <cell r="R3448">
            <v>0</v>
          </cell>
        </row>
        <row r="3449">
          <cell r="Q3449">
            <v>0</v>
          </cell>
          <cell r="R3449">
            <v>0</v>
          </cell>
        </row>
        <row r="3450">
          <cell r="Q3450">
            <v>0</v>
          </cell>
          <cell r="R3450">
            <v>0</v>
          </cell>
        </row>
        <row r="3451">
          <cell r="Q3451">
            <v>0</v>
          </cell>
          <cell r="R3451">
            <v>0</v>
          </cell>
        </row>
        <row r="3452">
          <cell r="Q3452">
            <v>0</v>
          </cell>
          <cell r="R3452">
            <v>0</v>
          </cell>
        </row>
        <row r="3453">
          <cell r="Q3453">
            <v>14.78390684020351</v>
          </cell>
          <cell r="R3453">
            <v>0</v>
          </cell>
        </row>
        <row r="3454">
          <cell r="Q3454">
            <v>12.316973695125757</v>
          </cell>
          <cell r="R3454">
            <v>0</v>
          </cell>
        </row>
        <row r="3455">
          <cell r="Q3455">
            <v>0.93238058373631016</v>
          </cell>
          <cell r="R3455">
            <v>0</v>
          </cell>
        </row>
        <row r="3456">
          <cell r="Q3456">
            <v>7.8311125575318359</v>
          </cell>
          <cell r="R3456">
            <v>0</v>
          </cell>
        </row>
        <row r="3457">
          <cell r="Q3457">
            <v>2.3560830114630478</v>
          </cell>
          <cell r="R3457">
            <v>0</v>
          </cell>
        </row>
        <row r="3458">
          <cell r="Q3458">
            <v>0</v>
          </cell>
          <cell r="R3458">
            <v>0</v>
          </cell>
        </row>
        <row r="3459">
          <cell r="Q3459">
            <v>0</v>
          </cell>
          <cell r="R3459">
            <v>0</v>
          </cell>
        </row>
        <row r="3460">
          <cell r="Q3460">
            <v>0</v>
          </cell>
          <cell r="R3460">
            <v>0</v>
          </cell>
        </row>
        <row r="3461">
          <cell r="Q3461">
            <v>2.3205189729720099</v>
          </cell>
          <cell r="R3461">
            <v>0</v>
          </cell>
        </row>
        <row r="3462">
          <cell r="Q3462">
            <v>1.5285680114365658</v>
          </cell>
          <cell r="R3462">
            <v>0</v>
          </cell>
        </row>
        <row r="3463">
          <cell r="Q3463">
            <v>1.2610686094351669</v>
          </cell>
          <cell r="R3463">
            <v>0</v>
          </cell>
        </row>
        <row r="3464">
          <cell r="Q3464">
            <v>7.4135548554673454</v>
          </cell>
          <cell r="R3464">
            <v>0</v>
          </cell>
        </row>
        <row r="3465">
          <cell r="Q3465">
            <v>1.1987703033600592</v>
          </cell>
          <cell r="R3465">
            <v>0</v>
          </cell>
        </row>
        <row r="3466">
          <cell r="Q3466">
            <v>0</v>
          </cell>
          <cell r="R3466">
            <v>0</v>
          </cell>
        </row>
        <row r="3467">
          <cell r="Q3467">
            <v>0</v>
          </cell>
          <cell r="R3467">
            <v>0</v>
          </cell>
        </row>
        <row r="3468">
          <cell r="Q3468">
            <v>0</v>
          </cell>
          <cell r="R3468">
            <v>0</v>
          </cell>
        </row>
        <row r="3469">
          <cell r="Q3469">
            <v>0</v>
          </cell>
          <cell r="R3469">
            <v>0</v>
          </cell>
        </row>
        <row r="3470">
          <cell r="Q3470">
            <v>0</v>
          </cell>
          <cell r="R3470">
            <v>0</v>
          </cell>
        </row>
        <row r="3471">
          <cell r="Q3471">
            <v>0</v>
          </cell>
          <cell r="R3471">
            <v>0</v>
          </cell>
        </row>
        <row r="3472">
          <cell r="Q3472">
            <v>0</v>
          </cell>
          <cell r="R3472">
            <v>0</v>
          </cell>
        </row>
        <row r="3473">
          <cell r="Q3473">
            <v>0</v>
          </cell>
          <cell r="R3473">
            <v>0</v>
          </cell>
        </row>
        <row r="3474">
          <cell r="Q3474">
            <v>0</v>
          </cell>
          <cell r="R3474">
            <v>0</v>
          </cell>
        </row>
        <row r="3475">
          <cell r="Q3475">
            <v>0</v>
          </cell>
          <cell r="R3475">
            <v>0</v>
          </cell>
        </row>
        <row r="3476">
          <cell r="Q3476">
            <v>5.2287499999999998</v>
          </cell>
          <cell r="R3476">
            <v>0</v>
          </cell>
        </row>
        <row r="3477">
          <cell r="Q3477">
            <v>0</v>
          </cell>
          <cell r="R3477">
            <v>0</v>
          </cell>
        </row>
        <row r="3478">
          <cell r="Q3478">
            <v>0</v>
          </cell>
          <cell r="R3478">
            <v>0</v>
          </cell>
        </row>
        <row r="3479">
          <cell r="Q3479">
            <v>4.7437000000000005</v>
          </cell>
          <cell r="R3479">
            <v>0</v>
          </cell>
        </row>
        <row r="3480">
          <cell r="Q3480">
            <v>1.7578532131520508</v>
          </cell>
          <cell r="R3480">
            <v>0</v>
          </cell>
        </row>
        <row r="3481">
          <cell r="Q3481">
            <v>3.7291000000000003</v>
          </cell>
          <cell r="R3481">
            <v>0</v>
          </cell>
        </row>
        <row r="3482">
          <cell r="Q3482">
            <v>1.2766062564144991</v>
          </cell>
          <cell r="R3482">
            <v>0</v>
          </cell>
        </row>
        <row r="3483">
          <cell r="Q3483">
            <v>1.5540441449605087</v>
          </cell>
          <cell r="R3483">
            <v>0</v>
          </cell>
        </row>
        <row r="3484">
          <cell r="Q3484">
            <v>0</v>
          </cell>
          <cell r="R3484">
            <v>0</v>
          </cell>
        </row>
        <row r="3485">
          <cell r="Q3485">
            <v>0</v>
          </cell>
          <cell r="R3485">
            <v>0</v>
          </cell>
        </row>
        <row r="3486">
          <cell r="Q3486">
            <v>0</v>
          </cell>
          <cell r="R3486">
            <v>0</v>
          </cell>
        </row>
        <row r="3487">
          <cell r="Q3487">
            <v>0</v>
          </cell>
          <cell r="R3487">
            <v>0</v>
          </cell>
        </row>
        <row r="3488">
          <cell r="Q3488">
            <v>19.640358777280184</v>
          </cell>
          <cell r="R3488">
            <v>0</v>
          </cell>
        </row>
        <row r="3489">
          <cell r="Q3489">
            <v>11.311711610234857</v>
          </cell>
          <cell r="R3489">
            <v>0</v>
          </cell>
        </row>
        <row r="3490">
          <cell r="Q3490">
            <v>0</v>
          </cell>
          <cell r="R3490">
            <v>0</v>
          </cell>
        </row>
        <row r="3491">
          <cell r="Q3491">
            <v>8.1864626992691534</v>
          </cell>
          <cell r="R3491">
            <v>0</v>
          </cell>
        </row>
        <row r="3492">
          <cell r="Q3492">
            <v>9.7194442382453037</v>
          </cell>
          <cell r="R3492">
            <v>0</v>
          </cell>
        </row>
        <row r="3493">
          <cell r="Q3493">
            <v>0</v>
          </cell>
          <cell r="R3493">
            <v>0</v>
          </cell>
        </row>
        <row r="3494">
          <cell r="Q3494">
            <v>0</v>
          </cell>
          <cell r="R3494">
            <v>0</v>
          </cell>
        </row>
        <row r="3495">
          <cell r="Q3495">
            <v>0</v>
          </cell>
          <cell r="R3495">
            <v>0</v>
          </cell>
        </row>
        <row r="3496">
          <cell r="Q3496">
            <v>0</v>
          </cell>
          <cell r="R3496">
            <v>0</v>
          </cell>
        </row>
        <row r="3497">
          <cell r="Q3497">
            <v>0</v>
          </cell>
          <cell r="R3497">
            <v>0</v>
          </cell>
        </row>
        <row r="3498">
          <cell r="Q3498">
            <v>0</v>
          </cell>
          <cell r="R3498">
            <v>0</v>
          </cell>
        </row>
        <row r="3499">
          <cell r="Q3499">
            <v>0</v>
          </cell>
          <cell r="R3499">
            <v>0</v>
          </cell>
        </row>
        <row r="3500">
          <cell r="Q3500">
            <v>0</v>
          </cell>
          <cell r="R3500">
            <v>0</v>
          </cell>
        </row>
        <row r="3501">
          <cell r="Q3501">
            <v>5.5665351749814942</v>
          </cell>
          <cell r="R3501">
            <v>0</v>
          </cell>
        </row>
        <row r="3502">
          <cell r="Q3502">
            <v>0</v>
          </cell>
          <cell r="R3502">
            <v>0</v>
          </cell>
        </row>
        <row r="3503">
          <cell r="Q3503">
            <v>0</v>
          </cell>
          <cell r="R3503">
            <v>0</v>
          </cell>
        </row>
        <row r="3504">
          <cell r="Q3504">
            <v>0</v>
          </cell>
          <cell r="R3504">
            <v>0</v>
          </cell>
        </row>
        <row r="3505">
          <cell r="Q3505">
            <v>0</v>
          </cell>
          <cell r="R3505">
            <v>0</v>
          </cell>
        </row>
        <row r="3506">
          <cell r="Q3506">
            <v>0</v>
          </cell>
          <cell r="R3506">
            <v>0</v>
          </cell>
        </row>
        <row r="3507">
          <cell r="Q3507">
            <v>0</v>
          </cell>
          <cell r="R3507">
            <v>0</v>
          </cell>
        </row>
        <row r="3508">
          <cell r="Q3508">
            <v>0</v>
          </cell>
          <cell r="R3508">
            <v>0</v>
          </cell>
        </row>
        <row r="3509">
          <cell r="Q3509">
            <v>0</v>
          </cell>
          <cell r="R3509">
            <v>0</v>
          </cell>
        </row>
        <row r="3510">
          <cell r="Q3510">
            <v>0</v>
          </cell>
          <cell r="R3510">
            <v>0</v>
          </cell>
        </row>
        <row r="3511">
          <cell r="Q3511">
            <v>0</v>
          </cell>
          <cell r="R3511">
            <v>0</v>
          </cell>
        </row>
        <row r="3512">
          <cell r="Q3512">
            <v>4.5212000000000003</v>
          </cell>
          <cell r="R3512">
            <v>0</v>
          </cell>
        </row>
        <row r="3513">
          <cell r="Q3513">
            <v>0</v>
          </cell>
          <cell r="R3513">
            <v>0</v>
          </cell>
        </row>
        <row r="3514">
          <cell r="Q3514">
            <v>5.2243000000000004</v>
          </cell>
          <cell r="R3514">
            <v>0</v>
          </cell>
        </row>
        <row r="3515">
          <cell r="Q3515">
            <v>0</v>
          </cell>
          <cell r="R3515">
            <v>0</v>
          </cell>
        </row>
        <row r="3516">
          <cell r="Q3516">
            <v>0</v>
          </cell>
          <cell r="R3516">
            <v>0</v>
          </cell>
        </row>
        <row r="3517">
          <cell r="Q3517">
            <v>0</v>
          </cell>
          <cell r="R3517">
            <v>0</v>
          </cell>
        </row>
        <row r="3518">
          <cell r="Q3518">
            <v>0</v>
          </cell>
          <cell r="R3518">
            <v>0</v>
          </cell>
        </row>
        <row r="3519">
          <cell r="Q3519">
            <v>0</v>
          </cell>
          <cell r="R3519">
            <v>0</v>
          </cell>
        </row>
        <row r="3520">
          <cell r="Q3520">
            <v>0</v>
          </cell>
          <cell r="R3520">
            <v>0</v>
          </cell>
        </row>
        <row r="3521">
          <cell r="Q3521">
            <v>0</v>
          </cell>
          <cell r="R3521">
            <v>0</v>
          </cell>
        </row>
        <row r="3522">
          <cell r="Q3522">
            <v>0</v>
          </cell>
          <cell r="R3522">
            <v>0</v>
          </cell>
        </row>
        <row r="3523">
          <cell r="Q3523">
            <v>0</v>
          </cell>
          <cell r="R3523">
            <v>0</v>
          </cell>
        </row>
        <row r="3524">
          <cell r="Q3524">
            <v>0</v>
          </cell>
          <cell r="R3524">
            <v>0</v>
          </cell>
        </row>
        <row r="3525">
          <cell r="Q3525">
            <v>0</v>
          </cell>
          <cell r="R3525">
            <v>0</v>
          </cell>
        </row>
        <row r="3526">
          <cell r="Q3526">
            <v>0</v>
          </cell>
          <cell r="R3526">
            <v>0</v>
          </cell>
        </row>
        <row r="3527">
          <cell r="Q3527">
            <v>0</v>
          </cell>
          <cell r="R3527">
            <v>0</v>
          </cell>
        </row>
        <row r="3528">
          <cell r="Q3528">
            <v>0</v>
          </cell>
          <cell r="R3528">
            <v>0</v>
          </cell>
        </row>
        <row r="3529">
          <cell r="Q3529">
            <v>0</v>
          </cell>
          <cell r="R3529">
            <v>0</v>
          </cell>
        </row>
        <row r="3530">
          <cell r="Q3530">
            <v>0</v>
          </cell>
          <cell r="R3530">
            <v>0</v>
          </cell>
        </row>
        <row r="3531">
          <cell r="Q3531">
            <v>0</v>
          </cell>
          <cell r="R3531">
            <v>0</v>
          </cell>
        </row>
        <row r="3532">
          <cell r="Q3532">
            <v>0</v>
          </cell>
          <cell r="R3532">
            <v>0</v>
          </cell>
        </row>
        <row r="3533">
          <cell r="Q3533">
            <v>0</v>
          </cell>
          <cell r="R3533">
            <v>0</v>
          </cell>
        </row>
        <row r="3534">
          <cell r="Q3534">
            <v>0</v>
          </cell>
          <cell r="R3534">
            <v>0</v>
          </cell>
        </row>
        <row r="3535">
          <cell r="Q3535">
            <v>0</v>
          </cell>
          <cell r="R3535">
            <v>0</v>
          </cell>
        </row>
        <row r="3536">
          <cell r="Q3536">
            <v>0</v>
          </cell>
          <cell r="R3536">
            <v>0</v>
          </cell>
        </row>
        <row r="3537">
          <cell r="Q3537">
            <v>0</v>
          </cell>
          <cell r="R3537">
            <v>0</v>
          </cell>
        </row>
        <row r="3538">
          <cell r="Q3538">
            <v>0</v>
          </cell>
          <cell r="R3538">
            <v>0</v>
          </cell>
        </row>
        <row r="3539">
          <cell r="Q3539">
            <v>0</v>
          </cell>
          <cell r="R3539">
            <v>0</v>
          </cell>
        </row>
        <row r="3540">
          <cell r="Q3540">
            <v>0</v>
          </cell>
          <cell r="R3540">
            <v>0</v>
          </cell>
        </row>
        <row r="3541">
          <cell r="Q3541">
            <v>0</v>
          </cell>
          <cell r="R3541">
            <v>0</v>
          </cell>
        </row>
        <row r="3542">
          <cell r="Q3542">
            <v>0</v>
          </cell>
          <cell r="R3542">
            <v>0</v>
          </cell>
        </row>
        <row r="3543">
          <cell r="Q3543">
            <v>7.7305417627005202</v>
          </cell>
          <cell r="R3543">
            <v>0</v>
          </cell>
        </row>
        <row r="3544">
          <cell r="Q3544">
            <v>4.7083962901077543</v>
          </cell>
          <cell r="R3544">
            <v>0</v>
          </cell>
        </row>
        <row r="3545">
          <cell r="Q3545">
            <v>3.5975816863033097</v>
          </cell>
          <cell r="R3545">
            <v>0</v>
          </cell>
        </row>
        <row r="3546">
          <cell r="Q3546">
            <v>15.384279631649118</v>
          </cell>
          <cell r="R3546">
            <v>0</v>
          </cell>
        </row>
        <row r="3547">
          <cell r="Q3547">
            <v>0</v>
          </cell>
          <cell r="R3547">
            <v>0</v>
          </cell>
        </row>
        <row r="3548">
          <cell r="Q3548">
            <v>0</v>
          </cell>
          <cell r="R3548">
            <v>0</v>
          </cell>
        </row>
        <row r="3549">
          <cell r="Q3549">
            <v>0</v>
          </cell>
          <cell r="R3549">
            <v>0</v>
          </cell>
        </row>
        <row r="3550">
          <cell r="Q3550">
            <v>0</v>
          </cell>
          <cell r="R3550">
            <v>0</v>
          </cell>
        </row>
        <row r="3551">
          <cell r="Q3551">
            <v>0</v>
          </cell>
          <cell r="R3551">
            <v>0</v>
          </cell>
        </row>
        <row r="3552">
          <cell r="Q3552">
            <v>0</v>
          </cell>
          <cell r="R3552">
            <v>0</v>
          </cell>
        </row>
        <row r="3553">
          <cell r="Q3553">
            <v>0</v>
          </cell>
          <cell r="R3553">
            <v>0</v>
          </cell>
        </row>
        <row r="3554">
          <cell r="Q3554">
            <v>0</v>
          </cell>
          <cell r="R3554">
            <v>0</v>
          </cell>
        </row>
        <row r="3555">
          <cell r="Q3555">
            <v>0</v>
          </cell>
          <cell r="R3555">
            <v>0</v>
          </cell>
        </row>
        <row r="3556">
          <cell r="Q3556">
            <v>0</v>
          </cell>
          <cell r="R3556">
            <v>0</v>
          </cell>
        </row>
        <row r="3557">
          <cell r="Q3557">
            <v>0</v>
          </cell>
          <cell r="R3557">
            <v>0</v>
          </cell>
        </row>
        <row r="3558">
          <cell r="Q3558">
            <v>0</v>
          </cell>
          <cell r="R3558">
            <v>0</v>
          </cell>
        </row>
        <row r="3559">
          <cell r="Q3559">
            <v>0</v>
          </cell>
          <cell r="R3559">
            <v>0</v>
          </cell>
        </row>
        <row r="3560">
          <cell r="Q3560">
            <v>0</v>
          </cell>
          <cell r="R3560">
            <v>0</v>
          </cell>
        </row>
        <row r="3561">
          <cell r="Q3561">
            <v>0</v>
          </cell>
          <cell r="R3561">
            <v>0</v>
          </cell>
        </row>
        <row r="3562">
          <cell r="Q3562">
            <v>10.6088</v>
          </cell>
          <cell r="R3562">
            <v>0</v>
          </cell>
        </row>
        <row r="3563">
          <cell r="Q3563">
            <v>2.1444081580589556</v>
          </cell>
          <cell r="R3563">
            <v>0</v>
          </cell>
        </row>
        <row r="3564">
          <cell r="Q3564">
            <v>1.9682973431459012</v>
          </cell>
          <cell r="R3564">
            <v>0</v>
          </cell>
        </row>
        <row r="3565">
          <cell r="Q3565">
            <v>1.7069009461041653</v>
          </cell>
          <cell r="R3565">
            <v>0</v>
          </cell>
        </row>
        <row r="3566">
          <cell r="Q3566">
            <v>8.4016000000000002</v>
          </cell>
          <cell r="R3566">
            <v>0</v>
          </cell>
        </row>
        <row r="3567">
          <cell r="Q3567">
            <v>1.6814248125802227</v>
          </cell>
          <cell r="R3567">
            <v>0</v>
          </cell>
        </row>
        <row r="3568">
          <cell r="Q3568">
            <v>1.9475784237443654</v>
          </cell>
          <cell r="R3568">
            <v>0</v>
          </cell>
        </row>
        <row r="3569">
          <cell r="Q3569">
            <v>0</v>
          </cell>
          <cell r="R3569">
            <v>0</v>
          </cell>
        </row>
        <row r="3570">
          <cell r="Q3570">
            <v>0</v>
          </cell>
          <cell r="R3570">
            <v>0</v>
          </cell>
        </row>
        <row r="3571">
          <cell r="Q3571">
            <v>0</v>
          </cell>
          <cell r="R3571">
            <v>0</v>
          </cell>
        </row>
        <row r="3572">
          <cell r="Q3572">
            <v>0</v>
          </cell>
          <cell r="R3572">
            <v>0</v>
          </cell>
        </row>
        <row r="3573">
          <cell r="Q3573">
            <v>4.3841346437392668</v>
          </cell>
          <cell r="R3573">
            <v>0</v>
          </cell>
        </row>
        <row r="3574">
          <cell r="Q3574">
            <v>1.0827356747675676</v>
          </cell>
          <cell r="R3574">
            <v>0</v>
          </cell>
        </row>
        <row r="3575">
          <cell r="Q3575">
            <v>1.0317834077196821</v>
          </cell>
          <cell r="R3575">
            <v>0</v>
          </cell>
        </row>
        <row r="3576">
          <cell r="Q3576">
            <v>3.1327245634382117</v>
          </cell>
          <cell r="R3576">
            <v>0</v>
          </cell>
        </row>
        <row r="3577">
          <cell r="Q3577">
            <v>1.4776157443886804</v>
          </cell>
          <cell r="R3577">
            <v>0</v>
          </cell>
        </row>
        <row r="3578">
          <cell r="Q3578">
            <v>1.4139254105788237</v>
          </cell>
          <cell r="R3578">
            <v>0</v>
          </cell>
        </row>
        <row r="3579">
          <cell r="Q3579">
            <v>0</v>
          </cell>
          <cell r="R3579">
            <v>0</v>
          </cell>
        </row>
        <row r="3580">
          <cell r="Q3580">
            <v>0</v>
          </cell>
          <cell r="R3580">
            <v>0</v>
          </cell>
        </row>
        <row r="3581">
          <cell r="Q3581">
            <v>0</v>
          </cell>
          <cell r="R3581">
            <v>0</v>
          </cell>
        </row>
        <row r="3582">
          <cell r="Q3582">
            <v>0</v>
          </cell>
          <cell r="R3582">
            <v>0</v>
          </cell>
        </row>
        <row r="3583">
          <cell r="Q3583">
            <v>0</v>
          </cell>
          <cell r="R3583">
            <v>0</v>
          </cell>
        </row>
        <row r="3584">
          <cell r="Q3584">
            <v>0</v>
          </cell>
          <cell r="R3584">
            <v>0</v>
          </cell>
        </row>
        <row r="3585">
          <cell r="Q3585">
            <v>0</v>
          </cell>
          <cell r="R3585">
            <v>0</v>
          </cell>
        </row>
        <row r="3586">
          <cell r="Q3586">
            <v>0</v>
          </cell>
          <cell r="R3586">
            <v>0</v>
          </cell>
        </row>
        <row r="3587">
          <cell r="Q3587">
            <v>0</v>
          </cell>
          <cell r="R3587">
            <v>0</v>
          </cell>
        </row>
        <row r="3588">
          <cell r="Q3588">
            <v>0</v>
          </cell>
          <cell r="R3588">
            <v>0</v>
          </cell>
        </row>
        <row r="3589">
          <cell r="Q3589">
            <v>0</v>
          </cell>
          <cell r="R3589">
            <v>0</v>
          </cell>
        </row>
        <row r="3590">
          <cell r="Q3590">
            <v>0</v>
          </cell>
          <cell r="R3590">
            <v>0</v>
          </cell>
        </row>
        <row r="3591">
          <cell r="Q3591">
            <v>0</v>
          </cell>
          <cell r="R3591">
            <v>0</v>
          </cell>
        </row>
        <row r="3592">
          <cell r="Q3592">
            <v>0</v>
          </cell>
          <cell r="R3592">
            <v>0</v>
          </cell>
        </row>
        <row r="3593">
          <cell r="Q3593">
            <v>0</v>
          </cell>
          <cell r="R3593">
            <v>0</v>
          </cell>
        </row>
        <row r="3594">
          <cell r="Q3594">
            <v>0</v>
          </cell>
          <cell r="R3594">
            <v>0</v>
          </cell>
        </row>
        <row r="3595">
          <cell r="Q3595">
            <v>0</v>
          </cell>
          <cell r="R3595">
            <v>0</v>
          </cell>
        </row>
        <row r="3596">
          <cell r="Q3596">
            <v>0</v>
          </cell>
          <cell r="R3596">
            <v>0</v>
          </cell>
        </row>
        <row r="3597">
          <cell r="Q3597">
            <v>0</v>
          </cell>
          <cell r="R3597">
            <v>0</v>
          </cell>
        </row>
        <row r="3598">
          <cell r="Q3598">
            <v>0</v>
          </cell>
          <cell r="R3598">
            <v>0</v>
          </cell>
        </row>
        <row r="3599">
          <cell r="Q3599">
            <v>0</v>
          </cell>
          <cell r="R3599">
            <v>0</v>
          </cell>
        </row>
        <row r="3600">
          <cell r="Q3600">
            <v>0</v>
          </cell>
          <cell r="R3600">
            <v>0</v>
          </cell>
        </row>
        <row r="3601">
          <cell r="Q3601">
            <v>0</v>
          </cell>
          <cell r="R3601">
            <v>0</v>
          </cell>
        </row>
        <row r="3602">
          <cell r="Q3602">
            <v>0</v>
          </cell>
          <cell r="R3602">
            <v>0</v>
          </cell>
        </row>
        <row r="3603">
          <cell r="Q3603">
            <v>0</v>
          </cell>
          <cell r="R3603">
            <v>0</v>
          </cell>
        </row>
        <row r="3604">
          <cell r="Q3604">
            <v>0</v>
          </cell>
          <cell r="R3604">
            <v>0</v>
          </cell>
        </row>
        <row r="3605">
          <cell r="Q3605">
            <v>0</v>
          </cell>
          <cell r="R3605">
            <v>0</v>
          </cell>
        </row>
        <row r="3606">
          <cell r="Q3606">
            <v>0</v>
          </cell>
          <cell r="R3606">
            <v>0</v>
          </cell>
        </row>
        <row r="3607">
          <cell r="Q3607">
            <v>0</v>
          </cell>
          <cell r="R3607">
            <v>0</v>
          </cell>
        </row>
        <row r="3608">
          <cell r="Q3608">
            <v>0</v>
          </cell>
          <cell r="R3608">
            <v>0</v>
          </cell>
        </row>
        <row r="3609">
          <cell r="Q3609">
            <v>0</v>
          </cell>
          <cell r="R3609">
            <v>0</v>
          </cell>
        </row>
        <row r="3610">
          <cell r="Q3610">
            <v>0</v>
          </cell>
          <cell r="R3610">
            <v>0</v>
          </cell>
        </row>
        <row r="3611">
          <cell r="Q3611">
            <v>0</v>
          </cell>
          <cell r="R3611">
            <v>0</v>
          </cell>
        </row>
        <row r="3612">
          <cell r="Q3612">
            <v>0</v>
          </cell>
          <cell r="R3612">
            <v>0</v>
          </cell>
        </row>
        <row r="3613">
          <cell r="Q3613">
            <v>0</v>
          </cell>
          <cell r="R3613">
            <v>0</v>
          </cell>
        </row>
        <row r="3614">
          <cell r="Q3614">
            <v>0</v>
          </cell>
          <cell r="R3614">
            <v>0</v>
          </cell>
        </row>
        <row r="3615">
          <cell r="Q3615">
            <v>0</v>
          </cell>
          <cell r="R3615">
            <v>0</v>
          </cell>
        </row>
        <row r="3616">
          <cell r="Q3616">
            <v>0</v>
          </cell>
          <cell r="R3616">
            <v>0</v>
          </cell>
        </row>
        <row r="3617">
          <cell r="Q3617">
            <v>0</v>
          </cell>
          <cell r="R3617">
            <v>0</v>
          </cell>
        </row>
        <row r="3618">
          <cell r="Q3618">
            <v>0</v>
          </cell>
          <cell r="R3618">
            <v>0</v>
          </cell>
        </row>
        <row r="3619">
          <cell r="Q3619">
            <v>0</v>
          </cell>
          <cell r="R3619">
            <v>0</v>
          </cell>
        </row>
        <row r="3620">
          <cell r="Q3620">
            <v>0</v>
          </cell>
          <cell r="R3620">
            <v>0</v>
          </cell>
        </row>
        <row r="3621">
          <cell r="Q3621">
            <v>0</v>
          </cell>
          <cell r="R3621">
            <v>0</v>
          </cell>
        </row>
        <row r="3622">
          <cell r="Q3622">
            <v>0</v>
          </cell>
          <cell r="R3622">
            <v>0</v>
          </cell>
        </row>
        <row r="3623">
          <cell r="Q3623">
            <v>0</v>
          </cell>
          <cell r="R3623">
            <v>0</v>
          </cell>
        </row>
        <row r="3624">
          <cell r="Q3624">
            <v>0</v>
          </cell>
          <cell r="R3624">
            <v>0</v>
          </cell>
        </row>
        <row r="3625">
          <cell r="Q3625">
            <v>0</v>
          </cell>
          <cell r="R3625">
            <v>0</v>
          </cell>
        </row>
        <row r="3626">
          <cell r="Q3626">
            <v>0</v>
          </cell>
          <cell r="R3626">
            <v>0</v>
          </cell>
        </row>
        <row r="3627">
          <cell r="Q3627">
            <v>0</v>
          </cell>
          <cell r="R3627">
            <v>0</v>
          </cell>
        </row>
        <row r="3628">
          <cell r="Q3628">
            <v>0</v>
          </cell>
          <cell r="R3628">
            <v>0</v>
          </cell>
        </row>
        <row r="3629">
          <cell r="Q3629">
            <v>0</v>
          </cell>
          <cell r="R3629">
            <v>0</v>
          </cell>
        </row>
        <row r="3630">
          <cell r="Q3630">
            <v>0</v>
          </cell>
          <cell r="R3630">
            <v>0</v>
          </cell>
        </row>
        <row r="3631">
          <cell r="Q3631">
            <v>0</v>
          </cell>
          <cell r="R3631">
            <v>0</v>
          </cell>
        </row>
        <row r="3632">
          <cell r="Q3632">
            <v>0</v>
          </cell>
          <cell r="R3632">
            <v>0</v>
          </cell>
        </row>
        <row r="3633">
          <cell r="Q3633">
            <v>0</v>
          </cell>
          <cell r="R3633">
            <v>0</v>
          </cell>
        </row>
        <row r="3634">
          <cell r="Q3634">
            <v>0</v>
          </cell>
          <cell r="R3634">
            <v>0</v>
          </cell>
        </row>
        <row r="3635">
          <cell r="Q3635">
            <v>0</v>
          </cell>
          <cell r="R3635">
            <v>0</v>
          </cell>
        </row>
        <row r="3636">
          <cell r="Q3636">
            <v>0</v>
          </cell>
          <cell r="R3636">
            <v>0</v>
          </cell>
        </row>
        <row r="3637">
          <cell r="Q3637">
            <v>0</v>
          </cell>
          <cell r="R3637">
            <v>0</v>
          </cell>
        </row>
        <row r="3638">
          <cell r="Q3638">
            <v>0</v>
          </cell>
          <cell r="R3638">
            <v>0</v>
          </cell>
        </row>
        <row r="3639">
          <cell r="Q3639">
            <v>0</v>
          </cell>
          <cell r="R3639">
            <v>0</v>
          </cell>
        </row>
        <row r="3640">
          <cell r="Q3640">
            <v>0</v>
          </cell>
          <cell r="R3640">
            <v>0</v>
          </cell>
        </row>
        <row r="3641">
          <cell r="Q3641">
            <v>0</v>
          </cell>
          <cell r="R3641">
            <v>0</v>
          </cell>
        </row>
        <row r="3642">
          <cell r="Q3642">
            <v>0</v>
          </cell>
          <cell r="R3642">
            <v>0</v>
          </cell>
        </row>
        <row r="3643">
          <cell r="Q3643">
            <v>0</v>
          </cell>
          <cell r="R3643">
            <v>0</v>
          </cell>
        </row>
        <row r="3644">
          <cell r="Q3644">
            <v>0</v>
          </cell>
          <cell r="R3644">
            <v>0</v>
          </cell>
        </row>
        <row r="3645">
          <cell r="Q3645">
            <v>0</v>
          </cell>
          <cell r="R3645">
            <v>0</v>
          </cell>
        </row>
        <row r="3646">
          <cell r="Q3646">
            <v>0</v>
          </cell>
          <cell r="R3646">
            <v>0</v>
          </cell>
        </row>
        <row r="3647">
          <cell r="Q3647">
            <v>0</v>
          </cell>
          <cell r="R3647">
            <v>0</v>
          </cell>
        </row>
        <row r="3648">
          <cell r="Q3648">
            <v>0</v>
          </cell>
          <cell r="R3648">
            <v>0</v>
          </cell>
        </row>
        <row r="3649">
          <cell r="Q3649">
            <v>0</v>
          </cell>
          <cell r="R3649">
            <v>0</v>
          </cell>
        </row>
        <row r="3650">
          <cell r="Q3650">
            <v>0</v>
          </cell>
          <cell r="R3650">
            <v>0</v>
          </cell>
        </row>
        <row r="3651">
          <cell r="Q3651">
            <v>0</v>
          </cell>
          <cell r="R3651">
            <v>0</v>
          </cell>
        </row>
        <row r="3652">
          <cell r="Q3652">
            <v>0</v>
          </cell>
          <cell r="R3652">
            <v>0</v>
          </cell>
        </row>
        <row r="3653">
          <cell r="Q3653">
            <v>0</v>
          </cell>
          <cell r="R3653">
            <v>0</v>
          </cell>
        </row>
        <row r="3654">
          <cell r="Q3654">
            <v>0</v>
          </cell>
          <cell r="R3654">
            <v>0</v>
          </cell>
        </row>
        <row r="3655">
          <cell r="Q3655">
            <v>0</v>
          </cell>
          <cell r="R3655">
            <v>0</v>
          </cell>
        </row>
        <row r="3656">
          <cell r="Q3656">
            <v>0</v>
          </cell>
          <cell r="R3656">
            <v>0</v>
          </cell>
        </row>
        <row r="3657">
          <cell r="Q3657">
            <v>0</v>
          </cell>
          <cell r="R3657">
            <v>0</v>
          </cell>
        </row>
        <row r="3658">
          <cell r="Q3658">
            <v>0</v>
          </cell>
          <cell r="R3658">
            <v>0</v>
          </cell>
        </row>
        <row r="3659">
          <cell r="Q3659">
            <v>0</v>
          </cell>
          <cell r="R3659">
            <v>0</v>
          </cell>
        </row>
        <row r="3660">
          <cell r="Q3660">
            <v>0</v>
          </cell>
          <cell r="R3660">
            <v>0</v>
          </cell>
        </row>
        <row r="3661">
          <cell r="Q3661">
            <v>0</v>
          </cell>
          <cell r="R3661">
            <v>0</v>
          </cell>
        </row>
        <row r="3662">
          <cell r="Q3662">
            <v>0</v>
          </cell>
          <cell r="R3662">
            <v>0</v>
          </cell>
        </row>
        <row r="3663">
          <cell r="Q3663">
            <v>0</v>
          </cell>
          <cell r="R3663">
            <v>0</v>
          </cell>
        </row>
        <row r="3664">
          <cell r="Q3664">
            <v>0</v>
          </cell>
          <cell r="R3664">
            <v>0</v>
          </cell>
        </row>
        <row r="3665">
          <cell r="Q3665">
            <v>0</v>
          </cell>
          <cell r="R3665">
            <v>0</v>
          </cell>
        </row>
        <row r="3666">
          <cell r="Q3666">
            <v>0</v>
          </cell>
          <cell r="R3666">
            <v>0</v>
          </cell>
        </row>
        <row r="3667">
          <cell r="Q3667">
            <v>0</v>
          </cell>
          <cell r="R3667">
            <v>0</v>
          </cell>
        </row>
        <row r="3668">
          <cell r="Q3668">
            <v>0</v>
          </cell>
          <cell r="R3668">
            <v>0</v>
          </cell>
        </row>
        <row r="3669">
          <cell r="Q3669">
            <v>0</v>
          </cell>
          <cell r="R3669">
            <v>0</v>
          </cell>
        </row>
        <row r="3670">
          <cell r="Q3670">
            <v>0</v>
          </cell>
          <cell r="R3670">
            <v>0</v>
          </cell>
        </row>
        <row r="3671">
          <cell r="Q3671">
            <v>0</v>
          </cell>
          <cell r="R3671">
            <v>0</v>
          </cell>
        </row>
        <row r="3672">
          <cell r="Q3672">
            <v>0</v>
          </cell>
          <cell r="R3672">
            <v>0</v>
          </cell>
        </row>
        <row r="3673">
          <cell r="Q3673">
            <v>0</v>
          </cell>
          <cell r="R3673">
            <v>0</v>
          </cell>
        </row>
        <row r="3674">
          <cell r="Q3674">
            <v>0</v>
          </cell>
          <cell r="R3674">
            <v>0</v>
          </cell>
        </row>
        <row r="3675">
          <cell r="Q3675">
            <v>0</v>
          </cell>
          <cell r="R3675">
            <v>0</v>
          </cell>
        </row>
        <row r="3676">
          <cell r="Q3676">
            <v>0</v>
          </cell>
          <cell r="R3676">
            <v>0</v>
          </cell>
        </row>
        <row r="3677">
          <cell r="Q3677">
            <v>0</v>
          </cell>
          <cell r="R3677">
            <v>0</v>
          </cell>
        </row>
        <row r="3678">
          <cell r="Q3678">
            <v>0</v>
          </cell>
          <cell r="R3678">
            <v>0</v>
          </cell>
        </row>
        <row r="3679">
          <cell r="Q3679">
            <v>0</v>
          </cell>
          <cell r="R3679">
            <v>0</v>
          </cell>
        </row>
        <row r="3680">
          <cell r="Q3680">
            <v>0</v>
          </cell>
          <cell r="R3680">
            <v>0</v>
          </cell>
        </row>
        <row r="3681">
          <cell r="Q3681">
            <v>0</v>
          </cell>
          <cell r="R3681">
            <v>0</v>
          </cell>
        </row>
        <row r="3682">
          <cell r="Q3682">
            <v>0</v>
          </cell>
          <cell r="R3682">
            <v>0</v>
          </cell>
        </row>
        <row r="3683">
          <cell r="Q3683">
            <v>0</v>
          </cell>
          <cell r="R3683">
            <v>0</v>
          </cell>
        </row>
        <row r="3684">
          <cell r="Q3684">
            <v>0</v>
          </cell>
          <cell r="R3684">
            <v>0</v>
          </cell>
        </row>
        <row r="3685">
          <cell r="Q3685">
            <v>0</v>
          </cell>
          <cell r="R3685">
            <v>0</v>
          </cell>
        </row>
        <row r="3686">
          <cell r="Q3686">
            <v>0</v>
          </cell>
          <cell r="R3686">
            <v>0</v>
          </cell>
        </row>
        <row r="3687">
          <cell r="Q3687">
            <v>0</v>
          </cell>
          <cell r="R3687">
            <v>0</v>
          </cell>
        </row>
        <row r="3688">
          <cell r="Q3688">
            <v>0</v>
          </cell>
          <cell r="R3688">
            <v>0</v>
          </cell>
        </row>
        <row r="3689">
          <cell r="Q3689">
            <v>0</v>
          </cell>
          <cell r="R3689">
            <v>0</v>
          </cell>
        </row>
        <row r="3690">
          <cell r="Q3690">
            <v>0</v>
          </cell>
          <cell r="R3690">
            <v>0</v>
          </cell>
        </row>
        <row r="3691">
          <cell r="Q3691">
            <v>0</v>
          </cell>
          <cell r="R3691">
            <v>0</v>
          </cell>
        </row>
        <row r="3692">
          <cell r="Q3692">
            <v>0</v>
          </cell>
          <cell r="R3692">
            <v>0</v>
          </cell>
        </row>
        <row r="3693">
          <cell r="Q3693">
            <v>0</v>
          </cell>
          <cell r="R3693">
            <v>0</v>
          </cell>
        </row>
        <row r="3694">
          <cell r="Q3694">
            <v>0</v>
          </cell>
          <cell r="R3694">
            <v>0</v>
          </cell>
        </row>
        <row r="3695">
          <cell r="Q3695">
            <v>0</v>
          </cell>
          <cell r="R3695">
            <v>0</v>
          </cell>
        </row>
        <row r="3696">
          <cell r="Q3696">
            <v>0</v>
          </cell>
          <cell r="R3696">
            <v>0</v>
          </cell>
        </row>
        <row r="3697">
          <cell r="Q3697">
            <v>0</v>
          </cell>
          <cell r="R3697">
            <v>0</v>
          </cell>
        </row>
        <row r="3698">
          <cell r="Q3698">
            <v>0</v>
          </cell>
          <cell r="R3698">
            <v>0</v>
          </cell>
        </row>
        <row r="3699">
          <cell r="Q3699">
            <v>0</v>
          </cell>
          <cell r="R3699">
            <v>0</v>
          </cell>
        </row>
        <row r="3700">
          <cell r="Q3700">
            <v>0</v>
          </cell>
          <cell r="R3700">
            <v>0</v>
          </cell>
        </row>
        <row r="3701">
          <cell r="Q3701">
            <v>0</v>
          </cell>
          <cell r="R3701">
            <v>0</v>
          </cell>
        </row>
        <row r="3702">
          <cell r="Q3702">
            <v>0</v>
          </cell>
          <cell r="R3702">
            <v>0</v>
          </cell>
        </row>
        <row r="3703">
          <cell r="Q3703">
            <v>0</v>
          </cell>
          <cell r="R3703">
            <v>0</v>
          </cell>
        </row>
        <row r="3704">
          <cell r="Q3704">
            <v>0</v>
          </cell>
          <cell r="R3704">
            <v>0</v>
          </cell>
        </row>
        <row r="3705">
          <cell r="Q3705">
            <v>0</v>
          </cell>
          <cell r="R3705">
            <v>0</v>
          </cell>
        </row>
        <row r="3706">
          <cell r="Q3706">
            <v>0</v>
          </cell>
          <cell r="R3706">
            <v>0</v>
          </cell>
        </row>
        <row r="3707">
          <cell r="Q3707">
            <v>0</v>
          </cell>
          <cell r="R3707">
            <v>0</v>
          </cell>
        </row>
        <row r="3708">
          <cell r="Q3708">
            <v>0</v>
          </cell>
          <cell r="R3708">
            <v>0</v>
          </cell>
        </row>
        <row r="3709">
          <cell r="Q3709">
            <v>0</v>
          </cell>
          <cell r="R3709">
            <v>0</v>
          </cell>
        </row>
        <row r="3710">
          <cell r="Q3710">
            <v>0</v>
          </cell>
          <cell r="R3710">
            <v>0</v>
          </cell>
        </row>
        <row r="3711">
          <cell r="Q3711">
            <v>0</v>
          </cell>
          <cell r="R3711">
            <v>0</v>
          </cell>
        </row>
        <row r="3712">
          <cell r="Q3712">
            <v>0</v>
          </cell>
          <cell r="R3712">
            <v>0</v>
          </cell>
        </row>
        <row r="3713">
          <cell r="Q3713">
            <v>0</v>
          </cell>
          <cell r="R3713">
            <v>0</v>
          </cell>
        </row>
        <row r="3714">
          <cell r="Q3714">
            <v>0</v>
          </cell>
          <cell r="R3714">
            <v>0</v>
          </cell>
        </row>
        <row r="3715">
          <cell r="Q3715">
            <v>0</v>
          </cell>
          <cell r="R3715">
            <v>0</v>
          </cell>
        </row>
        <row r="3716">
          <cell r="Q3716">
            <v>0</v>
          </cell>
          <cell r="R3716">
            <v>0</v>
          </cell>
        </row>
        <row r="3717">
          <cell r="Q3717">
            <v>0</v>
          </cell>
          <cell r="R3717">
            <v>0</v>
          </cell>
        </row>
        <row r="3718">
          <cell r="Q3718">
            <v>0</v>
          </cell>
          <cell r="R3718">
            <v>0</v>
          </cell>
        </row>
        <row r="3719">
          <cell r="Q3719">
            <v>0</v>
          </cell>
          <cell r="R3719">
            <v>0</v>
          </cell>
        </row>
        <row r="3720">
          <cell r="Q3720">
            <v>0</v>
          </cell>
          <cell r="R3720">
            <v>0</v>
          </cell>
        </row>
        <row r="3721">
          <cell r="Q3721">
            <v>0</v>
          </cell>
          <cell r="R3721">
            <v>0</v>
          </cell>
        </row>
        <row r="3722">
          <cell r="Q3722">
            <v>0</v>
          </cell>
          <cell r="R3722">
            <v>0</v>
          </cell>
        </row>
        <row r="3723">
          <cell r="Q3723">
            <v>0</v>
          </cell>
          <cell r="R3723">
            <v>0</v>
          </cell>
        </row>
        <row r="3724">
          <cell r="Q3724">
            <v>0</v>
          </cell>
          <cell r="R3724">
            <v>0</v>
          </cell>
        </row>
        <row r="3725">
          <cell r="Q3725">
            <v>0</v>
          </cell>
          <cell r="R3725">
            <v>0</v>
          </cell>
        </row>
        <row r="3726">
          <cell r="Q3726">
            <v>0</v>
          </cell>
          <cell r="R3726">
            <v>0</v>
          </cell>
        </row>
        <row r="3727">
          <cell r="Q3727">
            <v>0</v>
          </cell>
          <cell r="R3727">
            <v>0</v>
          </cell>
        </row>
        <row r="3728">
          <cell r="Q3728">
            <v>0</v>
          </cell>
          <cell r="R3728">
            <v>0</v>
          </cell>
        </row>
        <row r="3729">
          <cell r="Q3729">
            <v>0</v>
          </cell>
          <cell r="R3729">
            <v>0</v>
          </cell>
        </row>
        <row r="3730">
          <cell r="Q3730">
            <v>0</v>
          </cell>
          <cell r="R3730">
            <v>0</v>
          </cell>
        </row>
        <row r="3731">
          <cell r="Q3731">
            <v>0</v>
          </cell>
          <cell r="R3731">
            <v>0</v>
          </cell>
        </row>
        <row r="3732">
          <cell r="Q3732">
            <v>0</v>
          </cell>
          <cell r="R3732">
            <v>0</v>
          </cell>
        </row>
        <row r="3733">
          <cell r="Q3733">
            <v>0</v>
          </cell>
          <cell r="R3733">
            <v>0</v>
          </cell>
        </row>
        <row r="3734">
          <cell r="Q3734">
            <v>0</v>
          </cell>
          <cell r="R3734">
            <v>0</v>
          </cell>
        </row>
        <row r="3735">
          <cell r="Q3735">
            <v>0</v>
          </cell>
          <cell r="R3735">
            <v>0</v>
          </cell>
        </row>
        <row r="3736">
          <cell r="Q3736">
            <v>0</v>
          </cell>
          <cell r="R3736">
            <v>0</v>
          </cell>
        </row>
        <row r="3737">
          <cell r="Q3737">
            <v>0</v>
          </cell>
          <cell r="R3737">
            <v>0</v>
          </cell>
        </row>
        <row r="3738">
          <cell r="Q3738">
            <v>0</v>
          </cell>
          <cell r="R3738">
            <v>0</v>
          </cell>
        </row>
        <row r="3739">
          <cell r="Q3739">
            <v>0</v>
          </cell>
          <cell r="R3739">
            <v>0</v>
          </cell>
        </row>
        <row r="3740">
          <cell r="Q3740">
            <v>0</v>
          </cell>
          <cell r="R3740">
            <v>0</v>
          </cell>
        </row>
        <row r="3741">
          <cell r="Q3741">
            <v>0</v>
          </cell>
          <cell r="R3741">
            <v>0</v>
          </cell>
        </row>
        <row r="3742">
          <cell r="Q3742">
            <v>0</v>
          </cell>
          <cell r="R3742">
            <v>0</v>
          </cell>
        </row>
        <row r="3743">
          <cell r="Q3743">
            <v>0</v>
          </cell>
          <cell r="R3743">
            <v>0</v>
          </cell>
        </row>
        <row r="3744">
          <cell r="Q3744">
            <v>0</v>
          </cell>
          <cell r="R3744">
            <v>0</v>
          </cell>
        </row>
        <row r="3745">
          <cell r="Q3745">
            <v>0</v>
          </cell>
          <cell r="R3745">
            <v>0</v>
          </cell>
        </row>
        <row r="3746">
          <cell r="Q3746">
            <v>0</v>
          </cell>
          <cell r="R3746">
            <v>0</v>
          </cell>
        </row>
        <row r="3747">
          <cell r="Q3747">
            <v>0</v>
          </cell>
          <cell r="R3747">
            <v>0</v>
          </cell>
        </row>
        <row r="3748">
          <cell r="Q3748">
            <v>0</v>
          </cell>
          <cell r="R3748">
            <v>0</v>
          </cell>
        </row>
        <row r="3749">
          <cell r="Q3749">
            <v>0</v>
          </cell>
          <cell r="R3749">
            <v>0</v>
          </cell>
        </row>
        <row r="3750">
          <cell r="Q3750">
            <v>0</v>
          </cell>
          <cell r="R3750">
            <v>0</v>
          </cell>
        </row>
        <row r="3751">
          <cell r="Q3751">
            <v>0</v>
          </cell>
          <cell r="R3751">
            <v>0</v>
          </cell>
        </row>
        <row r="3752">
          <cell r="Q3752">
            <v>0</v>
          </cell>
          <cell r="R3752">
            <v>0</v>
          </cell>
        </row>
        <row r="3753">
          <cell r="Q3753">
            <v>0</v>
          </cell>
          <cell r="R3753">
            <v>0</v>
          </cell>
        </row>
        <row r="3754">
          <cell r="Q3754">
            <v>0</v>
          </cell>
          <cell r="R3754">
            <v>0</v>
          </cell>
        </row>
        <row r="3755">
          <cell r="Q3755">
            <v>0</v>
          </cell>
          <cell r="R3755">
            <v>0</v>
          </cell>
        </row>
        <row r="3756">
          <cell r="Q3756">
            <v>0</v>
          </cell>
          <cell r="R3756">
            <v>0</v>
          </cell>
        </row>
        <row r="3757">
          <cell r="Q3757">
            <v>0</v>
          </cell>
          <cell r="R3757">
            <v>0</v>
          </cell>
        </row>
        <row r="3758">
          <cell r="Q3758">
            <v>0</v>
          </cell>
          <cell r="R3758">
            <v>0</v>
          </cell>
        </row>
        <row r="3759">
          <cell r="Q3759">
            <v>0</v>
          </cell>
          <cell r="R3759">
            <v>0</v>
          </cell>
        </row>
        <row r="3760">
          <cell r="Q3760">
            <v>0</v>
          </cell>
          <cell r="R3760">
            <v>0</v>
          </cell>
        </row>
        <row r="3761">
          <cell r="Q3761">
            <v>0</v>
          </cell>
          <cell r="R3761">
            <v>0</v>
          </cell>
        </row>
        <row r="3762">
          <cell r="Q3762">
            <v>0</v>
          </cell>
          <cell r="R3762">
            <v>0</v>
          </cell>
        </row>
        <row r="3763">
          <cell r="Q3763">
            <v>0</v>
          </cell>
          <cell r="R3763">
            <v>0</v>
          </cell>
        </row>
        <row r="3764">
          <cell r="Q3764">
            <v>0</v>
          </cell>
          <cell r="R3764">
            <v>0</v>
          </cell>
        </row>
        <row r="3765">
          <cell r="Q3765">
            <v>0</v>
          </cell>
          <cell r="R3765">
            <v>0</v>
          </cell>
        </row>
        <row r="3766">
          <cell r="Q3766">
            <v>0</v>
          </cell>
          <cell r="R3766">
            <v>0</v>
          </cell>
        </row>
        <row r="3767">
          <cell r="Q3767">
            <v>0</v>
          </cell>
          <cell r="R3767">
            <v>0</v>
          </cell>
        </row>
        <row r="3768">
          <cell r="Q3768">
            <v>0</v>
          </cell>
          <cell r="R3768">
            <v>0</v>
          </cell>
        </row>
        <row r="3769">
          <cell r="Q3769">
            <v>0</v>
          </cell>
          <cell r="R3769">
            <v>0</v>
          </cell>
        </row>
        <row r="3770">
          <cell r="Q3770">
            <v>0</v>
          </cell>
          <cell r="R3770">
            <v>0</v>
          </cell>
        </row>
        <row r="3771">
          <cell r="Q3771">
            <v>0</v>
          </cell>
          <cell r="R3771">
            <v>0</v>
          </cell>
        </row>
        <row r="3772">
          <cell r="Q3772">
            <v>0</v>
          </cell>
          <cell r="R3772">
            <v>0</v>
          </cell>
        </row>
        <row r="3773">
          <cell r="Q3773">
            <v>0</v>
          </cell>
          <cell r="R3773">
            <v>0</v>
          </cell>
        </row>
        <row r="3774">
          <cell r="Q3774">
            <v>0</v>
          </cell>
          <cell r="R3774">
            <v>0</v>
          </cell>
        </row>
        <row r="3775">
          <cell r="Q3775">
            <v>0</v>
          </cell>
          <cell r="R3775">
            <v>0</v>
          </cell>
        </row>
        <row r="3776">
          <cell r="Q3776">
            <v>0</v>
          </cell>
          <cell r="R3776">
            <v>0</v>
          </cell>
        </row>
        <row r="3777">
          <cell r="Q3777">
            <v>0</v>
          </cell>
          <cell r="R3777">
            <v>0</v>
          </cell>
        </row>
        <row r="3778">
          <cell r="Q3778">
            <v>0</v>
          </cell>
          <cell r="R3778">
            <v>0</v>
          </cell>
        </row>
        <row r="3779">
          <cell r="Q3779">
            <v>0</v>
          </cell>
          <cell r="R3779">
            <v>0</v>
          </cell>
        </row>
        <row r="3780">
          <cell r="Q3780">
            <v>0</v>
          </cell>
          <cell r="R3780">
            <v>0</v>
          </cell>
        </row>
        <row r="3781">
          <cell r="Q3781">
            <v>0</v>
          </cell>
          <cell r="R3781">
            <v>0</v>
          </cell>
        </row>
        <row r="3782">
          <cell r="Q3782">
            <v>0</v>
          </cell>
          <cell r="R3782">
            <v>0</v>
          </cell>
        </row>
        <row r="3783">
          <cell r="Q3783">
            <v>0</v>
          </cell>
          <cell r="R3783">
            <v>0</v>
          </cell>
        </row>
        <row r="3784">
          <cell r="Q3784">
            <v>0</v>
          </cell>
          <cell r="R3784">
            <v>0</v>
          </cell>
        </row>
        <row r="3785">
          <cell r="Q3785">
            <v>0</v>
          </cell>
          <cell r="R3785">
            <v>0</v>
          </cell>
        </row>
        <row r="3786">
          <cell r="Q3786">
            <v>0</v>
          </cell>
          <cell r="R3786">
            <v>0</v>
          </cell>
        </row>
        <row r="3787">
          <cell r="Q3787">
            <v>0</v>
          </cell>
          <cell r="R3787">
            <v>0</v>
          </cell>
        </row>
        <row r="3788">
          <cell r="Q3788">
            <v>0</v>
          </cell>
          <cell r="R3788">
            <v>0</v>
          </cell>
        </row>
        <row r="3789">
          <cell r="Q3789">
            <v>0</v>
          </cell>
          <cell r="R3789">
            <v>0</v>
          </cell>
        </row>
        <row r="3790">
          <cell r="Q3790">
            <v>0</v>
          </cell>
          <cell r="R3790">
            <v>0</v>
          </cell>
        </row>
        <row r="3791">
          <cell r="Q3791">
            <v>0</v>
          </cell>
          <cell r="R3791">
            <v>0</v>
          </cell>
        </row>
        <row r="3792">
          <cell r="Q3792">
            <v>0</v>
          </cell>
          <cell r="R3792">
            <v>0</v>
          </cell>
        </row>
        <row r="3793">
          <cell r="Q3793">
            <v>0</v>
          </cell>
          <cell r="R3793">
            <v>0</v>
          </cell>
        </row>
        <row r="3794">
          <cell r="Q3794">
            <v>0</v>
          </cell>
          <cell r="R3794">
            <v>0</v>
          </cell>
        </row>
        <row r="3795">
          <cell r="Q3795">
            <v>0</v>
          </cell>
          <cell r="R3795">
            <v>0</v>
          </cell>
        </row>
        <row r="3796">
          <cell r="Q3796">
            <v>0</v>
          </cell>
          <cell r="R3796">
            <v>0</v>
          </cell>
        </row>
        <row r="3797">
          <cell r="Q3797">
            <v>0</v>
          </cell>
          <cell r="R3797">
            <v>0</v>
          </cell>
        </row>
        <row r="3798">
          <cell r="Q3798">
            <v>0</v>
          </cell>
          <cell r="R3798">
            <v>0</v>
          </cell>
        </row>
        <row r="3799">
          <cell r="Q3799">
            <v>0</v>
          </cell>
          <cell r="R3799">
            <v>0</v>
          </cell>
        </row>
        <row r="3800">
          <cell r="Q3800">
            <v>0</v>
          </cell>
          <cell r="R3800">
            <v>0</v>
          </cell>
        </row>
        <row r="3801">
          <cell r="Q3801">
            <v>0</v>
          </cell>
          <cell r="R3801">
            <v>0</v>
          </cell>
        </row>
        <row r="3802">
          <cell r="Q3802">
            <v>0</v>
          </cell>
          <cell r="R3802">
            <v>0</v>
          </cell>
        </row>
        <row r="3803">
          <cell r="Q3803">
            <v>0</v>
          </cell>
          <cell r="R3803">
            <v>0</v>
          </cell>
        </row>
        <row r="3804">
          <cell r="Q3804">
            <v>0</v>
          </cell>
          <cell r="R3804">
            <v>0</v>
          </cell>
        </row>
        <row r="3805">
          <cell r="Q3805">
            <v>0</v>
          </cell>
          <cell r="R3805">
            <v>0</v>
          </cell>
        </row>
        <row r="3806">
          <cell r="Q3806">
            <v>0</v>
          </cell>
          <cell r="R3806">
            <v>0</v>
          </cell>
        </row>
        <row r="3807">
          <cell r="Q3807">
            <v>0</v>
          </cell>
          <cell r="R3807">
            <v>0</v>
          </cell>
        </row>
        <row r="3808">
          <cell r="Q3808">
            <v>0</v>
          </cell>
          <cell r="R3808">
            <v>0</v>
          </cell>
        </row>
        <row r="3809">
          <cell r="Q3809">
            <v>0</v>
          </cell>
          <cell r="R3809">
            <v>0</v>
          </cell>
        </row>
        <row r="3810">
          <cell r="Q3810">
            <v>0</v>
          </cell>
          <cell r="R3810">
            <v>0</v>
          </cell>
        </row>
        <row r="3811">
          <cell r="Q3811">
            <v>0</v>
          </cell>
          <cell r="R3811">
            <v>0</v>
          </cell>
        </row>
        <row r="3812">
          <cell r="Q3812">
            <v>0</v>
          </cell>
          <cell r="R3812">
            <v>0</v>
          </cell>
        </row>
        <row r="3813">
          <cell r="Q3813">
            <v>0</v>
          </cell>
          <cell r="R3813">
            <v>0</v>
          </cell>
        </row>
        <row r="3814">
          <cell r="Q3814">
            <v>0</v>
          </cell>
          <cell r="R3814">
            <v>0</v>
          </cell>
        </row>
        <row r="3815">
          <cell r="Q3815">
            <v>0</v>
          </cell>
          <cell r="R3815">
            <v>0</v>
          </cell>
        </row>
        <row r="3816">
          <cell r="Q3816">
            <v>0</v>
          </cell>
          <cell r="R3816">
            <v>0</v>
          </cell>
        </row>
        <row r="3817">
          <cell r="Q3817">
            <v>0</v>
          </cell>
          <cell r="R3817">
            <v>0</v>
          </cell>
        </row>
        <row r="3818">
          <cell r="Q3818">
            <v>0</v>
          </cell>
          <cell r="R3818">
            <v>0</v>
          </cell>
        </row>
        <row r="3819">
          <cell r="Q3819">
            <v>0</v>
          </cell>
          <cell r="R3819">
            <v>0</v>
          </cell>
        </row>
        <row r="3820">
          <cell r="Q3820">
            <v>0</v>
          </cell>
          <cell r="R3820">
            <v>0</v>
          </cell>
        </row>
        <row r="3821">
          <cell r="Q3821">
            <v>0</v>
          </cell>
          <cell r="R3821">
            <v>0</v>
          </cell>
        </row>
        <row r="3822">
          <cell r="Q3822">
            <v>0</v>
          </cell>
          <cell r="R3822">
            <v>0</v>
          </cell>
        </row>
        <row r="3823">
          <cell r="Q3823">
            <v>0</v>
          </cell>
          <cell r="R3823">
            <v>0</v>
          </cell>
        </row>
        <row r="3824">
          <cell r="Q3824">
            <v>0</v>
          </cell>
          <cell r="R3824">
            <v>0</v>
          </cell>
        </row>
        <row r="3825">
          <cell r="Q3825">
            <v>0</v>
          </cell>
          <cell r="R3825">
            <v>0</v>
          </cell>
        </row>
        <row r="3826">
          <cell r="Q3826">
            <v>0</v>
          </cell>
          <cell r="R3826">
            <v>0</v>
          </cell>
        </row>
        <row r="3827">
          <cell r="Q3827">
            <v>0</v>
          </cell>
          <cell r="R3827">
            <v>0</v>
          </cell>
        </row>
        <row r="3828">
          <cell r="Q3828">
            <v>0</v>
          </cell>
          <cell r="R3828">
            <v>0</v>
          </cell>
        </row>
        <row r="3829">
          <cell r="Q3829">
            <v>0</v>
          </cell>
          <cell r="R3829">
            <v>0</v>
          </cell>
        </row>
        <row r="3830">
          <cell r="Q3830">
            <v>0</v>
          </cell>
          <cell r="R3830">
            <v>0</v>
          </cell>
        </row>
        <row r="3831">
          <cell r="Q3831">
            <v>0</v>
          </cell>
          <cell r="R3831">
            <v>0</v>
          </cell>
        </row>
        <row r="3832">
          <cell r="Q3832">
            <v>0</v>
          </cell>
          <cell r="R3832">
            <v>0</v>
          </cell>
        </row>
        <row r="3833">
          <cell r="Q3833">
            <v>0</v>
          </cell>
          <cell r="R3833">
            <v>0</v>
          </cell>
        </row>
        <row r="3834">
          <cell r="Q3834">
            <v>0</v>
          </cell>
          <cell r="R3834">
            <v>0</v>
          </cell>
        </row>
        <row r="3835">
          <cell r="Q3835">
            <v>0</v>
          </cell>
          <cell r="R3835">
            <v>0</v>
          </cell>
        </row>
        <row r="3836">
          <cell r="Q3836">
            <v>0</v>
          </cell>
          <cell r="R3836">
            <v>0</v>
          </cell>
        </row>
        <row r="3837">
          <cell r="Q3837">
            <v>0</v>
          </cell>
          <cell r="R3837">
            <v>0</v>
          </cell>
        </row>
        <row r="3838">
          <cell r="Q3838">
            <v>0</v>
          </cell>
          <cell r="R3838">
            <v>0</v>
          </cell>
        </row>
        <row r="3839">
          <cell r="Q3839">
            <v>0</v>
          </cell>
          <cell r="R3839">
            <v>0</v>
          </cell>
        </row>
        <row r="3840">
          <cell r="Q3840">
            <v>0</v>
          </cell>
          <cell r="R3840">
            <v>0</v>
          </cell>
        </row>
        <row r="3841">
          <cell r="Q3841">
            <v>0</v>
          </cell>
          <cell r="R3841">
            <v>0</v>
          </cell>
        </row>
        <row r="3842">
          <cell r="Q3842">
            <v>0</v>
          </cell>
          <cell r="R3842">
            <v>0</v>
          </cell>
        </row>
        <row r="3843">
          <cell r="Q3843">
            <v>0</v>
          </cell>
          <cell r="R3843">
            <v>0</v>
          </cell>
        </row>
        <row r="3844">
          <cell r="Q3844">
            <v>0</v>
          </cell>
          <cell r="R3844">
            <v>0</v>
          </cell>
        </row>
        <row r="3845">
          <cell r="Q3845">
            <v>0</v>
          </cell>
          <cell r="R3845">
            <v>0</v>
          </cell>
        </row>
        <row r="3846">
          <cell r="Q3846">
            <v>0</v>
          </cell>
          <cell r="R3846">
            <v>0</v>
          </cell>
        </row>
        <row r="3847">
          <cell r="Q3847">
            <v>0</v>
          </cell>
          <cell r="R3847">
            <v>0</v>
          </cell>
        </row>
        <row r="3848">
          <cell r="Q3848">
            <v>0</v>
          </cell>
          <cell r="R3848">
            <v>0</v>
          </cell>
        </row>
        <row r="3849">
          <cell r="Q3849">
            <v>0</v>
          </cell>
          <cell r="R3849">
            <v>0</v>
          </cell>
        </row>
        <row r="3850">
          <cell r="Q3850">
            <v>0</v>
          </cell>
          <cell r="R3850">
            <v>0</v>
          </cell>
        </row>
        <row r="3851">
          <cell r="Q3851">
            <v>0</v>
          </cell>
          <cell r="R3851">
            <v>0</v>
          </cell>
        </row>
        <row r="3852">
          <cell r="Q3852">
            <v>0</v>
          </cell>
          <cell r="R3852">
            <v>0</v>
          </cell>
        </row>
        <row r="3853">
          <cell r="Q3853">
            <v>0</v>
          </cell>
          <cell r="R3853">
            <v>0</v>
          </cell>
        </row>
        <row r="3854">
          <cell r="Q3854">
            <v>0</v>
          </cell>
          <cell r="R3854">
            <v>0</v>
          </cell>
        </row>
        <row r="3855">
          <cell r="Q3855">
            <v>0</v>
          </cell>
          <cell r="R3855">
            <v>0</v>
          </cell>
        </row>
        <row r="3856">
          <cell r="Q3856">
            <v>0</v>
          </cell>
          <cell r="R3856">
            <v>0</v>
          </cell>
        </row>
        <row r="3857">
          <cell r="Q3857">
            <v>0</v>
          </cell>
          <cell r="R3857">
            <v>0</v>
          </cell>
        </row>
        <row r="3858">
          <cell r="Q3858">
            <v>0</v>
          </cell>
          <cell r="R3858">
            <v>0</v>
          </cell>
        </row>
        <row r="3859">
          <cell r="Q3859">
            <v>0</v>
          </cell>
          <cell r="R3859">
            <v>0</v>
          </cell>
        </row>
        <row r="3860">
          <cell r="Q3860">
            <v>0</v>
          </cell>
          <cell r="R3860">
            <v>0</v>
          </cell>
        </row>
        <row r="3861">
          <cell r="Q3861">
            <v>0</v>
          </cell>
          <cell r="R3861">
            <v>0</v>
          </cell>
        </row>
        <row r="3862">
          <cell r="Q3862">
            <v>0</v>
          </cell>
          <cell r="R3862">
            <v>0</v>
          </cell>
        </row>
        <row r="3863">
          <cell r="Q3863">
            <v>0</v>
          </cell>
          <cell r="R3863">
            <v>0</v>
          </cell>
        </row>
        <row r="3864">
          <cell r="Q3864">
            <v>0</v>
          </cell>
          <cell r="R3864">
            <v>0</v>
          </cell>
        </row>
        <row r="3865">
          <cell r="Q3865">
            <v>0</v>
          </cell>
          <cell r="R3865">
            <v>0</v>
          </cell>
        </row>
        <row r="3866">
          <cell r="Q3866">
            <v>0</v>
          </cell>
          <cell r="R3866">
            <v>0</v>
          </cell>
        </row>
        <row r="3867">
          <cell r="Q3867">
            <v>0</v>
          </cell>
          <cell r="R3867">
            <v>0</v>
          </cell>
        </row>
        <row r="3868">
          <cell r="Q3868">
            <v>0</v>
          </cell>
          <cell r="R3868">
            <v>0</v>
          </cell>
        </row>
        <row r="3869">
          <cell r="Q3869">
            <v>0</v>
          </cell>
          <cell r="R3869">
            <v>0</v>
          </cell>
        </row>
        <row r="3870">
          <cell r="Q3870">
            <v>0</v>
          </cell>
          <cell r="R3870">
            <v>0</v>
          </cell>
        </row>
        <row r="3871">
          <cell r="Q3871">
            <v>0</v>
          </cell>
          <cell r="R3871">
            <v>0</v>
          </cell>
        </row>
        <row r="3872">
          <cell r="Q3872">
            <v>0</v>
          </cell>
          <cell r="R3872">
            <v>0</v>
          </cell>
        </row>
        <row r="3873">
          <cell r="Q3873">
            <v>0</v>
          </cell>
          <cell r="R3873">
            <v>0</v>
          </cell>
        </row>
        <row r="3874">
          <cell r="Q3874">
            <v>0</v>
          </cell>
          <cell r="R3874">
            <v>0</v>
          </cell>
        </row>
        <row r="3875">
          <cell r="Q3875">
            <v>0</v>
          </cell>
          <cell r="R3875">
            <v>0</v>
          </cell>
        </row>
        <row r="3876">
          <cell r="Q3876">
            <v>0</v>
          </cell>
          <cell r="R3876">
            <v>0</v>
          </cell>
        </row>
        <row r="3877">
          <cell r="Q3877">
            <v>0</v>
          </cell>
          <cell r="R3877">
            <v>0</v>
          </cell>
        </row>
        <row r="3878">
          <cell r="Q3878">
            <v>0</v>
          </cell>
          <cell r="R3878">
            <v>0</v>
          </cell>
        </row>
        <row r="3879">
          <cell r="Q3879">
            <v>0</v>
          </cell>
          <cell r="R3879">
            <v>0</v>
          </cell>
        </row>
        <row r="3880">
          <cell r="Q3880">
            <v>0</v>
          </cell>
          <cell r="R3880">
            <v>0</v>
          </cell>
        </row>
        <row r="3881">
          <cell r="Q3881">
            <v>0</v>
          </cell>
          <cell r="R3881">
            <v>0</v>
          </cell>
        </row>
        <row r="3882">
          <cell r="Q3882">
            <v>0</v>
          </cell>
          <cell r="R3882">
            <v>0</v>
          </cell>
        </row>
        <row r="3883">
          <cell r="Q3883">
            <v>0</v>
          </cell>
          <cell r="R3883">
            <v>0</v>
          </cell>
        </row>
        <row r="3884">
          <cell r="Q3884">
            <v>0</v>
          </cell>
          <cell r="R3884">
            <v>0</v>
          </cell>
        </row>
        <row r="3885">
          <cell r="Q3885">
            <v>0</v>
          </cell>
          <cell r="R3885">
            <v>0</v>
          </cell>
        </row>
        <row r="3886">
          <cell r="Q3886">
            <v>0</v>
          </cell>
          <cell r="R3886">
            <v>0</v>
          </cell>
        </row>
        <row r="3887">
          <cell r="Q3887">
            <v>0</v>
          </cell>
          <cell r="R3887">
            <v>0</v>
          </cell>
        </row>
        <row r="3888">
          <cell r="Q3888">
            <v>0</v>
          </cell>
          <cell r="R3888">
            <v>0</v>
          </cell>
        </row>
        <row r="3889">
          <cell r="Q3889">
            <v>0</v>
          </cell>
          <cell r="R3889">
            <v>0</v>
          </cell>
        </row>
        <row r="3890">
          <cell r="Q3890">
            <v>0</v>
          </cell>
          <cell r="R3890">
            <v>0</v>
          </cell>
        </row>
        <row r="3891">
          <cell r="Q3891">
            <v>0</v>
          </cell>
          <cell r="R3891">
            <v>0</v>
          </cell>
        </row>
        <row r="3892">
          <cell r="Q3892">
            <v>0</v>
          </cell>
          <cell r="R3892">
            <v>0</v>
          </cell>
        </row>
        <row r="3893">
          <cell r="Q3893">
            <v>0</v>
          </cell>
          <cell r="R3893">
            <v>0</v>
          </cell>
        </row>
        <row r="3894">
          <cell r="Q3894">
            <v>0</v>
          </cell>
          <cell r="R3894">
            <v>0</v>
          </cell>
        </row>
        <row r="3895">
          <cell r="Q3895">
            <v>0</v>
          </cell>
          <cell r="R3895">
            <v>0</v>
          </cell>
        </row>
        <row r="3896">
          <cell r="Q3896">
            <v>0</v>
          </cell>
          <cell r="R3896">
            <v>0</v>
          </cell>
        </row>
        <row r="3897">
          <cell r="Q3897">
            <v>0</v>
          </cell>
          <cell r="R3897">
            <v>0</v>
          </cell>
        </row>
        <row r="3898">
          <cell r="Q3898">
            <v>0</v>
          </cell>
          <cell r="R3898">
            <v>0</v>
          </cell>
        </row>
        <row r="3899">
          <cell r="Q3899">
            <v>0</v>
          </cell>
          <cell r="R3899">
            <v>0</v>
          </cell>
        </row>
        <row r="3900">
          <cell r="Q3900">
            <v>0</v>
          </cell>
          <cell r="R3900">
            <v>0</v>
          </cell>
        </row>
        <row r="3901">
          <cell r="Q3901">
            <v>0</v>
          </cell>
          <cell r="R3901">
            <v>0</v>
          </cell>
        </row>
        <row r="3902">
          <cell r="Q3902">
            <v>0</v>
          </cell>
          <cell r="R3902">
            <v>0</v>
          </cell>
        </row>
        <row r="3903">
          <cell r="Q3903">
            <v>0</v>
          </cell>
          <cell r="R3903">
            <v>0</v>
          </cell>
        </row>
        <row r="3904">
          <cell r="Q3904">
            <v>0</v>
          </cell>
          <cell r="R3904">
            <v>0</v>
          </cell>
        </row>
        <row r="3905">
          <cell r="Q3905">
            <v>0</v>
          </cell>
          <cell r="R3905">
            <v>0</v>
          </cell>
        </row>
        <row r="3906">
          <cell r="Q3906">
            <v>0</v>
          </cell>
          <cell r="R3906">
            <v>0</v>
          </cell>
        </row>
        <row r="3907">
          <cell r="Q3907">
            <v>0</v>
          </cell>
          <cell r="R3907">
            <v>0</v>
          </cell>
        </row>
        <row r="3908">
          <cell r="Q3908">
            <v>0</v>
          </cell>
          <cell r="R3908">
            <v>0</v>
          </cell>
        </row>
        <row r="3909">
          <cell r="Q3909">
            <v>0</v>
          </cell>
          <cell r="R3909">
            <v>0</v>
          </cell>
        </row>
        <row r="3910">
          <cell r="Q3910">
            <v>0</v>
          </cell>
          <cell r="R3910">
            <v>0</v>
          </cell>
        </row>
        <row r="3911">
          <cell r="Q3911">
            <v>0</v>
          </cell>
          <cell r="R3911">
            <v>0</v>
          </cell>
        </row>
        <row r="3912">
          <cell r="Q3912">
            <v>0</v>
          </cell>
          <cell r="R3912">
            <v>0</v>
          </cell>
        </row>
        <row r="3913">
          <cell r="Q3913">
            <v>0</v>
          </cell>
          <cell r="R3913">
            <v>0</v>
          </cell>
        </row>
        <row r="3914">
          <cell r="Q3914">
            <v>0</v>
          </cell>
          <cell r="R3914">
            <v>0</v>
          </cell>
        </row>
        <row r="3915">
          <cell r="Q3915">
            <v>0</v>
          </cell>
          <cell r="R3915">
            <v>0</v>
          </cell>
        </row>
        <row r="3916">
          <cell r="Q3916">
            <v>0</v>
          </cell>
          <cell r="R3916">
            <v>0</v>
          </cell>
        </row>
        <row r="3917">
          <cell r="Q3917">
            <v>0</v>
          </cell>
          <cell r="R3917">
            <v>0</v>
          </cell>
        </row>
        <row r="3918">
          <cell r="Q3918">
            <v>0</v>
          </cell>
          <cell r="R3918">
            <v>0</v>
          </cell>
        </row>
        <row r="3919">
          <cell r="Q3919">
            <v>0</v>
          </cell>
          <cell r="R3919">
            <v>0</v>
          </cell>
        </row>
        <row r="3920">
          <cell r="Q3920">
            <v>0</v>
          </cell>
          <cell r="R3920">
            <v>0</v>
          </cell>
        </row>
        <row r="3921">
          <cell r="Q3921">
            <v>0</v>
          </cell>
          <cell r="R3921">
            <v>0</v>
          </cell>
        </row>
        <row r="3922">
          <cell r="Q3922">
            <v>0</v>
          </cell>
          <cell r="R3922">
            <v>0</v>
          </cell>
        </row>
        <row r="3923">
          <cell r="Q3923">
            <v>0</v>
          </cell>
          <cell r="R3923">
            <v>0</v>
          </cell>
        </row>
        <row r="3924">
          <cell r="Q3924">
            <v>0</v>
          </cell>
          <cell r="R3924">
            <v>0</v>
          </cell>
        </row>
        <row r="3925">
          <cell r="Q3925">
            <v>0</v>
          </cell>
          <cell r="R3925">
            <v>0</v>
          </cell>
        </row>
        <row r="3926">
          <cell r="Q3926">
            <v>0</v>
          </cell>
          <cell r="R3926">
            <v>0</v>
          </cell>
        </row>
        <row r="3927">
          <cell r="Q3927">
            <v>0</v>
          </cell>
          <cell r="R3927">
            <v>0</v>
          </cell>
        </row>
        <row r="3928">
          <cell r="Q3928">
            <v>0</v>
          </cell>
          <cell r="R3928">
            <v>0</v>
          </cell>
        </row>
        <row r="3929">
          <cell r="Q3929">
            <v>0</v>
          </cell>
          <cell r="R3929">
            <v>0</v>
          </cell>
        </row>
        <row r="3930">
          <cell r="Q3930">
            <v>0</v>
          </cell>
          <cell r="R3930">
            <v>0</v>
          </cell>
        </row>
        <row r="3931">
          <cell r="Q3931">
            <v>0</v>
          </cell>
          <cell r="R3931">
            <v>0</v>
          </cell>
        </row>
        <row r="3932">
          <cell r="Q3932">
            <v>0</v>
          </cell>
          <cell r="R3932">
            <v>0</v>
          </cell>
        </row>
        <row r="3933">
          <cell r="Q3933">
            <v>0</v>
          </cell>
          <cell r="R3933">
            <v>0</v>
          </cell>
        </row>
        <row r="3934">
          <cell r="Q3934">
            <v>0</v>
          </cell>
          <cell r="R3934">
            <v>0</v>
          </cell>
        </row>
        <row r="3935">
          <cell r="Q3935">
            <v>0</v>
          </cell>
          <cell r="R3935">
            <v>0</v>
          </cell>
        </row>
        <row r="3936">
          <cell r="Q3936">
            <v>0</v>
          </cell>
          <cell r="R3936">
            <v>0</v>
          </cell>
        </row>
        <row r="3937">
          <cell r="Q3937">
            <v>0</v>
          </cell>
          <cell r="R3937">
            <v>0</v>
          </cell>
        </row>
        <row r="3938">
          <cell r="Q3938">
            <v>0</v>
          </cell>
          <cell r="R3938">
            <v>0</v>
          </cell>
        </row>
        <row r="3939">
          <cell r="Q3939">
            <v>0</v>
          </cell>
          <cell r="R3939">
            <v>0</v>
          </cell>
        </row>
        <row r="3940">
          <cell r="Q3940">
            <v>0</v>
          </cell>
          <cell r="R3940">
            <v>0</v>
          </cell>
        </row>
        <row r="3941">
          <cell r="Q3941">
            <v>0</v>
          </cell>
          <cell r="R3941">
            <v>0</v>
          </cell>
        </row>
        <row r="3942">
          <cell r="Q3942">
            <v>0</v>
          </cell>
          <cell r="R3942">
            <v>0</v>
          </cell>
        </row>
        <row r="3943">
          <cell r="Q3943">
            <v>0</v>
          </cell>
          <cell r="R3943">
            <v>0</v>
          </cell>
        </row>
        <row r="3944">
          <cell r="Q3944">
            <v>0</v>
          </cell>
          <cell r="R3944">
            <v>0</v>
          </cell>
        </row>
        <row r="3945">
          <cell r="Q3945">
            <v>0</v>
          </cell>
          <cell r="R3945">
            <v>0</v>
          </cell>
        </row>
        <row r="3946">
          <cell r="Q3946">
            <v>0</v>
          </cell>
          <cell r="R3946">
            <v>0</v>
          </cell>
        </row>
        <row r="3947">
          <cell r="Q3947">
            <v>0</v>
          </cell>
          <cell r="R3947">
            <v>0</v>
          </cell>
        </row>
        <row r="3948">
          <cell r="Q3948">
            <v>0</v>
          </cell>
          <cell r="R3948">
            <v>0</v>
          </cell>
        </row>
        <row r="3949">
          <cell r="Q3949">
            <v>0</v>
          </cell>
          <cell r="R3949">
            <v>0</v>
          </cell>
        </row>
        <row r="3950">
          <cell r="Q3950">
            <v>0</v>
          </cell>
          <cell r="R3950">
            <v>0</v>
          </cell>
        </row>
        <row r="3951">
          <cell r="Q3951">
            <v>0</v>
          </cell>
          <cell r="R3951">
            <v>0</v>
          </cell>
        </row>
        <row r="3952">
          <cell r="Q3952">
            <v>0</v>
          </cell>
          <cell r="R3952">
            <v>0</v>
          </cell>
        </row>
        <row r="3953">
          <cell r="Q3953">
            <v>0</v>
          </cell>
          <cell r="R3953">
            <v>0</v>
          </cell>
        </row>
        <row r="3954">
          <cell r="Q3954">
            <v>0</v>
          </cell>
          <cell r="R3954">
            <v>0</v>
          </cell>
        </row>
        <row r="3955">
          <cell r="Q3955">
            <v>0</v>
          </cell>
          <cell r="R3955">
            <v>0</v>
          </cell>
        </row>
        <row r="3956">
          <cell r="Q3956">
            <v>0</v>
          </cell>
          <cell r="R3956">
            <v>0</v>
          </cell>
        </row>
        <row r="3957">
          <cell r="Q3957">
            <v>0</v>
          </cell>
          <cell r="R3957">
            <v>0</v>
          </cell>
        </row>
        <row r="3958">
          <cell r="Q3958">
            <v>0</v>
          </cell>
          <cell r="R3958">
            <v>0</v>
          </cell>
        </row>
        <row r="3959">
          <cell r="Q3959">
            <v>0</v>
          </cell>
          <cell r="R3959">
            <v>0</v>
          </cell>
        </row>
        <row r="3960">
          <cell r="Q3960">
            <v>0</v>
          </cell>
          <cell r="R3960">
            <v>0</v>
          </cell>
        </row>
        <row r="3961">
          <cell r="Q3961">
            <v>0</v>
          </cell>
          <cell r="R3961">
            <v>0</v>
          </cell>
        </row>
        <row r="3962">
          <cell r="Q3962">
            <v>0</v>
          </cell>
          <cell r="R3962">
            <v>0</v>
          </cell>
        </row>
        <row r="3963">
          <cell r="Q3963">
            <v>0</v>
          </cell>
          <cell r="R3963">
            <v>0</v>
          </cell>
        </row>
        <row r="3964">
          <cell r="Q3964">
            <v>0</v>
          </cell>
          <cell r="R3964">
            <v>0</v>
          </cell>
        </row>
        <row r="3965">
          <cell r="Q3965">
            <v>0</v>
          </cell>
          <cell r="R3965">
            <v>0</v>
          </cell>
        </row>
        <row r="3966">
          <cell r="Q3966">
            <v>0</v>
          </cell>
          <cell r="R3966">
            <v>0</v>
          </cell>
        </row>
        <row r="3967">
          <cell r="Q3967">
            <v>0</v>
          </cell>
          <cell r="R3967">
            <v>0</v>
          </cell>
        </row>
        <row r="3968">
          <cell r="Q3968">
            <v>0</v>
          </cell>
          <cell r="R3968">
            <v>0</v>
          </cell>
        </row>
        <row r="3969">
          <cell r="Q3969">
            <v>0</v>
          </cell>
          <cell r="R3969">
            <v>0</v>
          </cell>
        </row>
        <row r="3970">
          <cell r="Q3970">
            <v>0</v>
          </cell>
          <cell r="R3970">
            <v>0</v>
          </cell>
        </row>
        <row r="3971">
          <cell r="Q3971">
            <v>0</v>
          </cell>
          <cell r="R3971">
            <v>0</v>
          </cell>
        </row>
        <row r="3972">
          <cell r="Q3972">
            <v>0</v>
          </cell>
          <cell r="R3972">
            <v>0</v>
          </cell>
        </row>
        <row r="3973">
          <cell r="Q3973">
            <v>0</v>
          </cell>
          <cell r="R3973">
            <v>0</v>
          </cell>
        </row>
        <row r="3974">
          <cell r="Q3974">
            <v>0</v>
          </cell>
          <cell r="R3974">
            <v>0</v>
          </cell>
        </row>
        <row r="3975">
          <cell r="Q3975">
            <v>0</v>
          </cell>
          <cell r="R3975">
            <v>0</v>
          </cell>
        </row>
        <row r="3976">
          <cell r="Q3976">
            <v>0</v>
          </cell>
          <cell r="R3976">
            <v>0</v>
          </cell>
        </row>
        <row r="3977">
          <cell r="Q3977">
            <v>0</v>
          </cell>
          <cell r="R3977">
            <v>0</v>
          </cell>
        </row>
        <row r="3978">
          <cell r="Q3978">
            <v>0</v>
          </cell>
          <cell r="R3978">
            <v>0</v>
          </cell>
        </row>
        <row r="3979">
          <cell r="Q3979">
            <v>0</v>
          </cell>
          <cell r="R3979">
            <v>0</v>
          </cell>
        </row>
        <row r="3980">
          <cell r="Q3980">
            <v>0</v>
          </cell>
          <cell r="R3980">
            <v>0</v>
          </cell>
        </row>
        <row r="3981">
          <cell r="Q3981">
            <v>0</v>
          </cell>
          <cell r="R3981">
            <v>0</v>
          </cell>
        </row>
        <row r="3982">
          <cell r="Q3982">
            <v>0</v>
          </cell>
          <cell r="R3982">
            <v>0</v>
          </cell>
        </row>
        <row r="3983">
          <cell r="Q3983">
            <v>0</v>
          </cell>
          <cell r="R3983">
            <v>0</v>
          </cell>
        </row>
        <row r="3984">
          <cell r="Q3984">
            <v>0</v>
          </cell>
          <cell r="R3984">
            <v>0</v>
          </cell>
        </row>
        <row r="3985">
          <cell r="Q3985">
            <v>0</v>
          </cell>
          <cell r="R3985">
            <v>0</v>
          </cell>
        </row>
        <row r="3986">
          <cell r="Q3986">
            <v>0</v>
          </cell>
          <cell r="R3986">
            <v>0</v>
          </cell>
        </row>
        <row r="3987">
          <cell r="Q3987">
            <v>0</v>
          </cell>
          <cell r="R3987">
            <v>0</v>
          </cell>
        </row>
        <row r="3988">
          <cell r="Q3988">
            <v>0</v>
          </cell>
          <cell r="R3988">
            <v>0</v>
          </cell>
        </row>
        <row r="3989">
          <cell r="Q3989">
            <v>0</v>
          </cell>
          <cell r="R3989">
            <v>0</v>
          </cell>
        </row>
        <row r="3990">
          <cell r="Q3990">
            <v>0</v>
          </cell>
          <cell r="R3990">
            <v>0</v>
          </cell>
        </row>
        <row r="3991">
          <cell r="Q3991">
            <v>0</v>
          </cell>
          <cell r="R3991">
            <v>0</v>
          </cell>
        </row>
        <row r="3992">
          <cell r="Q3992">
            <v>0</v>
          </cell>
          <cell r="R3992">
            <v>0</v>
          </cell>
        </row>
        <row r="3993">
          <cell r="Q3993">
            <v>0</v>
          </cell>
          <cell r="R3993">
            <v>0</v>
          </cell>
        </row>
        <row r="3994">
          <cell r="Q3994">
            <v>0</v>
          </cell>
          <cell r="R3994">
            <v>0</v>
          </cell>
        </row>
        <row r="3995">
          <cell r="Q3995">
            <v>0</v>
          </cell>
          <cell r="R3995">
            <v>0</v>
          </cell>
        </row>
        <row r="3996">
          <cell r="Q3996">
            <v>0</v>
          </cell>
          <cell r="R3996">
            <v>0</v>
          </cell>
        </row>
        <row r="3997">
          <cell r="Q3997">
            <v>0</v>
          </cell>
          <cell r="R3997">
            <v>0</v>
          </cell>
        </row>
        <row r="3998">
          <cell r="Q3998">
            <v>0</v>
          </cell>
          <cell r="R3998">
            <v>0</v>
          </cell>
        </row>
        <row r="3999">
          <cell r="Q3999">
            <v>0</v>
          </cell>
          <cell r="R3999">
            <v>0</v>
          </cell>
        </row>
        <row r="4000">
          <cell r="Q4000">
            <v>0</v>
          </cell>
          <cell r="R4000">
            <v>0</v>
          </cell>
        </row>
        <row r="4001">
          <cell r="Q4001">
            <v>0</v>
          </cell>
          <cell r="R4001">
            <v>0</v>
          </cell>
        </row>
        <row r="4002">
          <cell r="Q4002">
            <v>0</v>
          </cell>
          <cell r="R4002">
            <v>0</v>
          </cell>
        </row>
        <row r="4003">
          <cell r="Q4003">
            <v>0</v>
          </cell>
          <cell r="R4003">
            <v>0</v>
          </cell>
        </row>
        <row r="4004">
          <cell r="Q4004">
            <v>0</v>
          </cell>
          <cell r="R4004">
            <v>0</v>
          </cell>
        </row>
        <row r="4005">
          <cell r="Q4005">
            <v>0</v>
          </cell>
          <cell r="R4005">
            <v>0</v>
          </cell>
        </row>
        <row r="4006">
          <cell r="Q4006">
            <v>0</v>
          </cell>
          <cell r="R4006">
            <v>0</v>
          </cell>
        </row>
        <row r="4007">
          <cell r="Q4007">
            <v>0</v>
          </cell>
          <cell r="R4007">
            <v>0</v>
          </cell>
        </row>
        <row r="4008">
          <cell r="Q4008">
            <v>0</v>
          </cell>
          <cell r="R4008">
            <v>0</v>
          </cell>
        </row>
        <row r="4009">
          <cell r="Q4009">
            <v>0</v>
          </cell>
          <cell r="R4009">
            <v>0</v>
          </cell>
        </row>
        <row r="4010">
          <cell r="Q4010">
            <v>0</v>
          </cell>
          <cell r="R4010">
            <v>0</v>
          </cell>
        </row>
        <row r="4011">
          <cell r="Q4011">
            <v>0</v>
          </cell>
          <cell r="R4011">
            <v>0</v>
          </cell>
        </row>
        <row r="4012">
          <cell r="Q4012">
            <v>0</v>
          </cell>
          <cell r="R4012">
            <v>0</v>
          </cell>
        </row>
        <row r="4013">
          <cell r="Q4013">
            <v>0</v>
          </cell>
          <cell r="R4013">
            <v>0</v>
          </cell>
        </row>
        <row r="4014">
          <cell r="Q4014">
            <v>0</v>
          </cell>
          <cell r="R4014">
            <v>0</v>
          </cell>
        </row>
        <row r="4015">
          <cell r="Q4015">
            <v>0</v>
          </cell>
          <cell r="R4015">
            <v>0</v>
          </cell>
        </row>
        <row r="4016">
          <cell r="Q4016">
            <v>0</v>
          </cell>
          <cell r="R4016">
            <v>0</v>
          </cell>
        </row>
        <row r="4017">
          <cell r="Q4017">
            <v>0</v>
          </cell>
          <cell r="R4017">
            <v>0</v>
          </cell>
        </row>
        <row r="4018">
          <cell r="Q4018">
            <v>0</v>
          </cell>
          <cell r="R4018">
            <v>0</v>
          </cell>
        </row>
        <row r="4019">
          <cell r="Q4019">
            <v>0</v>
          </cell>
          <cell r="R4019">
            <v>0</v>
          </cell>
        </row>
        <row r="4020">
          <cell r="Q4020">
            <v>0</v>
          </cell>
          <cell r="R4020">
            <v>0</v>
          </cell>
        </row>
        <row r="4021">
          <cell r="Q4021">
            <v>0</v>
          </cell>
          <cell r="R4021">
            <v>0</v>
          </cell>
        </row>
        <row r="4022">
          <cell r="Q4022">
            <v>0</v>
          </cell>
          <cell r="R4022">
            <v>0</v>
          </cell>
        </row>
        <row r="4023">
          <cell r="Q4023">
            <v>0</v>
          </cell>
          <cell r="R4023">
            <v>0</v>
          </cell>
        </row>
        <row r="4024">
          <cell r="Q4024">
            <v>0</v>
          </cell>
          <cell r="R4024">
            <v>0</v>
          </cell>
        </row>
        <row r="4025">
          <cell r="Q4025">
            <v>0</v>
          </cell>
          <cell r="R4025">
            <v>0</v>
          </cell>
        </row>
        <row r="4026">
          <cell r="Q4026">
            <v>0</v>
          </cell>
          <cell r="R4026">
            <v>0</v>
          </cell>
        </row>
        <row r="4027">
          <cell r="Q4027">
            <v>0</v>
          </cell>
          <cell r="R4027">
            <v>0</v>
          </cell>
        </row>
        <row r="4028">
          <cell r="Q4028">
            <v>0</v>
          </cell>
          <cell r="R4028">
            <v>0</v>
          </cell>
        </row>
        <row r="4029">
          <cell r="Q4029">
            <v>0</v>
          </cell>
          <cell r="R4029">
            <v>0</v>
          </cell>
        </row>
        <row r="4030">
          <cell r="Q4030">
            <v>0</v>
          </cell>
          <cell r="R4030">
            <v>0</v>
          </cell>
        </row>
        <row r="4031">
          <cell r="Q4031">
            <v>0</v>
          </cell>
          <cell r="R4031">
            <v>0</v>
          </cell>
        </row>
        <row r="4032">
          <cell r="Q4032">
            <v>0</v>
          </cell>
          <cell r="R4032">
            <v>0</v>
          </cell>
        </row>
        <row r="4033">
          <cell r="Q4033">
            <v>0</v>
          </cell>
          <cell r="R4033">
            <v>0</v>
          </cell>
        </row>
        <row r="4034">
          <cell r="Q4034">
            <v>0</v>
          </cell>
          <cell r="R4034">
            <v>0</v>
          </cell>
        </row>
        <row r="4035">
          <cell r="Q4035">
            <v>0</v>
          </cell>
          <cell r="R4035">
            <v>0</v>
          </cell>
        </row>
        <row r="4036">
          <cell r="Q4036">
            <v>0</v>
          </cell>
          <cell r="R4036">
            <v>0</v>
          </cell>
        </row>
        <row r="4037">
          <cell r="Q4037">
            <v>0</v>
          </cell>
          <cell r="R4037">
            <v>0</v>
          </cell>
        </row>
        <row r="4038">
          <cell r="Q4038">
            <v>0</v>
          </cell>
          <cell r="R4038">
            <v>0</v>
          </cell>
        </row>
        <row r="4039">
          <cell r="Q4039">
            <v>0</v>
          </cell>
          <cell r="R4039">
            <v>0</v>
          </cell>
        </row>
        <row r="4040">
          <cell r="Q4040">
            <v>0</v>
          </cell>
          <cell r="R4040">
            <v>0</v>
          </cell>
        </row>
        <row r="4041">
          <cell r="Q4041">
            <v>0</v>
          </cell>
          <cell r="R4041">
            <v>0</v>
          </cell>
        </row>
        <row r="4042">
          <cell r="Q4042">
            <v>0</v>
          </cell>
          <cell r="R4042">
            <v>0</v>
          </cell>
        </row>
        <row r="4043">
          <cell r="Q4043">
            <v>0</v>
          </cell>
          <cell r="R4043">
            <v>0</v>
          </cell>
        </row>
        <row r="4044">
          <cell r="Q4044">
            <v>0</v>
          </cell>
          <cell r="R4044">
            <v>0</v>
          </cell>
        </row>
        <row r="4045">
          <cell r="Q4045">
            <v>0</v>
          </cell>
          <cell r="R4045">
            <v>0</v>
          </cell>
        </row>
        <row r="4046">
          <cell r="Q4046">
            <v>0</v>
          </cell>
          <cell r="R4046">
            <v>0</v>
          </cell>
        </row>
        <row r="4047">
          <cell r="Q4047">
            <v>0</v>
          </cell>
          <cell r="R4047">
            <v>0</v>
          </cell>
        </row>
        <row r="4048">
          <cell r="Q4048">
            <v>0</v>
          </cell>
          <cell r="R4048">
            <v>0</v>
          </cell>
        </row>
        <row r="4049">
          <cell r="Q4049">
            <v>0</v>
          </cell>
          <cell r="R4049">
            <v>0</v>
          </cell>
        </row>
        <row r="4050">
          <cell r="Q4050">
            <v>0</v>
          </cell>
          <cell r="R4050">
            <v>0</v>
          </cell>
        </row>
        <row r="4051">
          <cell r="Q4051">
            <v>0</v>
          </cell>
          <cell r="R4051">
            <v>0</v>
          </cell>
        </row>
        <row r="4052">
          <cell r="Q4052">
            <v>0</v>
          </cell>
          <cell r="R4052">
            <v>0</v>
          </cell>
        </row>
        <row r="4053">
          <cell r="Q4053">
            <v>0</v>
          </cell>
          <cell r="R4053">
            <v>0</v>
          </cell>
        </row>
        <row r="4054">
          <cell r="Q4054">
            <v>0</v>
          </cell>
          <cell r="R4054">
            <v>0</v>
          </cell>
        </row>
        <row r="4055">
          <cell r="Q4055">
            <v>0</v>
          </cell>
          <cell r="R4055">
            <v>0</v>
          </cell>
        </row>
        <row r="4056">
          <cell r="Q4056">
            <v>0</v>
          </cell>
          <cell r="R4056">
            <v>0</v>
          </cell>
        </row>
        <row r="4057">
          <cell r="Q4057">
            <v>0</v>
          </cell>
          <cell r="R4057">
            <v>0</v>
          </cell>
        </row>
        <row r="4058">
          <cell r="Q4058">
            <v>0</v>
          </cell>
          <cell r="R4058">
            <v>0</v>
          </cell>
        </row>
        <row r="4059">
          <cell r="Q4059">
            <v>0</v>
          </cell>
          <cell r="R4059">
            <v>0</v>
          </cell>
        </row>
        <row r="4060">
          <cell r="Q4060">
            <v>0</v>
          </cell>
          <cell r="R4060">
            <v>0</v>
          </cell>
        </row>
        <row r="4061">
          <cell r="Q4061">
            <v>0</v>
          </cell>
          <cell r="R4061">
            <v>0</v>
          </cell>
        </row>
        <row r="4062">
          <cell r="Q4062">
            <v>0</v>
          </cell>
          <cell r="R4062">
            <v>0</v>
          </cell>
        </row>
        <row r="4063">
          <cell r="Q4063">
            <v>0</v>
          </cell>
          <cell r="R4063">
            <v>0</v>
          </cell>
        </row>
        <row r="4064">
          <cell r="Q4064">
            <v>0</v>
          </cell>
          <cell r="R4064">
            <v>0</v>
          </cell>
        </row>
        <row r="4065">
          <cell r="Q4065">
            <v>0</v>
          </cell>
          <cell r="R4065">
            <v>0</v>
          </cell>
        </row>
        <row r="4066">
          <cell r="Q4066">
            <v>0</v>
          </cell>
          <cell r="R4066">
            <v>0</v>
          </cell>
        </row>
        <row r="4067">
          <cell r="Q4067">
            <v>0</v>
          </cell>
          <cell r="R4067">
            <v>0</v>
          </cell>
        </row>
        <row r="4068">
          <cell r="Q4068">
            <v>0</v>
          </cell>
          <cell r="R4068">
            <v>0</v>
          </cell>
        </row>
        <row r="4069">
          <cell r="Q4069">
            <v>0</v>
          </cell>
          <cell r="R4069">
            <v>0</v>
          </cell>
        </row>
        <row r="4070">
          <cell r="Q4070">
            <v>0</v>
          </cell>
          <cell r="R4070">
            <v>0</v>
          </cell>
        </row>
        <row r="4071">
          <cell r="Q4071">
            <v>0</v>
          </cell>
          <cell r="R4071">
            <v>0</v>
          </cell>
        </row>
        <row r="4072">
          <cell r="Q4072">
            <v>0</v>
          </cell>
          <cell r="R4072">
            <v>0</v>
          </cell>
        </row>
        <row r="4073">
          <cell r="Q4073">
            <v>0</v>
          </cell>
          <cell r="R4073">
            <v>0</v>
          </cell>
        </row>
        <row r="4074">
          <cell r="Q4074">
            <v>0</v>
          </cell>
          <cell r="R4074">
            <v>0</v>
          </cell>
        </row>
        <row r="4075">
          <cell r="Q4075">
            <v>0</v>
          </cell>
          <cell r="R4075">
            <v>0</v>
          </cell>
        </row>
        <row r="4076">
          <cell r="Q4076">
            <v>0</v>
          </cell>
          <cell r="R4076">
            <v>0</v>
          </cell>
        </row>
        <row r="4077">
          <cell r="Q4077">
            <v>0</v>
          </cell>
          <cell r="R4077">
            <v>0</v>
          </cell>
        </row>
        <row r="4078">
          <cell r="Q4078">
            <v>0</v>
          </cell>
          <cell r="R4078">
            <v>0</v>
          </cell>
        </row>
        <row r="4079">
          <cell r="Q4079">
            <v>0</v>
          </cell>
          <cell r="R4079">
            <v>0</v>
          </cell>
        </row>
        <row r="4080">
          <cell r="Q4080">
            <v>0</v>
          </cell>
          <cell r="R4080">
            <v>0</v>
          </cell>
        </row>
        <row r="4081">
          <cell r="Q4081">
            <v>0</v>
          </cell>
          <cell r="R4081">
            <v>0</v>
          </cell>
        </row>
        <row r="4082">
          <cell r="Q4082">
            <v>0</v>
          </cell>
          <cell r="R4082">
            <v>0</v>
          </cell>
        </row>
        <row r="4083">
          <cell r="Q4083">
            <v>0</v>
          </cell>
          <cell r="R4083">
            <v>0</v>
          </cell>
        </row>
        <row r="4084">
          <cell r="Q4084">
            <v>0</v>
          </cell>
          <cell r="R4084">
            <v>0</v>
          </cell>
        </row>
        <row r="4085">
          <cell r="Q4085">
            <v>0</v>
          </cell>
          <cell r="R4085">
            <v>0</v>
          </cell>
        </row>
        <row r="4086">
          <cell r="Q4086">
            <v>0</v>
          </cell>
          <cell r="R4086">
            <v>0</v>
          </cell>
        </row>
        <row r="4087">
          <cell r="Q4087">
            <v>0</v>
          </cell>
          <cell r="R4087">
            <v>0</v>
          </cell>
        </row>
        <row r="4088">
          <cell r="Q4088">
            <v>0</v>
          </cell>
          <cell r="R4088">
            <v>0</v>
          </cell>
        </row>
        <row r="4089">
          <cell r="Q4089">
            <v>0</v>
          </cell>
          <cell r="R4089">
            <v>0</v>
          </cell>
        </row>
        <row r="4090">
          <cell r="Q4090">
            <v>0</v>
          </cell>
          <cell r="R4090">
            <v>0</v>
          </cell>
        </row>
        <row r="4091">
          <cell r="Q4091">
            <v>0</v>
          </cell>
          <cell r="R4091">
            <v>0</v>
          </cell>
        </row>
        <row r="4092">
          <cell r="Q4092">
            <v>0</v>
          </cell>
          <cell r="R4092">
            <v>0</v>
          </cell>
        </row>
        <row r="4093">
          <cell r="Q4093">
            <v>0</v>
          </cell>
          <cell r="R4093">
            <v>0</v>
          </cell>
        </row>
        <row r="4094">
          <cell r="Q4094">
            <v>0</v>
          </cell>
          <cell r="R4094">
            <v>0</v>
          </cell>
        </row>
        <row r="4095">
          <cell r="Q4095">
            <v>0</v>
          </cell>
          <cell r="R4095">
            <v>0</v>
          </cell>
        </row>
        <row r="4096">
          <cell r="Q4096">
            <v>0</v>
          </cell>
          <cell r="R4096">
            <v>0</v>
          </cell>
        </row>
        <row r="4097">
          <cell r="Q4097">
            <v>0</v>
          </cell>
          <cell r="R4097">
            <v>0</v>
          </cell>
        </row>
        <row r="4098">
          <cell r="Q4098">
            <v>0</v>
          </cell>
          <cell r="R4098">
            <v>0</v>
          </cell>
        </row>
        <row r="4099">
          <cell r="Q4099">
            <v>0</v>
          </cell>
          <cell r="R4099">
            <v>0</v>
          </cell>
        </row>
        <row r="4100">
          <cell r="Q4100">
            <v>0</v>
          </cell>
          <cell r="R4100">
            <v>0</v>
          </cell>
        </row>
        <row r="4101">
          <cell r="Q4101">
            <v>0</v>
          </cell>
          <cell r="R4101">
            <v>0</v>
          </cell>
        </row>
        <row r="4102">
          <cell r="Q4102">
            <v>0</v>
          </cell>
          <cell r="R4102">
            <v>0</v>
          </cell>
        </row>
        <row r="4103">
          <cell r="Q4103">
            <v>0</v>
          </cell>
          <cell r="R4103">
            <v>0</v>
          </cell>
        </row>
        <row r="4104">
          <cell r="Q4104">
            <v>0</v>
          </cell>
          <cell r="R4104">
            <v>0</v>
          </cell>
        </row>
        <row r="4105">
          <cell r="Q4105">
            <v>0</v>
          </cell>
          <cell r="R4105">
            <v>0</v>
          </cell>
        </row>
        <row r="4106">
          <cell r="Q4106">
            <v>0</v>
          </cell>
          <cell r="R4106">
            <v>0</v>
          </cell>
        </row>
        <row r="4107">
          <cell r="Q4107">
            <v>0</v>
          </cell>
          <cell r="R4107">
            <v>0</v>
          </cell>
        </row>
        <row r="4108">
          <cell r="Q4108">
            <v>0</v>
          </cell>
          <cell r="R4108">
            <v>0</v>
          </cell>
        </row>
        <row r="4109">
          <cell r="Q4109">
            <v>0</v>
          </cell>
          <cell r="R4109">
            <v>0</v>
          </cell>
        </row>
        <row r="4110">
          <cell r="Q4110">
            <v>0</v>
          </cell>
          <cell r="R4110">
            <v>0</v>
          </cell>
        </row>
        <row r="4111">
          <cell r="Q4111">
            <v>0</v>
          </cell>
          <cell r="R4111">
            <v>0</v>
          </cell>
        </row>
        <row r="4112">
          <cell r="Q4112">
            <v>0</v>
          </cell>
          <cell r="R4112">
            <v>0</v>
          </cell>
        </row>
        <row r="4113">
          <cell r="Q4113">
            <v>0</v>
          </cell>
          <cell r="R4113">
            <v>0</v>
          </cell>
        </row>
        <row r="4114">
          <cell r="Q4114">
            <v>0</v>
          </cell>
          <cell r="R4114">
            <v>0</v>
          </cell>
        </row>
        <row r="4115">
          <cell r="Q4115">
            <v>0</v>
          </cell>
          <cell r="R4115">
            <v>0</v>
          </cell>
        </row>
        <row r="4116">
          <cell r="Q4116">
            <v>0</v>
          </cell>
          <cell r="R4116">
            <v>0</v>
          </cell>
        </row>
        <row r="4117">
          <cell r="Q4117">
            <v>0</v>
          </cell>
          <cell r="R4117">
            <v>0</v>
          </cell>
        </row>
        <row r="4118">
          <cell r="Q4118">
            <v>0</v>
          </cell>
          <cell r="R4118">
            <v>0</v>
          </cell>
        </row>
        <row r="4119">
          <cell r="Q4119">
            <v>0</v>
          </cell>
          <cell r="R4119">
            <v>0</v>
          </cell>
        </row>
        <row r="4120">
          <cell r="Q4120">
            <v>0</v>
          </cell>
          <cell r="R4120">
            <v>0</v>
          </cell>
        </row>
        <row r="4121">
          <cell r="Q4121">
            <v>0</v>
          </cell>
          <cell r="R4121">
            <v>0</v>
          </cell>
        </row>
        <row r="4122">
          <cell r="Q4122">
            <v>0</v>
          </cell>
          <cell r="R4122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totaal"/>
      <sheetName val="2-Prijzen per locatie"/>
      <sheetName val="3-Kengetal"/>
      <sheetName val="4-Basis ruimtestaat"/>
      <sheetName val="5-Uurtarieven"/>
      <sheetName val="6-Afroepprijs"/>
      <sheetName val="7-Sanitaire voorzieningen"/>
    </sheetNames>
    <sheetDataSet>
      <sheetData sheetId="0"/>
      <sheetData sheetId="1"/>
      <sheetData sheetId="2"/>
      <sheetData sheetId="3"/>
      <sheetData sheetId="4">
        <row r="9">
          <cell r="O9" t="str">
            <v>Uren per jaar za, zo- en feestdag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5.3261320597205692</v>
          </cell>
        </row>
        <row r="43">
          <cell r="O43">
            <v>18.708825414871256</v>
          </cell>
        </row>
        <row r="44">
          <cell r="O44">
            <v>2.3674748210176588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5.3261320597205692</v>
          </cell>
        </row>
        <row r="48">
          <cell r="O48">
            <v>18.70882541487126</v>
          </cell>
        </row>
        <row r="49">
          <cell r="O49">
            <v>2.3674748210176588</v>
          </cell>
        </row>
        <row r="50">
          <cell r="O50">
            <v>1.2932076097556757</v>
          </cell>
        </row>
        <row r="51">
          <cell r="O51">
            <v>8.4305200943555665</v>
          </cell>
        </row>
        <row r="52">
          <cell r="O52">
            <v>8.4305200943555665</v>
          </cell>
        </row>
        <row r="53">
          <cell r="O53">
            <v>0</v>
          </cell>
        </row>
        <row r="54">
          <cell r="O54">
            <v>183.230208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1.1517630274386488</v>
          </cell>
        </row>
        <row r="60">
          <cell r="O60">
            <v>7.646441796868567</v>
          </cell>
        </row>
        <row r="61">
          <cell r="O61">
            <v>1.1878767466443609</v>
          </cell>
        </row>
        <row r="62">
          <cell r="O62">
            <v>7.1890393955292335</v>
          </cell>
        </row>
        <row r="63">
          <cell r="O63">
            <v>12.874824718999868</v>
          </cell>
        </row>
        <row r="64">
          <cell r="O64">
            <v>11.303248688151385</v>
          </cell>
        </row>
        <row r="65">
          <cell r="O65">
            <v>11.60640095181828</v>
          </cell>
        </row>
        <row r="66">
          <cell r="O66">
            <v>0</v>
          </cell>
        </row>
        <row r="67">
          <cell r="O67">
            <v>3.4911987309913535</v>
          </cell>
        </row>
        <row r="68">
          <cell r="O68">
            <v>3.04681853480625</v>
          </cell>
        </row>
        <row r="69">
          <cell r="O69">
            <v>9.16674702040374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3.04681853480625</v>
          </cell>
        </row>
        <row r="76">
          <cell r="O76">
            <v>19.364436864831085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9.8307948360550359</v>
          </cell>
        </row>
        <row r="106">
          <cell r="O106">
            <v>5.2357199999999997</v>
          </cell>
        </row>
        <row r="107">
          <cell r="O107">
            <v>2.9770716849583785</v>
          </cell>
        </row>
        <row r="108">
          <cell r="O108">
            <v>2.6941825203243246</v>
          </cell>
        </row>
        <row r="109">
          <cell r="O109">
            <v>3.5647402472041221</v>
          </cell>
        </row>
        <row r="110">
          <cell r="O110">
            <v>13.120471659311647</v>
          </cell>
        </row>
        <row r="111">
          <cell r="O111">
            <v>17.308550673171791</v>
          </cell>
        </row>
        <row r="112">
          <cell r="O112">
            <v>16.139249084742335</v>
          </cell>
        </row>
        <row r="113">
          <cell r="O113">
            <v>9.7039528014908907</v>
          </cell>
        </row>
        <row r="114">
          <cell r="O114">
            <v>1.8316698059039034</v>
          </cell>
        </row>
        <row r="115">
          <cell r="O115">
            <v>2.843856949637066</v>
          </cell>
        </row>
        <row r="116">
          <cell r="O116">
            <v>1.8316698059039034</v>
          </cell>
        </row>
        <row r="117">
          <cell r="O117">
            <v>2.843856949637066</v>
          </cell>
        </row>
        <row r="118">
          <cell r="O118">
            <v>0</v>
          </cell>
        </row>
        <row r="119">
          <cell r="O119">
            <v>9.7039528014908907</v>
          </cell>
        </row>
        <row r="120">
          <cell r="O120">
            <v>16.139249084742335</v>
          </cell>
        </row>
        <row r="121">
          <cell r="O121">
            <v>16.139249084742335</v>
          </cell>
        </row>
        <row r="122">
          <cell r="O122">
            <v>9.7039528014908907</v>
          </cell>
        </row>
        <row r="123">
          <cell r="O123">
            <v>276.59519999999998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111.55865061348051</v>
          </cell>
        </row>
        <row r="131">
          <cell r="O131">
            <v>4.5112199999999998</v>
          </cell>
        </row>
        <row r="132">
          <cell r="O132">
            <v>24.938026953752029</v>
          </cell>
        </row>
        <row r="133">
          <cell r="O133">
            <v>15.561816201567295</v>
          </cell>
        </row>
        <row r="134">
          <cell r="O134">
            <v>13.194341380549638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21.899142094413346</v>
          </cell>
        </row>
        <row r="142">
          <cell r="O142">
            <v>1.6346462215809063</v>
          </cell>
        </row>
        <row r="143">
          <cell r="O143">
            <v>1.6368113159141262</v>
          </cell>
        </row>
        <row r="144">
          <cell r="O144">
            <v>8.372776806038063</v>
          </cell>
        </row>
        <row r="145">
          <cell r="O145">
            <v>0</v>
          </cell>
        </row>
        <row r="146">
          <cell r="O146">
            <v>16.067069974345458</v>
          </cell>
        </row>
        <row r="147">
          <cell r="O147">
            <v>9.5998216827850218</v>
          </cell>
        </row>
        <row r="148">
          <cell r="O148">
            <v>27.096038042988695</v>
          </cell>
        </row>
        <row r="149">
          <cell r="O149">
            <v>252.69061172024684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10.473893345183876</v>
          </cell>
        </row>
        <row r="153">
          <cell r="O153">
            <v>19.376702688590175</v>
          </cell>
        </row>
        <row r="154">
          <cell r="O154">
            <v>0.63795532193392712</v>
          </cell>
        </row>
        <row r="155">
          <cell r="O155">
            <v>4.1816225703878054</v>
          </cell>
        </row>
        <row r="156">
          <cell r="O156">
            <v>2.9088858335942498</v>
          </cell>
        </row>
        <row r="157">
          <cell r="O157">
            <v>4.2351822522665872</v>
          </cell>
        </row>
        <row r="158">
          <cell r="O158">
            <v>1.0225624791773553</v>
          </cell>
        </row>
        <row r="159">
          <cell r="O159">
            <v>0.49950000000000006</v>
          </cell>
        </row>
        <row r="160">
          <cell r="O160">
            <v>0.49950000000000006</v>
          </cell>
        </row>
        <row r="161">
          <cell r="O161">
            <v>0.90862626175643879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4.7102264011646469</v>
          </cell>
        </row>
        <row r="165">
          <cell r="O165">
            <v>5.2147800000000002</v>
          </cell>
        </row>
        <row r="166">
          <cell r="O166">
            <v>5.2147800000000002</v>
          </cell>
        </row>
        <row r="167">
          <cell r="O167">
            <v>4.7102264011646469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2.0860274575218045</v>
          </cell>
        </row>
        <row r="208">
          <cell r="O208">
            <v>3.8173198584845278</v>
          </cell>
        </row>
        <row r="209">
          <cell r="O209">
            <v>4.8648720407497024</v>
          </cell>
        </row>
        <row r="210">
          <cell r="O210">
            <v>1.974566031896406</v>
          </cell>
        </row>
        <row r="211">
          <cell r="O211">
            <v>2.1910754652183804</v>
          </cell>
        </row>
        <row r="212">
          <cell r="O212">
            <v>326.33999999999997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1.0862876718315</v>
          </cell>
        </row>
        <row r="216">
          <cell r="O216">
            <v>13.914543430874527</v>
          </cell>
        </row>
        <row r="217">
          <cell r="O217">
            <v>3.0644302026375003</v>
          </cell>
        </row>
        <row r="218">
          <cell r="O218">
            <v>2.6874470640235137</v>
          </cell>
        </row>
        <row r="219">
          <cell r="O219">
            <v>7.6384528075992559</v>
          </cell>
        </row>
        <row r="220">
          <cell r="O220">
            <v>1.4868896741757249</v>
          </cell>
        </row>
        <row r="221">
          <cell r="O221">
            <v>7.3622692604817441</v>
          </cell>
        </row>
        <row r="222">
          <cell r="O222">
            <v>7.6384528075992559</v>
          </cell>
        </row>
        <row r="223">
          <cell r="O223">
            <v>1.4868896741757249</v>
          </cell>
        </row>
        <row r="224">
          <cell r="O224">
            <v>7.3622692604817441</v>
          </cell>
        </row>
        <row r="225">
          <cell r="O225">
            <v>7.6384528075992559</v>
          </cell>
        </row>
        <row r="226">
          <cell r="O226">
            <v>1.4868896741757249</v>
          </cell>
        </row>
        <row r="227">
          <cell r="O227">
            <v>7.3622692604817441</v>
          </cell>
        </row>
        <row r="228">
          <cell r="O228">
            <v>7.6384528075992559</v>
          </cell>
        </row>
        <row r="229">
          <cell r="O229">
            <v>1.4868896741757249</v>
          </cell>
        </row>
        <row r="230">
          <cell r="O230">
            <v>7.3622692604817441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1.1677387437480435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2.7687456324978408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3">
          <cell r="O253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40.208399999999997</v>
          </cell>
        </row>
        <row r="262">
          <cell r="O262">
            <v>15.862500000000001</v>
          </cell>
        </row>
        <row r="263">
          <cell r="O263">
            <v>1.168561677593233</v>
          </cell>
        </row>
        <row r="264">
          <cell r="O264">
            <v>2.2479585403956084</v>
          </cell>
        </row>
        <row r="265">
          <cell r="O265">
            <v>0.46979807698155412</v>
          </cell>
        </row>
        <row r="266">
          <cell r="O266">
            <v>3.9048898724712</v>
          </cell>
        </row>
        <row r="267">
          <cell r="O267">
            <v>3.4718152100899204</v>
          </cell>
        </row>
        <row r="268">
          <cell r="O268">
            <v>2.8871644158751941</v>
          </cell>
        </row>
        <row r="269">
          <cell r="O269">
            <v>2.8984932114480002</v>
          </cell>
        </row>
        <row r="270">
          <cell r="O270">
            <v>0.65586505729145272</v>
          </cell>
        </row>
        <row r="271">
          <cell r="O271">
            <v>22.105566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6.50394337699211</v>
          </cell>
        </row>
        <row r="276">
          <cell r="O276">
            <v>1.1259941221913257</v>
          </cell>
        </row>
        <row r="277">
          <cell r="O277">
            <v>10.617547139381028</v>
          </cell>
        </row>
        <row r="278">
          <cell r="O278">
            <v>6.50394337699211</v>
          </cell>
        </row>
        <row r="279">
          <cell r="O279">
            <v>0</v>
          </cell>
        </row>
        <row r="280">
          <cell r="O280">
            <v>4.5052398561755638</v>
          </cell>
        </row>
        <row r="281">
          <cell r="O281">
            <v>0</v>
          </cell>
        </row>
        <row r="282">
          <cell r="O282">
            <v>10.617547139381028</v>
          </cell>
        </row>
        <row r="283">
          <cell r="O283">
            <v>1.1259941221913257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39.552408</v>
          </cell>
        </row>
        <row r="288">
          <cell r="O288">
            <v>0</v>
          </cell>
        </row>
        <row r="289">
          <cell r="O289">
            <v>5.4322216820483371</v>
          </cell>
        </row>
        <row r="290">
          <cell r="O290">
            <v>4.6699884426781262</v>
          </cell>
        </row>
        <row r="291">
          <cell r="O291">
            <v>0.65682990461160673</v>
          </cell>
        </row>
        <row r="292">
          <cell r="O292">
            <v>4.4967585777256147</v>
          </cell>
        </row>
        <row r="293">
          <cell r="O293">
            <v>4.4967585777256147</v>
          </cell>
        </row>
        <row r="294">
          <cell r="O294">
            <v>5.4278914933818978</v>
          </cell>
        </row>
        <row r="295">
          <cell r="O295">
            <v>0.17259606770827704</v>
          </cell>
        </row>
        <row r="296">
          <cell r="O296">
            <v>0</v>
          </cell>
        </row>
        <row r="297">
          <cell r="O297">
            <v>1.6168120728901088</v>
          </cell>
        </row>
        <row r="298">
          <cell r="O298">
            <v>4.69164217579719</v>
          </cell>
        </row>
        <row r="299">
          <cell r="O299">
            <v>0.65682990461160673</v>
          </cell>
        </row>
        <row r="300">
          <cell r="O300">
            <v>1.2991011340188852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0</v>
          </cell>
        </row>
        <row r="306">
          <cell r="O306">
            <v>0</v>
          </cell>
        </row>
        <row r="307">
          <cell r="O307">
            <v>0</v>
          </cell>
        </row>
        <row r="308">
          <cell r="O308">
            <v>0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0</v>
          </cell>
        </row>
        <row r="329">
          <cell r="O329">
            <v>0</v>
          </cell>
        </row>
        <row r="330">
          <cell r="O330">
            <v>0</v>
          </cell>
        </row>
        <row r="331">
          <cell r="O331">
            <v>0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0.31461844652169713</v>
          </cell>
        </row>
        <row r="343">
          <cell r="O343">
            <v>1.6126132027781408</v>
          </cell>
        </row>
        <row r="344">
          <cell r="O344">
            <v>0.33117474182097817</v>
          </cell>
        </row>
        <row r="345">
          <cell r="O345">
            <v>2.3660595443432104</v>
          </cell>
        </row>
        <row r="346">
          <cell r="O346">
            <v>1.6126132027781408</v>
          </cell>
        </row>
        <row r="347">
          <cell r="O347">
            <v>0.33117474182097817</v>
          </cell>
        </row>
        <row r="348">
          <cell r="O348">
            <v>2.3660595443432104</v>
          </cell>
        </row>
        <row r="349">
          <cell r="O349">
            <v>1.6126132027781408</v>
          </cell>
        </row>
        <row r="350">
          <cell r="O350">
            <v>0.33117474182097817</v>
          </cell>
        </row>
        <row r="351">
          <cell r="O351">
            <v>2.3660595443432104</v>
          </cell>
        </row>
        <row r="352">
          <cell r="O352">
            <v>1.6126132027781408</v>
          </cell>
        </row>
        <row r="353">
          <cell r="O353">
            <v>0.33117474182097817</v>
          </cell>
        </row>
        <row r="354">
          <cell r="O354">
            <v>2.3660595443432104</v>
          </cell>
        </row>
        <row r="355">
          <cell r="O355">
            <v>0.43608777853484898</v>
          </cell>
        </row>
        <row r="356">
          <cell r="O356">
            <v>0.43608777853484898</v>
          </cell>
        </row>
        <row r="357">
          <cell r="O357">
            <v>1.7894192408580563</v>
          </cell>
        </row>
        <row r="358">
          <cell r="O358">
            <v>1.6126132027781408</v>
          </cell>
        </row>
        <row r="359">
          <cell r="O359">
            <v>0.33117474182097817</v>
          </cell>
        </row>
        <row r="360">
          <cell r="O360">
            <v>2.3660595443432104</v>
          </cell>
        </row>
        <row r="361">
          <cell r="O361">
            <v>1.6126132027781408</v>
          </cell>
        </row>
        <row r="362">
          <cell r="O362">
            <v>0.33117474182097817</v>
          </cell>
        </row>
        <row r="363">
          <cell r="O363">
            <v>2.3660595443432104</v>
          </cell>
        </row>
        <row r="364">
          <cell r="O364">
            <v>1.6126132027781408</v>
          </cell>
        </row>
        <row r="365">
          <cell r="O365">
            <v>0.33117474182097817</v>
          </cell>
        </row>
        <row r="366">
          <cell r="O366">
            <v>2.3660595443432104</v>
          </cell>
        </row>
        <row r="367">
          <cell r="O367">
            <v>1.6126132027781408</v>
          </cell>
        </row>
        <row r="368">
          <cell r="O368">
            <v>0.33117474182097817</v>
          </cell>
        </row>
        <row r="369">
          <cell r="O369">
            <v>2.3660595443432104</v>
          </cell>
        </row>
        <row r="370">
          <cell r="O370">
            <v>1.6126132027781408</v>
          </cell>
        </row>
        <row r="371">
          <cell r="O371">
            <v>0.33117474182097817</v>
          </cell>
        </row>
        <row r="372">
          <cell r="O372">
            <v>2.3660595443432104</v>
          </cell>
        </row>
        <row r="373">
          <cell r="O373">
            <v>1.6126132027781408</v>
          </cell>
        </row>
        <row r="374">
          <cell r="O374">
            <v>0.33117474182097817</v>
          </cell>
        </row>
        <row r="375">
          <cell r="O375">
            <v>2.3660595443432104</v>
          </cell>
        </row>
        <row r="376">
          <cell r="O376">
            <v>0.5276037720246074</v>
          </cell>
        </row>
        <row r="377">
          <cell r="O377">
            <v>0.29437754828531393</v>
          </cell>
        </row>
        <row r="378">
          <cell r="O378">
            <v>0</v>
          </cell>
        </row>
        <row r="379">
          <cell r="O379">
            <v>0</v>
          </cell>
        </row>
        <row r="380">
          <cell r="O380">
            <v>0</v>
          </cell>
        </row>
        <row r="381">
          <cell r="O381">
            <v>0</v>
          </cell>
        </row>
        <row r="382">
          <cell r="O382">
            <v>0</v>
          </cell>
        </row>
        <row r="383">
          <cell r="O383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2.4271981060295218</v>
          </cell>
        </row>
        <row r="406">
          <cell r="O406">
            <v>0</v>
          </cell>
        </row>
        <row r="407">
          <cell r="O407">
            <v>2.9400957634995728</v>
          </cell>
        </row>
        <row r="408">
          <cell r="O408">
            <v>0.44524604178153732</v>
          </cell>
        </row>
        <row r="409">
          <cell r="O409">
            <v>2.4271981060295218</v>
          </cell>
        </row>
        <row r="410">
          <cell r="O410">
            <v>0</v>
          </cell>
        </row>
        <row r="411">
          <cell r="O411">
            <v>2.9400957634995728</v>
          </cell>
        </row>
        <row r="412">
          <cell r="O412">
            <v>0.44524604178153732</v>
          </cell>
        </row>
        <row r="413">
          <cell r="O413">
            <v>1.6435188630641011</v>
          </cell>
        </row>
        <row r="414">
          <cell r="O414">
            <v>2.0385645218757991</v>
          </cell>
        </row>
        <row r="415">
          <cell r="O415">
            <v>0</v>
          </cell>
        </row>
        <row r="416">
          <cell r="O416">
            <v>0.41948800630657229</v>
          </cell>
        </row>
        <row r="417">
          <cell r="O417">
            <v>1.6435188630641011</v>
          </cell>
        </row>
        <row r="418">
          <cell r="O418">
            <v>2.0385645218757991</v>
          </cell>
        </row>
        <row r="419">
          <cell r="O419">
            <v>0</v>
          </cell>
        </row>
        <row r="420">
          <cell r="O420">
            <v>0.41948800630657229</v>
          </cell>
        </row>
        <row r="421">
          <cell r="O421">
            <v>1.6435188630641011</v>
          </cell>
        </row>
        <row r="422">
          <cell r="O422">
            <v>2.0385645218757991</v>
          </cell>
        </row>
        <row r="423">
          <cell r="O423">
            <v>0</v>
          </cell>
        </row>
        <row r="424">
          <cell r="O424">
            <v>0.41948800630657229</v>
          </cell>
        </row>
        <row r="425">
          <cell r="O425">
            <v>1.6435188630641011</v>
          </cell>
        </row>
        <row r="426">
          <cell r="O426">
            <v>2.0385645218757991</v>
          </cell>
        </row>
        <row r="427">
          <cell r="O427">
            <v>0</v>
          </cell>
        </row>
        <row r="428">
          <cell r="O428">
            <v>0.41948800630657229</v>
          </cell>
        </row>
        <row r="429">
          <cell r="O429">
            <v>0.12576153455778619</v>
          </cell>
        </row>
        <row r="430">
          <cell r="O430">
            <v>0.36061249664950956</v>
          </cell>
        </row>
        <row r="431">
          <cell r="O431">
            <v>0.36061249664950956</v>
          </cell>
        </row>
        <row r="432">
          <cell r="O432">
            <v>0.80993862017250007</v>
          </cell>
        </row>
        <row r="433">
          <cell r="O433">
            <v>2.4536886719889166</v>
          </cell>
        </row>
        <row r="434">
          <cell r="O434">
            <v>0.37901109341734168</v>
          </cell>
        </row>
        <row r="435">
          <cell r="O435">
            <v>5.3024755884892167</v>
          </cell>
        </row>
        <row r="436">
          <cell r="O436">
            <v>2.4536886719889166</v>
          </cell>
        </row>
        <row r="437">
          <cell r="O437">
            <v>0.37901109341734168</v>
          </cell>
        </row>
        <row r="438">
          <cell r="O438">
            <v>5.3024755884892167</v>
          </cell>
        </row>
        <row r="439">
          <cell r="O439">
            <v>2.054122635434716</v>
          </cell>
        </row>
        <row r="440">
          <cell r="O440">
            <v>4.2316772566013876</v>
          </cell>
        </row>
        <row r="441">
          <cell r="O441">
            <v>0.36797193535664241</v>
          </cell>
        </row>
        <row r="442">
          <cell r="O442">
            <v>2.054122635434716</v>
          </cell>
        </row>
        <row r="443">
          <cell r="O443">
            <v>4.2316772566013876</v>
          </cell>
        </row>
        <row r="444">
          <cell r="O444">
            <v>0.36797193535664241</v>
          </cell>
        </row>
        <row r="445">
          <cell r="O445">
            <v>2.054122635434716</v>
          </cell>
        </row>
        <row r="446">
          <cell r="O446">
            <v>4.2316772566013876</v>
          </cell>
        </row>
        <row r="447">
          <cell r="O447">
            <v>0.36797193535664241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0">
          <cell r="O470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0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0</v>
          </cell>
        </row>
        <row r="592">
          <cell r="O592">
            <v>0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0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0</v>
          </cell>
        </row>
        <row r="631">
          <cell r="O631">
            <v>0</v>
          </cell>
        </row>
        <row r="632">
          <cell r="O632">
            <v>0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0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0</v>
          </cell>
        </row>
        <row r="675">
          <cell r="O675">
            <v>0</v>
          </cell>
        </row>
        <row r="676">
          <cell r="O676">
            <v>0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0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0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15.403530863996849</v>
          </cell>
        </row>
        <row r="710">
          <cell r="O710">
            <v>0</v>
          </cell>
        </row>
        <row r="711">
          <cell r="O711">
            <v>22.695376751458145</v>
          </cell>
        </row>
        <row r="712">
          <cell r="O712">
            <v>33.61282101815484</v>
          </cell>
        </row>
        <row r="713">
          <cell r="O713">
            <v>22.695376751458145</v>
          </cell>
        </row>
        <row r="714">
          <cell r="O714">
            <v>33.61282101815484</v>
          </cell>
        </row>
        <row r="715">
          <cell r="O715">
            <v>0</v>
          </cell>
        </row>
        <row r="716">
          <cell r="O716">
            <v>6.7225642036309674</v>
          </cell>
        </row>
        <row r="717">
          <cell r="O717">
            <v>11.764487356354193</v>
          </cell>
        </row>
        <row r="718">
          <cell r="O718">
            <v>16.134154088714322</v>
          </cell>
        </row>
        <row r="719">
          <cell r="O719">
            <v>11.764487356354193</v>
          </cell>
        </row>
        <row r="720">
          <cell r="O720">
            <v>0</v>
          </cell>
        </row>
        <row r="721">
          <cell r="O721">
            <v>2.4201231133071484</v>
          </cell>
        </row>
        <row r="722">
          <cell r="O722">
            <v>2.4201231133071484</v>
          </cell>
        </row>
        <row r="723">
          <cell r="O723">
            <v>2.4201231133071484</v>
          </cell>
        </row>
        <row r="724">
          <cell r="O724">
            <v>2.4201231133071484</v>
          </cell>
        </row>
        <row r="725">
          <cell r="O725">
            <v>1.6940861793150037</v>
          </cell>
        </row>
        <row r="726">
          <cell r="O726">
            <v>1.6940861793150037</v>
          </cell>
        </row>
        <row r="727">
          <cell r="O727">
            <v>1.6940861793150037</v>
          </cell>
        </row>
        <row r="728">
          <cell r="O728">
            <v>1.6940861793150037</v>
          </cell>
        </row>
        <row r="729">
          <cell r="O729">
            <v>1.6940861793150037</v>
          </cell>
        </row>
        <row r="730">
          <cell r="O730">
            <v>1.6940861793150037</v>
          </cell>
        </row>
        <row r="731">
          <cell r="O731">
            <v>2.4201231133071484</v>
          </cell>
        </row>
        <row r="732">
          <cell r="O732">
            <v>2.4201231133071484</v>
          </cell>
        </row>
        <row r="733">
          <cell r="O733">
            <v>2.4201231133071484</v>
          </cell>
        </row>
        <row r="734">
          <cell r="O734">
            <v>2.4201231133071484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0</v>
          </cell>
        </row>
        <row r="746">
          <cell r="O746">
            <v>0</v>
          </cell>
        </row>
        <row r="747">
          <cell r="O747">
            <v>0</v>
          </cell>
        </row>
        <row r="748">
          <cell r="O748">
            <v>0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0</v>
          </cell>
        </row>
        <row r="756">
          <cell r="O756">
            <v>0</v>
          </cell>
        </row>
        <row r="757">
          <cell r="O757">
            <v>0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0</v>
          </cell>
        </row>
        <row r="765">
          <cell r="O765">
            <v>0</v>
          </cell>
        </row>
        <row r="766">
          <cell r="O766">
            <v>0</v>
          </cell>
        </row>
        <row r="767">
          <cell r="O767">
            <v>0</v>
          </cell>
        </row>
        <row r="768">
          <cell r="O768">
            <v>0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0</v>
          </cell>
        </row>
        <row r="781">
          <cell r="O781">
            <v>0</v>
          </cell>
        </row>
        <row r="782">
          <cell r="O782">
            <v>0</v>
          </cell>
        </row>
        <row r="783">
          <cell r="O783">
            <v>0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0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0</v>
          </cell>
        </row>
        <row r="822">
          <cell r="O822">
            <v>0</v>
          </cell>
        </row>
        <row r="823">
          <cell r="O823">
            <v>0</v>
          </cell>
        </row>
        <row r="824">
          <cell r="O824">
            <v>0</v>
          </cell>
        </row>
        <row r="825">
          <cell r="O825">
            <v>0</v>
          </cell>
        </row>
        <row r="826">
          <cell r="O826">
            <v>0</v>
          </cell>
        </row>
        <row r="827">
          <cell r="O827">
            <v>0</v>
          </cell>
        </row>
        <row r="828">
          <cell r="O828">
            <v>0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0</v>
          </cell>
        </row>
        <row r="849">
          <cell r="O849">
            <v>0</v>
          </cell>
        </row>
        <row r="850">
          <cell r="O850">
            <v>0</v>
          </cell>
        </row>
        <row r="851">
          <cell r="O851">
            <v>0</v>
          </cell>
        </row>
        <row r="852">
          <cell r="O852">
            <v>0</v>
          </cell>
        </row>
        <row r="853">
          <cell r="O853">
            <v>0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0.51799023033088232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1.3492143822478992</v>
          </cell>
        </row>
        <row r="913">
          <cell r="O913">
            <v>13.445128407261935</v>
          </cell>
        </row>
        <row r="914">
          <cell r="O914">
            <v>4.0335385221785804</v>
          </cell>
        </row>
        <row r="915">
          <cell r="O915">
            <v>4.0335385221785804</v>
          </cell>
        </row>
        <row r="916">
          <cell r="O916">
            <v>4.0335385221785804</v>
          </cell>
        </row>
        <row r="917">
          <cell r="O917">
            <v>4.0335385221785804</v>
          </cell>
        </row>
        <row r="918">
          <cell r="O918">
            <v>4.0335385221785804</v>
          </cell>
        </row>
        <row r="919">
          <cell r="O919">
            <v>4.0335385221785804</v>
          </cell>
        </row>
        <row r="920">
          <cell r="O920">
            <v>0</v>
          </cell>
        </row>
        <row r="921">
          <cell r="O921">
            <v>10.083846305446452</v>
          </cell>
        </row>
        <row r="922">
          <cell r="O922">
            <v>2.4201231133071484</v>
          </cell>
        </row>
        <row r="923">
          <cell r="O923">
            <v>2.4201231133071484</v>
          </cell>
        </row>
        <row r="924">
          <cell r="O924">
            <v>2.4201231133071484</v>
          </cell>
        </row>
        <row r="925">
          <cell r="O925">
            <v>2.4201231133071484</v>
          </cell>
        </row>
        <row r="926">
          <cell r="O926">
            <v>16.134154088714322</v>
          </cell>
        </row>
        <row r="927">
          <cell r="O927">
            <v>4.0335385221785804</v>
          </cell>
        </row>
        <row r="928">
          <cell r="O928">
            <v>4.0335385221785804</v>
          </cell>
        </row>
        <row r="929">
          <cell r="O929">
            <v>4.0335385221785804</v>
          </cell>
        </row>
        <row r="930">
          <cell r="O930">
            <v>4.0335385221785804</v>
          </cell>
        </row>
        <row r="931">
          <cell r="O931">
            <v>4.0335385221785804</v>
          </cell>
        </row>
        <row r="932">
          <cell r="O932">
            <v>4.0335385221785804</v>
          </cell>
        </row>
        <row r="933">
          <cell r="O933">
            <v>13.445128407261935</v>
          </cell>
        </row>
        <row r="934">
          <cell r="O934">
            <v>2.4201231133071484</v>
          </cell>
        </row>
        <row r="935">
          <cell r="O935">
            <v>2.4201231133071484</v>
          </cell>
        </row>
        <row r="936">
          <cell r="O936">
            <v>2.4201231133071484</v>
          </cell>
        </row>
        <row r="937">
          <cell r="O937">
            <v>2.4201231133071484</v>
          </cell>
        </row>
        <row r="938">
          <cell r="O938">
            <v>5.8836191804141498</v>
          </cell>
        </row>
        <row r="939">
          <cell r="O939">
            <v>2.853197775688427</v>
          </cell>
        </row>
        <row r="940">
          <cell r="O940">
            <v>0.64196949952989613</v>
          </cell>
        </row>
        <row r="941">
          <cell r="O941">
            <v>0.41439218426470587</v>
          </cell>
        </row>
        <row r="942">
          <cell r="O942">
            <v>1.9612063934713833</v>
          </cell>
        </row>
        <row r="943">
          <cell r="O943">
            <v>0</v>
          </cell>
        </row>
        <row r="944">
          <cell r="O944">
            <v>0.80283007155168695</v>
          </cell>
        </row>
        <row r="945">
          <cell r="O945">
            <v>0</v>
          </cell>
        </row>
        <row r="946">
          <cell r="O946">
            <v>0.79911209530601846</v>
          </cell>
        </row>
        <row r="947">
          <cell r="O947">
            <v>0</v>
          </cell>
        </row>
        <row r="948">
          <cell r="O948">
            <v>0.89266806635294116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24.806249999999999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6.8570154877035865</v>
          </cell>
        </row>
        <row r="1033">
          <cell r="O1033">
            <v>3.0581957456728879</v>
          </cell>
        </row>
        <row r="1034">
          <cell r="O1034">
            <v>6.6693498006716982</v>
          </cell>
        </row>
        <row r="1035">
          <cell r="O1035">
            <v>3.2119174433314899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0.8080647593161765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1.0826866559531978</v>
          </cell>
        </row>
        <row r="1044">
          <cell r="O1044">
            <v>1.0826866559531978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</sheetData>
      <sheetData sheetId="5"/>
      <sheetData sheetId="6"/>
      <sheetData sheetId="7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totaal"/>
      <sheetName val="2-Prijzen per locatie"/>
      <sheetName val="3-Kengetal"/>
      <sheetName val="4-Basis ruimtestaat"/>
      <sheetName val="5-Uurtarieven"/>
      <sheetName val="6-Afroepprijs"/>
      <sheetName val="7-Sanitaire voorzieningen"/>
      <sheetName val="Info_blad"/>
      <sheetName val="1-Contractblad_totaal"/>
      <sheetName val="2-Prijzen_per_locatie"/>
      <sheetName val="4-Basis_ruimtestaat"/>
      <sheetName val="7-Sanitaire_voorzieningen"/>
    </sheetNames>
    <sheetDataSet>
      <sheetData sheetId="0"/>
      <sheetData sheetId="1"/>
      <sheetData sheetId="2"/>
      <sheetData sheetId="3"/>
      <sheetData sheetId="4">
        <row r="9">
          <cell r="O9" t="str">
            <v>Uren per jaar za, zo- en feestdag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5.3261320597205692</v>
          </cell>
        </row>
        <row r="43">
          <cell r="O43">
            <v>18.708825414871256</v>
          </cell>
        </row>
        <row r="44">
          <cell r="O44">
            <v>2.3674748210176588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5.3261320597205692</v>
          </cell>
        </row>
        <row r="48">
          <cell r="O48">
            <v>18.70882541487126</v>
          </cell>
        </row>
        <row r="49">
          <cell r="O49">
            <v>2.3674748210176588</v>
          </cell>
        </row>
        <row r="50">
          <cell r="O50">
            <v>1.2932076097556757</v>
          </cell>
        </row>
        <row r="51">
          <cell r="O51">
            <v>8.4305200943555665</v>
          </cell>
        </row>
        <row r="52">
          <cell r="O52">
            <v>8.4305200943555665</v>
          </cell>
        </row>
        <row r="53">
          <cell r="O53">
            <v>0</v>
          </cell>
        </row>
        <row r="54">
          <cell r="O54">
            <v>183.230208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1.1517630274386488</v>
          </cell>
        </row>
        <row r="60">
          <cell r="O60">
            <v>7.646441796868567</v>
          </cell>
        </row>
        <row r="61">
          <cell r="O61">
            <v>1.1878767466443609</v>
          </cell>
        </row>
        <row r="62">
          <cell r="O62">
            <v>7.1890393955292335</v>
          </cell>
        </row>
        <row r="63">
          <cell r="O63">
            <v>12.874824718999868</v>
          </cell>
        </row>
        <row r="64">
          <cell r="O64">
            <v>11.303248688151385</v>
          </cell>
        </row>
        <row r="65">
          <cell r="O65">
            <v>11.60640095181828</v>
          </cell>
        </row>
        <row r="66">
          <cell r="O66">
            <v>0</v>
          </cell>
        </row>
        <row r="67">
          <cell r="O67">
            <v>3.4911987309913535</v>
          </cell>
        </row>
        <row r="68">
          <cell r="O68">
            <v>3.04681853480625</v>
          </cell>
        </row>
        <row r="69">
          <cell r="O69">
            <v>9.16674702040374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3.04681853480625</v>
          </cell>
        </row>
        <row r="76">
          <cell r="O76">
            <v>19.364436864831085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9.8307948360550359</v>
          </cell>
        </row>
        <row r="106">
          <cell r="O106">
            <v>5.2357199999999997</v>
          </cell>
        </row>
        <row r="107">
          <cell r="O107">
            <v>2.9770716849583785</v>
          </cell>
        </row>
        <row r="108">
          <cell r="O108">
            <v>2.6941825203243246</v>
          </cell>
        </row>
        <row r="109">
          <cell r="O109">
            <v>3.5647402472041221</v>
          </cell>
        </row>
        <row r="110">
          <cell r="O110">
            <v>13.120471659311647</v>
          </cell>
        </row>
        <row r="111">
          <cell r="O111">
            <v>17.308550673171791</v>
          </cell>
        </row>
        <row r="112">
          <cell r="O112">
            <v>16.139249084742335</v>
          </cell>
        </row>
        <row r="113">
          <cell r="O113">
            <v>9.7039528014908907</v>
          </cell>
        </row>
        <row r="114">
          <cell r="O114">
            <v>1.8316698059039034</v>
          </cell>
        </row>
        <row r="115">
          <cell r="O115">
            <v>2.843856949637066</v>
          </cell>
        </row>
        <row r="116">
          <cell r="O116">
            <v>1.8316698059039034</v>
          </cell>
        </row>
        <row r="117">
          <cell r="O117">
            <v>2.843856949637066</v>
          </cell>
        </row>
        <row r="118">
          <cell r="O118">
            <v>0</v>
          </cell>
        </row>
        <row r="119">
          <cell r="O119">
            <v>9.7039528014908907</v>
          </cell>
        </row>
        <row r="120">
          <cell r="O120">
            <v>16.139249084742335</v>
          </cell>
        </row>
        <row r="121">
          <cell r="O121">
            <v>16.139249084742335</v>
          </cell>
        </row>
        <row r="122">
          <cell r="O122">
            <v>9.7039528014908907</v>
          </cell>
        </row>
        <row r="123">
          <cell r="O123">
            <v>276.59519999999998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111.55865061348051</v>
          </cell>
        </row>
        <row r="131">
          <cell r="O131">
            <v>4.5112199999999998</v>
          </cell>
        </row>
        <row r="132">
          <cell r="O132">
            <v>24.938026953752029</v>
          </cell>
        </row>
        <row r="133">
          <cell r="O133">
            <v>15.561816201567295</v>
          </cell>
        </row>
        <row r="134">
          <cell r="O134">
            <v>13.194341380549638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21.899142094413346</v>
          </cell>
        </row>
        <row r="142">
          <cell r="O142">
            <v>1.6346462215809063</v>
          </cell>
        </row>
        <row r="143">
          <cell r="O143">
            <v>1.6368113159141262</v>
          </cell>
        </row>
        <row r="144">
          <cell r="O144">
            <v>8.372776806038063</v>
          </cell>
        </row>
        <row r="145">
          <cell r="O145">
            <v>0</v>
          </cell>
        </row>
        <row r="146">
          <cell r="O146">
            <v>16.067069974345458</v>
          </cell>
        </row>
        <row r="147">
          <cell r="O147">
            <v>9.5998216827850218</v>
          </cell>
        </row>
        <row r="148">
          <cell r="O148">
            <v>27.096038042988695</v>
          </cell>
        </row>
        <row r="149">
          <cell r="O149">
            <v>252.69061172024684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10.473893345183876</v>
          </cell>
        </row>
        <row r="153">
          <cell r="O153">
            <v>19.376702688590175</v>
          </cell>
        </row>
        <row r="154">
          <cell r="O154">
            <v>0.63795532193392712</v>
          </cell>
        </row>
        <row r="155">
          <cell r="O155">
            <v>4.1816225703878054</v>
          </cell>
        </row>
        <row r="156">
          <cell r="O156">
            <v>2.9088858335942498</v>
          </cell>
        </row>
        <row r="157">
          <cell r="O157">
            <v>4.2351822522665872</v>
          </cell>
        </row>
        <row r="158">
          <cell r="O158">
            <v>1.0225624791773553</v>
          </cell>
        </row>
        <row r="159">
          <cell r="O159">
            <v>0.49950000000000006</v>
          </cell>
        </row>
        <row r="160">
          <cell r="O160">
            <v>0.49950000000000006</v>
          </cell>
        </row>
        <row r="161">
          <cell r="O161">
            <v>0.90862626175643879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4.7102264011646469</v>
          </cell>
        </row>
        <row r="165">
          <cell r="O165">
            <v>5.2147800000000002</v>
          </cell>
        </row>
        <row r="166">
          <cell r="O166">
            <v>5.2147800000000002</v>
          </cell>
        </row>
        <row r="167">
          <cell r="O167">
            <v>4.7102264011646469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2.0860274575218045</v>
          </cell>
        </row>
        <row r="208">
          <cell r="O208">
            <v>3.8173198584845278</v>
          </cell>
        </row>
        <row r="209">
          <cell r="O209">
            <v>4.8648720407497024</v>
          </cell>
        </row>
        <row r="210">
          <cell r="O210">
            <v>1.974566031896406</v>
          </cell>
        </row>
        <row r="211">
          <cell r="O211">
            <v>2.1910754652183804</v>
          </cell>
        </row>
        <row r="212">
          <cell r="O212">
            <v>326.33999999999997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1.0862876718315</v>
          </cell>
        </row>
        <row r="216">
          <cell r="O216">
            <v>13.914543430874527</v>
          </cell>
        </row>
        <row r="217">
          <cell r="O217">
            <v>3.0644302026375003</v>
          </cell>
        </row>
        <row r="218">
          <cell r="O218">
            <v>2.6874470640235137</v>
          </cell>
        </row>
        <row r="219">
          <cell r="O219">
            <v>7.6384528075992559</v>
          </cell>
        </row>
        <row r="220">
          <cell r="O220">
            <v>1.4868896741757249</v>
          </cell>
        </row>
        <row r="221">
          <cell r="O221">
            <v>7.3622692604817441</v>
          </cell>
        </row>
        <row r="222">
          <cell r="O222">
            <v>7.6384528075992559</v>
          </cell>
        </row>
        <row r="223">
          <cell r="O223">
            <v>1.4868896741757249</v>
          </cell>
        </row>
        <row r="224">
          <cell r="O224">
            <v>7.3622692604817441</v>
          </cell>
        </row>
        <row r="225">
          <cell r="O225">
            <v>7.6384528075992559</v>
          </cell>
        </row>
        <row r="226">
          <cell r="O226">
            <v>1.4868896741757249</v>
          </cell>
        </row>
        <row r="227">
          <cell r="O227">
            <v>7.3622692604817441</v>
          </cell>
        </row>
        <row r="228">
          <cell r="O228">
            <v>7.6384528075992559</v>
          </cell>
        </row>
        <row r="229">
          <cell r="O229">
            <v>1.4868896741757249</v>
          </cell>
        </row>
        <row r="230">
          <cell r="O230">
            <v>7.3622692604817441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1.1677387437480435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2.7687456324978408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3">
          <cell r="O253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40.208399999999997</v>
          </cell>
        </row>
        <row r="262">
          <cell r="O262">
            <v>15.862500000000001</v>
          </cell>
        </row>
        <row r="263">
          <cell r="O263">
            <v>1.168561677593233</v>
          </cell>
        </row>
        <row r="264">
          <cell r="O264">
            <v>2.2479585403956084</v>
          </cell>
        </row>
        <row r="265">
          <cell r="O265">
            <v>0.46979807698155412</v>
          </cell>
        </row>
        <row r="266">
          <cell r="O266">
            <v>3.9048898724712</v>
          </cell>
        </row>
        <row r="267">
          <cell r="O267">
            <v>3.4718152100899204</v>
          </cell>
        </row>
        <row r="268">
          <cell r="O268">
            <v>2.8871644158751941</v>
          </cell>
        </row>
        <row r="269">
          <cell r="O269">
            <v>2.8984932114480002</v>
          </cell>
        </row>
        <row r="270">
          <cell r="O270">
            <v>0.65586505729145272</v>
          </cell>
        </row>
        <row r="271">
          <cell r="O271">
            <v>22.105566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6.50394337699211</v>
          </cell>
        </row>
        <row r="276">
          <cell r="O276">
            <v>1.1259941221913257</v>
          </cell>
        </row>
        <row r="277">
          <cell r="O277">
            <v>10.617547139381028</v>
          </cell>
        </row>
        <row r="278">
          <cell r="O278">
            <v>6.50394337699211</v>
          </cell>
        </row>
        <row r="279">
          <cell r="O279">
            <v>0</v>
          </cell>
        </row>
        <row r="280">
          <cell r="O280">
            <v>4.5052398561755638</v>
          </cell>
        </row>
        <row r="281">
          <cell r="O281">
            <v>0</v>
          </cell>
        </row>
        <row r="282">
          <cell r="O282">
            <v>10.617547139381028</v>
          </cell>
        </row>
        <row r="283">
          <cell r="O283">
            <v>1.1259941221913257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39.552408</v>
          </cell>
        </row>
        <row r="288">
          <cell r="O288">
            <v>0</v>
          </cell>
        </row>
        <row r="289">
          <cell r="O289">
            <v>5.4322216820483371</v>
          </cell>
        </row>
        <row r="290">
          <cell r="O290">
            <v>4.6699884426781262</v>
          </cell>
        </row>
        <row r="291">
          <cell r="O291">
            <v>0.65682990461160673</v>
          </cell>
        </row>
        <row r="292">
          <cell r="O292">
            <v>4.4967585777256147</v>
          </cell>
        </row>
        <row r="293">
          <cell r="O293">
            <v>4.4967585777256147</v>
          </cell>
        </row>
        <row r="294">
          <cell r="O294">
            <v>5.4278914933818978</v>
          </cell>
        </row>
        <row r="295">
          <cell r="O295">
            <v>0.17259606770827704</v>
          </cell>
        </row>
        <row r="296">
          <cell r="O296">
            <v>0</v>
          </cell>
        </row>
        <row r="297">
          <cell r="O297">
            <v>1.6168120728901088</v>
          </cell>
        </row>
        <row r="298">
          <cell r="O298">
            <v>4.69164217579719</v>
          </cell>
        </row>
        <row r="299">
          <cell r="O299">
            <v>0.65682990461160673</v>
          </cell>
        </row>
        <row r="300">
          <cell r="O300">
            <v>1.2991011340188852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0</v>
          </cell>
        </row>
        <row r="306">
          <cell r="O306">
            <v>0</v>
          </cell>
        </row>
        <row r="307">
          <cell r="O307">
            <v>0</v>
          </cell>
        </row>
        <row r="308">
          <cell r="O308">
            <v>0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0</v>
          </cell>
        </row>
        <row r="329">
          <cell r="O329">
            <v>0</v>
          </cell>
        </row>
        <row r="330">
          <cell r="O330">
            <v>0</v>
          </cell>
        </row>
        <row r="331">
          <cell r="O331">
            <v>0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0.31461844652169713</v>
          </cell>
        </row>
        <row r="343">
          <cell r="O343">
            <v>1.6126132027781408</v>
          </cell>
        </row>
        <row r="344">
          <cell r="O344">
            <v>0.33117474182097817</v>
          </cell>
        </row>
        <row r="345">
          <cell r="O345">
            <v>2.3660595443432104</v>
          </cell>
        </row>
        <row r="346">
          <cell r="O346">
            <v>1.6126132027781408</v>
          </cell>
        </row>
        <row r="347">
          <cell r="O347">
            <v>0.33117474182097817</v>
          </cell>
        </row>
        <row r="348">
          <cell r="O348">
            <v>2.3660595443432104</v>
          </cell>
        </row>
        <row r="349">
          <cell r="O349">
            <v>1.6126132027781408</v>
          </cell>
        </row>
        <row r="350">
          <cell r="O350">
            <v>0.33117474182097817</v>
          </cell>
        </row>
        <row r="351">
          <cell r="O351">
            <v>2.3660595443432104</v>
          </cell>
        </row>
        <row r="352">
          <cell r="O352">
            <v>1.6126132027781408</v>
          </cell>
        </row>
        <row r="353">
          <cell r="O353">
            <v>0.33117474182097817</v>
          </cell>
        </row>
        <row r="354">
          <cell r="O354">
            <v>2.3660595443432104</v>
          </cell>
        </row>
        <row r="355">
          <cell r="O355">
            <v>0.43608777853484898</v>
          </cell>
        </row>
        <row r="356">
          <cell r="O356">
            <v>0.43608777853484898</v>
          </cell>
        </row>
        <row r="357">
          <cell r="O357">
            <v>1.7894192408580563</v>
          </cell>
        </row>
        <row r="358">
          <cell r="O358">
            <v>1.6126132027781408</v>
          </cell>
        </row>
        <row r="359">
          <cell r="O359">
            <v>0.33117474182097817</v>
          </cell>
        </row>
        <row r="360">
          <cell r="O360">
            <v>2.3660595443432104</v>
          </cell>
        </row>
        <row r="361">
          <cell r="O361">
            <v>1.6126132027781408</v>
          </cell>
        </row>
        <row r="362">
          <cell r="O362">
            <v>0.33117474182097817</v>
          </cell>
        </row>
        <row r="363">
          <cell r="O363">
            <v>2.3660595443432104</v>
          </cell>
        </row>
        <row r="364">
          <cell r="O364">
            <v>1.6126132027781408</v>
          </cell>
        </row>
        <row r="365">
          <cell r="O365">
            <v>0.33117474182097817</v>
          </cell>
        </row>
        <row r="366">
          <cell r="O366">
            <v>2.3660595443432104</v>
          </cell>
        </row>
        <row r="367">
          <cell r="O367">
            <v>1.6126132027781408</v>
          </cell>
        </row>
        <row r="368">
          <cell r="O368">
            <v>0.33117474182097817</v>
          </cell>
        </row>
        <row r="369">
          <cell r="O369">
            <v>2.3660595443432104</v>
          </cell>
        </row>
        <row r="370">
          <cell r="O370">
            <v>1.6126132027781408</v>
          </cell>
        </row>
        <row r="371">
          <cell r="O371">
            <v>0.33117474182097817</v>
          </cell>
        </row>
        <row r="372">
          <cell r="O372">
            <v>2.3660595443432104</v>
          </cell>
        </row>
        <row r="373">
          <cell r="O373">
            <v>1.6126132027781408</v>
          </cell>
        </row>
        <row r="374">
          <cell r="O374">
            <v>0.33117474182097817</v>
          </cell>
        </row>
        <row r="375">
          <cell r="O375">
            <v>2.3660595443432104</v>
          </cell>
        </row>
        <row r="376">
          <cell r="O376">
            <v>0.5276037720246074</v>
          </cell>
        </row>
        <row r="377">
          <cell r="O377">
            <v>0.29437754828531393</v>
          </cell>
        </row>
        <row r="378">
          <cell r="O378">
            <v>0</v>
          </cell>
        </row>
        <row r="379">
          <cell r="O379">
            <v>0</v>
          </cell>
        </row>
        <row r="380">
          <cell r="O380">
            <v>0</v>
          </cell>
        </row>
        <row r="381">
          <cell r="O381">
            <v>0</v>
          </cell>
        </row>
        <row r="382">
          <cell r="O382">
            <v>0</v>
          </cell>
        </row>
        <row r="383">
          <cell r="O383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2.4271981060295218</v>
          </cell>
        </row>
        <row r="406">
          <cell r="O406">
            <v>0</v>
          </cell>
        </row>
        <row r="407">
          <cell r="O407">
            <v>2.9400957634995728</v>
          </cell>
        </row>
        <row r="408">
          <cell r="O408">
            <v>0.44524604178153732</v>
          </cell>
        </row>
        <row r="409">
          <cell r="O409">
            <v>2.4271981060295218</v>
          </cell>
        </row>
        <row r="410">
          <cell r="O410">
            <v>0</v>
          </cell>
        </row>
        <row r="411">
          <cell r="O411">
            <v>2.9400957634995728</v>
          </cell>
        </row>
        <row r="412">
          <cell r="O412">
            <v>0.44524604178153732</v>
          </cell>
        </row>
        <row r="413">
          <cell r="O413">
            <v>1.6435188630641011</v>
          </cell>
        </row>
        <row r="414">
          <cell r="O414">
            <v>2.0385645218757991</v>
          </cell>
        </row>
        <row r="415">
          <cell r="O415">
            <v>0</v>
          </cell>
        </row>
        <row r="416">
          <cell r="O416">
            <v>0.41948800630657229</v>
          </cell>
        </row>
        <row r="417">
          <cell r="O417">
            <v>1.6435188630641011</v>
          </cell>
        </row>
        <row r="418">
          <cell r="O418">
            <v>2.0385645218757991</v>
          </cell>
        </row>
        <row r="419">
          <cell r="O419">
            <v>0</v>
          </cell>
        </row>
        <row r="420">
          <cell r="O420">
            <v>0.41948800630657229</v>
          </cell>
        </row>
        <row r="421">
          <cell r="O421">
            <v>1.6435188630641011</v>
          </cell>
        </row>
        <row r="422">
          <cell r="O422">
            <v>2.0385645218757991</v>
          </cell>
        </row>
        <row r="423">
          <cell r="O423">
            <v>0</v>
          </cell>
        </row>
        <row r="424">
          <cell r="O424">
            <v>0.41948800630657229</v>
          </cell>
        </row>
        <row r="425">
          <cell r="O425">
            <v>1.6435188630641011</v>
          </cell>
        </row>
        <row r="426">
          <cell r="O426">
            <v>2.0385645218757991</v>
          </cell>
        </row>
        <row r="427">
          <cell r="O427">
            <v>0</v>
          </cell>
        </row>
        <row r="428">
          <cell r="O428">
            <v>0.41948800630657229</v>
          </cell>
        </row>
        <row r="429">
          <cell r="O429">
            <v>0.12576153455778619</v>
          </cell>
        </row>
        <row r="430">
          <cell r="O430">
            <v>0.36061249664950956</v>
          </cell>
        </row>
        <row r="431">
          <cell r="O431">
            <v>0.36061249664950956</v>
          </cell>
        </row>
        <row r="432">
          <cell r="O432">
            <v>0.80993862017250007</v>
          </cell>
        </row>
        <row r="433">
          <cell r="O433">
            <v>2.4536886719889166</v>
          </cell>
        </row>
        <row r="434">
          <cell r="O434">
            <v>0.37901109341734168</v>
          </cell>
        </row>
        <row r="435">
          <cell r="O435">
            <v>5.3024755884892167</v>
          </cell>
        </row>
        <row r="436">
          <cell r="O436">
            <v>2.4536886719889166</v>
          </cell>
        </row>
        <row r="437">
          <cell r="O437">
            <v>0.37901109341734168</v>
          </cell>
        </row>
        <row r="438">
          <cell r="O438">
            <v>5.3024755884892167</v>
          </cell>
        </row>
        <row r="439">
          <cell r="O439">
            <v>2.054122635434716</v>
          </cell>
        </row>
        <row r="440">
          <cell r="O440">
            <v>4.2316772566013876</v>
          </cell>
        </row>
        <row r="441">
          <cell r="O441">
            <v>0.36797193535664241</v>
          </cell>
        </row>
        <row r="442">
          <cell r="O442">
            <v>2.054122635434716</v>
          </cell>
        </row>
        <row r="443">
          <cell r="O443">
            <v>4.2316772566013876</v>
          </cell>
        </row>
        <row r="444">
          <cell r="O444">
            <v>0.36797193535664241</v>
          </cell>
        </row>
        <row r="445">
          <cell r="O445">
            <v>2.054122635434716</v>
          </cell>
        </row>
        <row r="446">
          <cell r="O446">
            <v>4.2316772566013876</v>
          </cell>
        </row>
        <row r="447">
          <cell r="O447">
            <v>0.36797193535664241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0">
          <cell r="O470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0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0</v>
          </cell>
        </row>
        <row r="592">
          <cell r="O592">
            <v>0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0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0</v>
          </cell>
        </row>
        <row r="631">
          <cell r="O631">
            <v>0</v>
          </cell>
        </row>
        <row r="632">
          <cell r="O632">
            <v>0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0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0</v>
          </cell>
        </row>
        <row r="675">
          <cell r="O675">
            <v>0</v>
          </cell>
        </row>
        <row r="676">
          <cell r="O676">
            <v>0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0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0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15.403530863996849</v>
          </cell>
        </row>
        <row r="710">
          <cell r="O710">
            <v>0</v>
          </cell>
        </row>
        <row r="711">
          <cell r="O711">
            <v>22.695376751458145</v>
          </cell>
        </row>
        <row r="712">
          <cell r="O712">
            <v>33.61282101815484</v>
          </cell>
        </row>
        <row r="713">
          <cell r="O713">
            <v>22.695376751458145</v>
          </cell>
        </row>
        <row r="714">
          <cell r="O714">
            <v>33.61282101815484</v>
          </cell>
        </row>
        <row r="715">
          <cell r="O715">
            <v>0</v>
          </cell>
        </row>
        <row r="716">
          <cell r="O716">
            <v>6.7225642036309674</v>
          </cell>
        </row>
        <row r="717">
          <cell r="O717">
            <v>11.764487356354193</v>
          </cell>
        </row>
        <row r="718">
          <cell r="O718">
            <v>16.134154088714322</v>
          </cell>
        </row>
        <row r="719">
          <cell r="O719">
            <v>11.764487356354193</v>
          </cell>
        </row>
        <row r="720">
          <cell r="O720">
            <v>0</v>
          </cell>
        </row>
        <row r="721">
          <cell r="O721">
            <v>2.4201231133071484</v>
          </cell>
        </row>
        <row r="722">
          <cell r="O722">
            <v>2.4201231133071484</v>
          </cell>
        </row>
        <row r="723">
          <cell r="O723">
            <v>2.4201231133071484</v>
          </cell>
        </row>
        <row r="724">
          <cell r="O724">
            <v>2.4201231133071484</v>
          </cell>
        </row>
        <row r="725">
          <cell r="O725">
            <v>1.6940861793150037</v>
          </cell>
        </row>
        <row r="726">
          <cell r="O726">
            <v>1.6940861793150037</v>
          </cell>
        </row>
        <row r="727">
          <cell r="O727">
            <v>1.6940861793150037</v>
          </cell>
        </row>
        <row r="728">
          <cell r="O728">
            <v>1.6940861793150037</v>
          </cell>
        </row>
        <row r="729">
          <cell r="O729">
            <v>1.6940861793150037</v>
          </cell>
        </row>
        <row r="730">
          <cell r="O730">
            <v>1.6940861793150037</v>
          </cell>
        </row>
        <row r="731">
          <cell r="O731">
            <v>2.4201231133071484</v>
          </cell>
        </row>
        <row r="732">
          <cell r="O732">
            <v>2.4201231133071484</v>
          </cell>
        </row>
        <row r="733">
          <cell r="O733">
            <v>2.4201231133071484</v>
          </cell>
        </row>
        <row r="734">
          <cell r="O734">
            <v>2.4201231133071484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0</v>
          </cell>
        </row>
        <row r="746">
          <cell r="O746">
            <v>0</v>
          </cell>
        </row>
        <row r="747">
          <cell r="O747">
            <v>0</v>
          </cell>
        </row>
        <row r="748">
          <cell r="O748">
            <v>0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0</v>
          </cell>
        </row>
        <row r="756">
          <cell r="O756">
            <v>0</v>
          </cell>
        </row>
        <row r="757">
          <cell r="O757">
            <v>0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0</v>
          </cell>
        </row>
        <row r="765">
          <cell r="O765">
            <v>0</v>
          </cell>
        </row>
        <row r="766">
          <cell r="O766">
            <v>0</v>
          </cell>
        </row>
        <row r="767">
          <cell r="O767">
            <v>0</v>
          </cell>
        </row>
        <row r="768">
          <cell r="O768">
            <v>0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0</v>
          </cell>
        </row>
        <row r="781">
          <cell r="O781">
            <v>0</v>
          </cell>
        </row>
        <row r="782">
          <cell r="O782">
            <v>0</v>
          </cell>
        </row>
        <row r="783">
          <cell r="O783">
            <v>0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0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0</v>
          </cell>
        </row>
        <row r="822">
          <cell r="O822">
            <v>0</v>
          </cell>
        </row>
        <row r="823">
          <cell r="O823">
            <v>0</v>
          </cell>
        </row>
        <row r="824">
          <cell r="O824">
            <v>0</v>
          </cell>
        </row>
        <row r="825">
          <cell r="O825">
            <v>0</v>
          </cell>
        </row>
        <row r="826">
          <cell r="O826">
            <v>0</v>
          </cell>
        </row>
        <row r="827">
          <cell r="O827">
            <v>0</v>
          </cell>
        </row>
        <row r="828">
          <cell r="O828">
            <v>0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0</v>
          </cell>
        </row>
        <row r="849">
          <cell r="O849">
            <v>0</v>
          </cell>
        </row>
        <row r="850">
          <cell r="O850">
            <v>0</v>
          </cell>
        </row>
        <row r="851">
          <cell r="O851">
            <v>0</v>
          </cell>
        </row>
        <row r="852">
          <cell r="O852">
            <v>0</v>
          </cell>
        </row>
        <row r="853">
          <cell r="O853">
            <v>0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0.51799023033088232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1.3492143822478992</v>
          </cell>
        </row>
        <row r="913">
          <cell r="O913">
            <v>13.445128407261935</v>
          </cell>
        </row>
        <row r="914">
          <cell r="O914">
            <v>4.0335385221785804</v>
          </cell>
        </row>
        <row r="915">
          <cell r="O915">
            <v>4.0335385221785804</v>
          </cell>
        </row>
        <row r="916">
          <cell r="O916">
            <v>4.0335385221785804</v>
          </cell>
        </row>
        <row r="917">
          <cell r="O917">
            <v>4.0335385221785804</v>
          </cell>
        </row>
        <row r="918">
          <cell r="O918">
            <v>4.0335385221785804</v>
          </cell>
        </row>
        <row r="919">
          <cell r="O919">
            <v>4.0335385221785804</v>
          </cell>
        </row>
        <row r="920">
          <cell r="O920">
            <v>0</v>
          </cell>
        </row>
        <row r="921">
          <cell r="O921">
            <v>10.083846305446452</v>
          </cell>
        </row>
        <row r="922">
          <cell r="O922">
            <v>2.4201231133071484</v>
          </cell>
        </row>
        <row r="923">
          <cell r="O923">
            <v>2.4201231133071484</v>
          </cell>
        </row>
        <row r="924">
          <cell r="O924">
            <v>2.4201231133071484</v>
          </cell>
        </row>
        <row r="925">
          <cell r="O925">
            <v>2.4201231133071484</v>
          </cell>
        </row>
        <row r="926">
          <cell r="O926">
            <v>16.134154088714322</v>
          </cell>
        </row>
        <row r="927">
          <cell r="O927">
            <v>4.0335385221785804</v>
          </cell>
        </row>
        <row r="928">
          <cell r="O928">
            <v>4.0335385221785804</v>
          </cell>
        </row>
        <row r="929">
          <cell r="O929">
            <v>4.0335385221785804</v>
          </cell>
        </row>
        <row r="930">
          <cell r="O930">
            <v>4.0335385221785804</v>
          </cell>
        </row>
        <row r="931">
          <cell r="O931">
            <v>4.0335385221785804</v>
          </cell>
        </row>
        <row r="932">
          <cell r="O932">
            <v>4.0335385221785804</v>
          </cell>
        </row>
        <row r="933">
          <cell r="O933">
            <v>13.445128407261935</v>
          </cell>
        </row>
        <row r="934">
          <cell r="O934">
            <v>2.4201231133071484</v>
          </cell>
        </row>
        <row r="935">
          <cell r="O935">
            <v>2.4201231133071484</v>
          </cell>
        </row>
        <row r="936">
          <cell r="O936">
            <v>2.4201231133071484</v>
          </cell>
        </row>
        <row r="937">
          <cell r="O937">
            <v>2.4201231133071484</v>
          </cell>
        </row>
        <row r="938">
          <cell r="O938">
            <v>5.8836191804141498</v>
          </cell>
        </row>
        <row r="939">
          <cell r="O939">
            <v>2.853197775688427</v>
          </cell>
        </row>
        <row r="940">
          <cell r="O940">
            <v>0.64196949952989613</v>
          </cell>
        </row>
        <row r="941">
          <cell r="O941">
            <v>0.41439218426470587</v>
          </cell>
        </row>
        <row r="942">
          <cell r="O942">
            <v>1.9612063934713833</v>
          </cell>
        </row>
        <row r="943">
          <cell r="O943">
            <v>0</v>
          </cell>
        </row>
        <row r="944">
          <cell r="O944">
            <v>0.80283007155168695</v>
          </cell>
        </row>
        <row r="945">
          <cell r="O945">
            <v>0</v>
          </cell>
        </row>
        <row r="946">
          <cell r="O946">
            <v>0.79911209530601846</v>
          </cell>
        </row>
        <row r="947">
          <cell r="O947">
            <v>0</v>
          </cell>
        </row>
        <row r="948">
          <cell r="O948">
            <v>0.89266806635294116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24.806249999999999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6.8570154877035865</v>
          </cell>
        </row>
        <row r="1033">
          <cell r="O1033">
            <v>3.0581957456728879</v>
          </cell>
        </row>
        <row r="1034">
          <cell r="O1034">
            <v>6.6693498006716982</v>
          </cell>
        </row>
        <row r="1035">
          <cell r="O1035">
            <v>3.2119174433314899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0.8080647593161765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1.0826866559531978</v>
          </cell>
        </row>
        <row r="1044">
          <cell r="O1044">
            <v>1.0826866559531978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9">
          <cell r="O9" t="str">
            <v>Uren per jaar za, zo- en feestdag</v>
          </cell>
        </row>
      </sheetData>
      <sheetData sheetId="1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EGROTING per 010109"/>
      <sheetName val="1-Contractblad per 010109"/>
      <sheetName val="2-Kengetal"/>
      <sheetName val="3-ZMC Rmst UB "/>
      <sheetName val="Kosten per blok"/>
      <sheetName val="4-Premies en opslagen"/>
      <sheetName val="5-Opbouw uurtarieven"/>
      <sheetName val="1a-Werkzaamheden specifiek"/>
      <sheetName val="Wacht op goedkeuring"/>
      <sheetName val="3-ZMC Concept calcs"/>
      <sheetName val="Vloeren"/>
      <sheetName val="3-ZMC Rmst UB  OK"/>
      <sheetName val="6-Tarievenmatrix"/>
      <sheetName val="7-Machine-investeringskosten"/>
      <sheetName val="8-Afroepprijs"/>
      <sheetName val="9-Prijs glasbewassing"/>
      <sheetName val="9-Prijs glasbewassing 4x"/>
      <sheetName val="loongroep 2"/>
      <sheetName val="Toelichting calculatiemodel"/>
    </sheetNames>
    <sheetDataSet>
      <sheetData sheetId="0"/>
      <sheetData sheetId="1"/>
      <sheetData sheetId="2"/>
      <sheetData sheetId="3"/>
      <sheetData sheetId="4">
        <row r="3026">
          <cell r="AD3026">
            <v>1964.1559159774197</v>
          </cell>
          <cell r="AE3026">
            <v>651.39089499682029</v>
          </cell>
          <cell r="AF3026">
            <v>89.205635933594948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B TOTAAL"/>
      <sheetName val="1-CB  Juliuscentrum"/>
      <sheetName val="1-CB  Meijburghuis"/>
      <sheetName val="1-CB Huisvesting"/>
      <sheetName val="1-CB AZU L"/>
      <sheetName val="1-CB WKZ"/>
      <sheetName val="1-CB AZU HJGM"/>
      <sheetName val="1-CB HvdB"/>
      <sheetName val="1-CB Stratenum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>
        <row r="9">
          <cell r="N9" t="str">
            <v>UREN P/JR        MA-VR</v>
          </cell>
          <cell r="O9" t="str">
            <v>UREN P/JR     NALOOP</v>
          </cell>
        </row>
        <row r="10">
          <cell r="N10">
            <v>0.20240000000000002</v>
          </cell>
          <cell r="O10">
            <v>0</v>
          </cell>
        </row>
        <row r="11">
          <cell r="N11">
            <v>0.20240000000000002</v>
          </cell>
          <cell r="O11">
            <v>0</v>
          </cell>
        </row>
        <row r="12">
          <cell r="N12">
            <v>5.6619999999999999</v>
          </cell>
          <cell r="O12">
            <v>0</v>
          </cell>
        </row>
        <row r="13">
          <cell r="N13">
            <v>3.7260599999999999</v>
          </cell>
          <cell r="O13">
            <v>0</v>
          </cell>
        </row>
        <row r="14">
          <cell r="N14">
            <v>6.05098</v>
          </cell>
          <cell r="O14">
            <v>0</v>
          </cell>
        </row>
        <row r="15">
          <cell r="N15">
            <v>0.83</v>
          </cell>
          <cell r="O15">
            <v>0</v>
          </cell>
        </row>
        <row r="16">
          <cell r="N16">
            <v>1.62</v>
          </cell>
          <cell r="O16">
            <v>0</v>
          </cell>
        </row>
        <row r="17">
          <cell r="N17">
            <v>1.9370880000000001</v>
          </cell>
          <cell r="O17">
            <v>0</v>
          </cell>
        </row>
        <row r="18">
          <cell r="N18">
            <v>2.6564199999999998</v>
          </cell>
          <cell r="O18">
            <v>0</v>
          </cell>
        </row>
        <row r="19">
          <cell r="N19">
            <v>1.67808</v>
          </cell>
          <cell r="O19">
            <v>0</v>
          </cell>
        </row>
        <row r="20">
          <cell r="N20">
            <v>1.399008</v>
          </cell>
          <cell r="O20">
            <v>0</v>
          </cell>
        </row>
        <row r="21">
          <cell r="N21">
            <v>0.77</v>
          </cell>
          <cell r="O21">
            <v>0</v>
          </cell>
        </row>
        <row r="22">
          <cell r="N22">
            <v>0.13351000000000002</v>
          </cell>
          <cell r="O22">
            <v>0</v>
          </cell>
        </row>
        <row r="23">
          <cell r="N23">
            <v>7.0543200000000006</v>
          </cell>
          <cell r="O23">
            <v>0</v>
          </cell>
        </row>
        <row r="24">
          <cell r="N24">
            <v>0</v>
          </cell>
          <cell r="O24">
            <v>0</v>
          </cell>
        </row>
        <row r="25">
          <cell r="N25">
            <v>0</v>
          </cell>
          <cell r="O25">
            <v>0</v>
          </cell>
        </row>
        <row r="26">
          <cell r="N26">
            <v>0</v>
          </cell>
          <cell r="O26">
            <v>0</v>
          </cell>
        </row>
        <row r="27">
          <cell r="N27">
            <v>8.3979999999999997</v>
          </cell>
          <cell r="O27">
            <v>0</v>
          </cell>
        </row>
        <row r="28">
          <cell r="N28">
            <v>0.82432000000000005</v>
          </cell>
          <cell r="O28">
            <v>0</v>
          </cell>
        </row>
        <row r="29">
          <cell r="N29">
            <v>1.63</v>
          </cell>
          <cell r="O29">
            <v>0</v>
          </cell>
        </row>
        <row r="30">
          <cell r="N30">
            <v>0.82432000000000005</v>
          </cell>
          <cell r="O30">
            <v>0</v>
          </cell>
        </row>
        <row r="31">
          <cell r="N31">
            <v>2.0420400000000001</v>
          </cell>
          <cell r="O31">
            <v>0</v>
          </cell>
        </row>
        <row r="32">
          <cell r="N32">
            <v>27.7196</v>
          </cell>
          <cell r="O32">
            <v>0</v>
          </cell>
        </row>
        <row r="33">
          <cell r="N33">
            <v>3.3856000000000002</v>
          </cell>
          <cell r="O33">
            <v>0</v>
          </cell>
        </row>
        <row r="34">
          <cell r="N34">
            <v>1.9573000000000003</v>
          </cell>
          <cell r="O34">
            <v>0</v>
          </cell>
        </row>
        <row r="35">
          <cell r="N35">
            <v>21.794800000000002</v>
          </cell>
          <cell r="O35">
            <v>0</v>
          </cell>
        </row>
        <row r="36">
          <cell r="N36">
            <v>8.6755999999999993</v>
          </cell>
          <cell r="O36">
            <v>0</v>
          </cell>
        </row>
        <row r="37">
          <cell r="N37">
            <v>12.2728</v>
          </cell>
          <cell r="O37">
            <v>0</v>
          </cell>
        </row>
        <row r="38">
          <cell r="N38">
            <v>8.4111000000000011</v>
          </cell>
          <cell r="O38">
            <v>0</v>
          </cell>
        </row>
        <row r="39">
          <cell r="N39">
            <v>3.7</v>
          </cell>
          <cell r="O39">
            <v>0</v>
          </cell>
        </row>
        <row r="40">
          <cell r="N40">
            <v>1.1109</v>
          </cell>
          <cell r="O40">
            <v>0</v>
          </cell>
        </row>
        <row r="41">
          <cell r="N41">
            <v>12.129599999999998</v>
          </cell>
          <cell r="O41">
            <v>0</v>
          </cell>
        </row>
        <row r="42">
          <cell r="N42">
            <v>7.3643999999999998</v>
          </cell>
          <cell r="O42">
            <v>0</v>
          </cell>
        </row>
        <row r="43">
          <cell r="N43">
            <v>5.6315999999999997</v>
          </cell>
          <cell r="O43">
            <v>0</v>
          </cell>
        </row>
        <row r="44">
          <cell r="N44">
            <v>18.194400000000002</v>
          </cell>
          <cell r="O44">
            <v>0</v>
          </cell>
        </row>
        <row r="45">
          <cell r="N45">
            <v>7.7976000000000001</v>
          </cell>
          <cell r="O45">
            <v>0</v>
          </cell>
        </row>
        <row r="46">
          <cell r="N46">
            <v>7.7976000000000001</v>
          </cell>
          <cell r="O46">
            <v>0</v>
          </cell>
        </row>
        <row r="47">
          <cell r="N47">
            <v>10.980200000000002</v>
          </cell>
          <cell r="O47">
            <v>0</v>
          </cell>
        </row>
        <row r="48">
          <cell r="N48">
            <v>4.6376000000000008</v>
          </cell>
          <cell r="O48">
            <v>0</v>
          </cell>
        </row>
        <row r="49">
          <cell r="N49">
            <v>4.9649600000000005</v>
          </cell>
          <cell r="O49">
            <v>0</v>
          </cell>
        </row>
        <row r="50">
          <cell r="N50">
            <v>4.7467200000000007</v>
          </cell>
          <cell r="O50">
            <v>0</v>
          </cell>
        </row>
        <row r="51">
          <cell r="N51">
            <v>24.344000000000001</v>
          </cell>
          <cell r="O51">
            <v>0</v>
          </cell>
        </row>
        <row r="52">
          <cell r="N52">
            <v>0</v>
          </cell>
          <cell r="O52">
            <v>0</v>
          </cell>
        </row>
        <row r="53">
          <cell r="N53">
            <v>0</v>
          </cell>
          <cell r="O53">
            <v>0</v>
          </cell>
        </row>
        <row r="54">
          <cell r="N54">
            <v>4.2556800000000008</v>
          </cell>
          <cell r="O54">
            <v>0</v>
          </cell>
        </row>
        <row r="55">
          <cell r="N55">
            <v>1.2337</v>
          </cell>
          <cell r="O55">
            <v>0</v>
          </cell>
        </row>
        <row r="56">
          <cell r="N56">
            <v>4.0647200000000003</v>
          </cell>
          <cell r="O56">
            <v>0</v>
          </cell>
        </row>
        <row r="57">
          <cell r="N57">
            <v>4.0647200000000003</v>
          </cell>
          <cell r="O57">
            <v>0</v>
          </cell>
        </row>
        <row r="58">
          <cell r="N58">
            <v>25.603400000000001</v>
          </cell>
          <cell r="O58">
            <v>0</v>
          </cell>
        </row>
        <row r="59">
          <cell r="N59">
            <v>0</v>
          </cell>
          <cell r="O59">
            <v>0</v>
          </cell>
        </row>
        <row r="60">
          <cell r="N60">
            <v>0</v>
          </cell>
          <cell r="O60">
            <v>0</v>
          </cell>
        </row>
        <row r="61">
          <cell r="N61">
            <v>14.2301</v>
          </cell>
          <cell r="O61">
            <v>0</v>
          </cell>
        </row>
        <row r="62">
          <cell r="N62">
            <v>26.026800000000001</v>
          </cell>
          <cell r="O62">
            <v>0</v>
          </cell>
        </row>
        <row r="63">
          <cell r="N63">
            <v>6.1893000000000002</v>
          </cell>
          <cell r="O63">
            <v>0</v>
          </cell>
        </row>
        <row r="64">
          <cell r="N64">
            <v>8.5728000000000009</v>
          </cell>
          <cell r="O64">
            <v>0</v>
          </cell>
        </row>
        <row r="65">
          <cell r="N65">
            <v>0</v>
          </cell>
          <cell r="O65">
            <v>0</v>
          </cell>
        </row>
        <row r="66">
          <cell r="N66">
            <v>0</v>
          </cell>
          <cell r="O66">
            <v>0</v>
          </cell>
        </row>
        <row r="67">
          <cell r="N67">
            <v>12.129599999999998</v>
          </cell>
          <cell r="O67">
            <v>0</v>
          </cell>
        </row>
        <row r="68">
          <cell r="N68">
            <v>7.3643999999999998</v>
          </cell>
          <cell r="O68">
            <v>0</v>
          </cell>
        </row>
        <row r="69">
          <cell r="N69">
            <v>5.6315999999999997</v>
          </cell>
          <cell r="O69">
            <v>0</v>
          </cell>
        </row>
        <row r="70">
          <cell r="N70">
            <v>3.5972</v>
          </cell>
          <cell r="O70">
            <v>0</v>
          </cell>
        </row>
        <row r="71">
          <cell r="N71">
            <v>7.7976000000000001</v>
          </cell>
          <cell r="O71">
            <v>0</v>
          </cell>
        </row>
        <row r="72">
          <cell r="N72">
            <v>7.7976000000000001</v>
          </cell>
          <cell r="O72">
            <v>0</v>
          </cell>
        </row>
        <row r="73">
          <cell r="N73">
            <v>4.3648000000000007</v>
          </cell>
          <cell r="O73">
            <v>0</v>
          </cell>
        </row>
        <row r="74">
          <cell r="N74">
            <v>7.9899999999999993</v>
          </cell>
          <cell r="O74">
            <v>0</v>
          </cell>
        </row>
        <row r="75">
          <cell r="N75">
            <v>8.6009999999999991</v>
          </cell>
          <cell r="O75">
            <v>0</v>
          </cell>
        </row>
        <row r="76">
          <cell r="N76">
            <v>8.2249999999999996</v>
          </cell>
          <cell r="O76">
            <v>0</v>
          </cell>
        </row>
        <row r="77">
          <cell r="N77">
            <v>24.344000000000001</v>
          </cell>
          <cell r="O77">
            <v>0</v>
          </cell>
        </row>
        <row r="78">
          <cell r="N78">
            <v>0</v>
          </cell>
          <cell r="O78">
            <v>0</v>
          </cell>
        </row>
        <row r="79">
          <cell r="N79">
            <v>0.33800000000000002</v>
          </cell>
          <cell r="O79">
            <v>0</v>
          </cell>
        </row>
        <row r="80">
          <cell r="N80">
            <v>5.8608000000000002</v>
          </cell>
          <cell r="O80">
            <v>0</v>
          </cell>
        </row>
        <row r="81">
          <cell r="N81">
            <v>13.192</v>
          </cell>
          <cell r="O81">
            <v>0</v>
          </cell>
        </row>
        <row r="82">
          <cell r="N82">
            <v>11.288000000000002</v>
          </cell>
          <cell r="O82">
            <v>0</v>
          </cell>
        </row>
        <row r="83">
          <cell r="N83">
            <v>3.8737600000000003</v>
          </cell>
          <cell r="O83">
            <v>0</v>
          </cell>
        </row>
        <row r="84">
          <cell r="N84">
            <v>6.6739999999999995</v>
          </cell>
          <cell r="O84">
            <v>0</v>
          </cell>
        </row>
        <row r="85">
          <cell r="N85">
            <v>6.6739999999999995</v>
          </cell>
          <cell r="O85">
            <v>0</v>
          </cell>
        </row>
        <row r="86">
          <cell r="N86">
            <v>4.0647200000000003</v>
          </cell>
          <cell r="O86">
            <v>0</v>
          </cell>
        </row>
        <row r="87">
          <cell r="N87">
            <v>10.151999999999999</v>
          </cell>
          <cell r="O87">
            <v>0</v>
          </cell>
        </row>
        <row r="88">
          <cell r="N88">
            <v>14.1</v>
          </cell>
          <cell r="O88">
            <v>0</v>
          </cell>
        </row>
        <row r="89">
          <cell r="N89">
            <v>12.129600000000002</v>
          </cell>
          <cell r="O89">
            <v>0</v>
          </cell>
        </row>
        <row r="90">
          <cell r="N90">
            <v>17.0867</v>
          </cell>
          <cell r="O90">
            <v>0</v>
          </cell>
        </row>
        <row r="91">
          <cell r="N91">
            <v>23.805</v>
          </cell>
          <cell r="O91">
            <v>0</v>
          </cell>
        </row>
        <row r="92">
          <cell r="N92">
            <v>8.5728000000000009</v>
          </cell>
          <cell r="O92">
            <v>0</v>
          </cell>
        </row>
        <row r="93">
          <cell r="N93">
            <v>0</v>
          </cell>
          <cell r="O93">
            <v>0</v>
          </cell>
        </row>
        <row r="94">
          <cell r="N94">
            <v>0</v>
          </cell>
          <cell r="O94">
            <v>0</v>
          </cell>
        </row>
        <row r="95">
          <cell r="N95">
            <v>0</v>
          </cell>
          <cell r="O95">
            <v>0</v>
          </cell>
        </row>
        <row r="96">
          <cell r="N96">
            <v>12.129599999999998</v>
          </cell>
          <cell r="O96">
            <v>0</v>
          </cell>
        </row>
        <row r="97">
          <cell r="N97">
            <v>7.3643999999999998</v>
          </cell>
          <cell r="O97">
            <v>0</v>
          </cell>
        </row>
        <row r="98">
          <cell r="N98">
            <v>5.6315999999999997</v>
          </cell>
          <cell r="O98">
            <v>0</v>
          </cell>
        </row>
        <row r="99">
          <cell r="N99">
            <v>3.4385000000000003</v>
          </cell>
          <cell r="O99">
            <v>0</v>
          </cell>
        </row>
        <row r="100">
          <cell r="N100">
            <v>7.7976000000000001</v>
          </cell>
          <cell r="O100">
            <v>0</v>
          </cell>
        </row>
        <row r="101">
          <cell r="N101">
            <v>7.7976000000000001</v>
          </cell>
          <cell r="O101">
            <v>0</v>
          </cell>
        </row>
        <row r="102">
          <cell r="N102">
            <v>11.016</v>
          </cell>
          <cell r="O102">
            <v>0</v>
          </cell>
        </row>
        <row r="103">
          <cell r="N103">
            <v>11.9</v>
          </cell>
          <cell r="O103">
            <v>0</v>
          </cell>
        </row>
        <row r="104">
          <cell r="N104">
            <v>12.58</v>
          </cell>
          <cell r="O104">
            <v>0</v>
          </cell>
        </row>
        <row r="105">
          <cell r="N105">
            <v>8.2249999999999996</v>
          </cell>
          <cell r="O105">
            <v>0</v>
          </cell>
        </row>
        <row r="106">
          <cell r="N106">
            <v>24.344000000000001</v>
          </cell>
          <cell r="O106">
            <v>0</v>
          </cell>
        </row>
        <row r="107">
          <cell r="N107">
            <v>0.40560000000000002</v>
          </cell>
          <cell r="O107">
            <v>0</v>
          </cell>
        </row>
        <row r="108">
          <cell r="N108">
            <v>0</v>
          </cell>
          <cell r="O108">
            <v>0</v>
          </cell>
        </row>
        <row r="109">
          <cell r="N109">
            <v>5.8608000000000002</v>
          </cell>
          <cell r="O109">
            <v>0</v>
          </cell>
        </row>
        <row r="110">
          <cell r="N110">
            <v>13.192</v>
          </cell>
          <cell r="O110">
            <v>0</v>
          </cell>
        </row>
        <row r="111">
          <cell r="N111">
            <v>11.288000000000002</v>
          </cell>
          <cell r="O111">
            <v>0</v>
          </cell>
        </row>
        <row r="112">
          <cell r="N112">
            <v>6.6739999999999995</v>
          </cell>
          <cell r="O112">
            <v>0</v>
          </cell>
        </row>
        <row r="113">
          <cell r="N113">
            <v>6.6739999999999995</v>
          </cell>
          <cell r="O113">
            <v>0</v>
          </cell>
        </row>
        <row r="114">
          <cell r="N114">
            <v>6.6269999999999998</v>
          </cell>
          <cell r="O114">
            <v>0</v>
          </cell>
        </row>
        <row r="115">
          <cell r="N115">
            <v>6.9559999999999995</v>
          </cell>
          <cell r="O115">
            <v>0</v>
          </cell>
        </row>
        <row r="116">
          <cell r="N116">
            <v>21.76</v>
          </cell>
          <cell r="O116">
            <v>0</v>
          </cell>
        </row>
        <row r="117">
          <cell r="N117">
            <v>21.216000000000001</v>
          </cell>
          <cell r="O117">
            <v>0</v>
          </cell>
        </row>
        <row r="118">
          <cell r="N118">
            <v>2.5</v>
          </cell>
          <cell r="O118">
            <v>0</v>
          </cell>
        </row>
        <row r="119">
          <cell r="N119">
            <v>8.2080000000000002</v>
          </cell>
          <cell r="O119">
            <v>0</v>
          </cell>
        </row>
        <row r="120">
          <cell r="N120">
            <v>0</v>
          </cell>
          <cell r="O120">
            <v>0</v>
          </cell>
        </row>
        <row r="121">
          <cell r="N121">
            <v>0</v>
          </cell>
          <cell r="O121">
            <v>0</v>
          </cell>
        </row>
        <row r="122">
          <cell r="N122">
            <v>0</v>
          </cell>
          <cell r="O122">
            <v>0</v>
          </cell>
        </row>
        <row r="123">
          <cell r="N123">
            <v>0</v>
          </cell>
          <cell r="O123">
            <v>0</v>
          </cell>
        </row>
        <row r="124">
          <cell r="N124">
            <v>9.2111999999999998</v>
          </cell>
          <cell r="O124">
            <v>0</v>
          </cell>
        </row>
        <row r="125">
          <cell r="N125">
            <v>6.5249999999999995</v>
          </cell>
          <cell r="O125">
            <v>0</v>
          </cell>
        </row>
        <row r="126">
          <cell r="N126">
            <v>6.0250000000000004</v>
          </cell>
          <cell r="O126">
            <v>0</v>
          </cell>
        </row>
        <row r="127">
          <cell r="N127">
            <v>11.00328</v>
          </cell>
          <cell r="O127">
            <v>0</v>
          </cell>
        </row>
        <row r="128">
          <cell r="N128">
            <v>11.00328</v>
          </cell>
          <cell r="O128">
            <v>0</v>
          </cell>
        </row>
        <row r="129">
          <cell r="N129">
            <v>6.0250000000000004</v>
          </cell>
          <cell r="O129">
            <v>0</v>
          </cell>
        </row>
        <row r="130">
          <cell r="N130">
            <v>15.360180000000001</v>
          </cell>
          <cell r="O130">
            <v>0</v>
          </cell>
        </row>
        <row r="131">
          <cell r="N131">
            <v>7.5964400000000003</v>
          </cell>
          <cell r="O131">
            <v>0</v>
          </cell>
        </row>
        <row r="132">
          <cell r="N132">
            <v>18.63138</v>
          </cell>
          <cell r="O132">
            <v>0</v>
          </cell>
        </row>
        <row r="133">
          <cell r="N133">
            <v>3.1920000000000002</v>
          </cell>
          <cell r="O133">
            <v>0</v>
          </cell>
        </row>
        <row r="134">
          <cell r="N134">
            <v>0.74588999999999994</v>
          </cell>
          <cell r="O134">
            <v>0</v>
          </cell>
        </row>
        <row r="135">
          <cell r="N135">
            <v>0</v>
          </cell>
          <cell r="O135">
            <v>0</v>
          </cell>
        </row>
        <row r="136">
          <cell r="N136">
            <v>3.1740000000000004</v>
          </cell>
          <cell r="O136">
            <v>0</v>
          </cell>
        </row>
        <row r="137">
          <cell r="N137">
            <v>3.2798000000000003</v>
          </cell>
          <cell r="O137">
            <v>0</v>
          </cell>
        </row>
        <row r="138">
          <cell r="N138">
            <v>0</v>
          </cell>
          <cell r="O138">
            <v>0</v>
          </cell>
        </row>
        <row r="139">
          <cell r="N139">
            <v>16.838069999999998</v>
          </cell>
          <cell r="O139">
            <v>0</v>
          </cell>
        </row>
        <row r="140">
          <cell r="N140">
            <v>14.295599999999999</v>
          </cell>
          <cell r="O140">
            <v>0</v>
          </cell>
        </row>
        <row r="141">
          <cell r="N141">
            <v>6.45</v>
          </cell>
          <cell r="O141">
            <v>0</v>
          </cell>
        </row>
        <row r="142">
          <cell r="N142">
            <v>1.9152000000000002</v>
          </cell>
          <cell r="O142">
            <v>0</v>
          </cell>
        </row>
        <row r="143">
          <cell r="N143">
            <v>9.2111999999999998</v>
          </cell>
          <cell r="O143">
            <v>0</v>
          </cell>
        </row>
        <row r="144">
          <cell r="N144">
            <v>6.5249999999999995</v>
          </cell>
          <cell r="O144">
            <v>0</v>
          </cell>
        </row>
        <row r="145">
          <cell r="N145">
            <v>6.0250000000000004</v>
          </cell>
          <cell r="O145">
            <v>0</v>
          </cell>
        </row>
        <row r="146">
          <cell r="N146">
            <v>11.00328</v>
          </cell>
          <cell r="O146">
            <v>0</v>
          </cell>
        </row>
        <row r="147">
          <cell r="N147">
            <v>11.00328</v>
          </cell>
          <cell r="O147">
            <v>0</v>
          </cell>
        </row>
        <row r="148">
          <cell r="N148">
            <v>6.0250000000000004</v>
          </cell>
          <cell r="O148">
            <v>0</v>
          </cell>
        </row>
        <row r="149">
          <cell r="N149">
            <v>15.201449999999999</v>
          </cell>
          <cell r="O149">
            <v>0</v>
          </cell>
        </row>
        <row r="150">
          <cell r="N150">
            <v>9.5325799999999994</v>
          </cell>
          <cell r="O150">
            <v>0</v>
          </cell>
        </row>
        <row r="151">
          <cell r="N151">
            <v>19.837500000000002</v>
          </cell>
          <cell r="O151">
            <v>0</v>
          </cell>
        </row>
        <row r="152">
          <cell r="N152">
            <v>3.4655999999999998</v>
          </cell>
          <cell r="O152">
            <v>0</v>
          </cell>
        </row>
        <row r="153">
          <cell r="N153">
            <v>0.74588999999999994</v>
          </cell>
          <cell r="O153">
            <v>0</v>
          </cell>
        </row>
        <row r="154">
          <cell r="N154">
            <v>0</v>
          </cell>
          <cell r="O154">
            <v>0</v>
          </cell>
        </row>
        <row r="155">
          <cell r="N155">
            <v>2.5921000000000003</v>
          </cell>
          <cell r="O155">
            <v>0</v>
          </cell>
        </row>
        <row r="156">
          <cell r="N156">
            <v>3.2269000000000001</v>
          </cell>
          <cell r="O156">
            <v>0</v>
          </cell>
        </row>
        <row r="157">
          <cell r="N157">
            <v>0</v>
          </cell>
          <cell r="O157">
            <v>0</v>
          </cell>
        </row>
        <row r="158">
          <cell r="N158">
            <v>2.8089900000000001</v>
          </cell>
          <cell r="O158">
            <v>0</v>
          </cell>
        </row>
        <row r="159">
          <cell r="N159">
            <v>14.295599999999999</v>
          </cell>
          <cell r="O159">
            <v>0</v>
          </cell>
        </row>
        <row r="160">
          <cell r="N160">
            <v>6.45</v>
          </cell>
          <cell r="O160">
            <v>0</v>
          </cell>
        </row>
        <row r="161">
          <cell r="N161">
            <v>3.3744000000000001</v>
          </cell>
          <cell r="O161">
            <v>0</v>
          </cell>
        </row>
        <row r="162">
          <cell r="N162">
            <v>3.7135799999999999</v>
          </cell>
          <cell r="O162">
            <v>0</v>
          </cell>
        </row>
        <row r="163">
          <cell r="N163">
            <v>23.588110000000004</v>
          </cell>
          <cell r="O163">
            <v>0</v>
          </cell>
        </row>
        <row r="164">
          <cell r="N164">
            <v>8.6479999999999997</v>
          </cell>
          <cell r="O164">
            <v>0</v>
          </cell>
        </row>
        <row r="165">
          <cell r="N165">
            <v>4.31135</v>
          </cell>
          <cell r="O165">
            <v>0</v>
          </cell>
        </row>
        <row r="166">
          <cell r="N166">
            <v>3.0095999999999998</v>
          </cell>
          <cell r="O166">
            <v>0</v>
          </cell>
        </row>
        <row r="167">
          <cell r="N167">
            <v>6.4979999999999993</v>
          </cell>
          <cell r="O167">
            <v>0</v>
          </cell>
        </row>
        <row r="168">
          <cell r="N168">
            <v>6.4979999999999993</v>
          </cell>
          <cell r="O168">
            <v>0</v>
          </cell>
        </row>
        <row r="169">
          <cell r="N169">
            <v>4.9249900000000002</v>
          </cell>
          <cell r="O169">
            <v>0</v>
          </cell>
        </row>
        <row r="170">
          <cell r="N170">
            <v>11.0839</v>
          </cell>
          <cell r="O170">
            <v>0</v>
          </cell>
        </row>
        <row r="171">
          <cell r="N171">
            <v>35.623899999999999</v>
          </cell>
          <cell r="O171">
            <v>0</v>
          </cell>
        </row>
        <row r="172">
          <cell r="N172">
            <v>38.036999999999999</v>
          </cell>
          <cell r="O172">
            <v>0</v>
          </cell>
        </row>
        <row r="173">
          <cell r="N173">
            <v>17.094000000000001</v>
          </cell>
          <cell r="O173">
            <v>0</v>
          </cell>
        </row>
        <row r="174">
          <cell r="N174">
            <v>9.2111999999999998</v>
          </cell>
          <cell r="O174">
            <v>0</v>
          </cell>
        </row>
        <row r="175">
          <cell r="N175">
            <v>0</v>
          </cell>
          <cell r="O175">
            <v>0</v>
          </cell>
        </row>
        <row r="176">
          <cell r="N176">
            <v>3.2745100000000003</v>
          </cell>
          <cell r="O176">
            <v>0</v>
          </cell>
        </row>
        <row r="177">
          <cell r="N177">
            <v>14.295599999999999</v>
          </cell>
          <cell r="O177">
            <v>0</v>
          </cell>
        </row>
        <row r="178">
          <cell r="N178">
            <v>6.45</v>
          </cell>
          <cell r="O178">
            <v>0</v>
          </cell>
        </row>
        <row r="179">
          <cell r="N179">
            <v>2.6448</v>
          </cell>
          <cell r="O179">
            <v>0</v>
          </cell>
        </row>
        <row r="180">
          <cell r="N180">
            <v>3.8511200000000003</v>
          </cell>
          <cell r="O180">
            <v>0</v>
          </cell>
        </row>
        <row r="181">
          <cell r="N181">
            <v>2.9184000000000001</v>
          </cell>
          <cell r="O181">
            <v>0</v>
          </cell>
        </row>
        <row r="182">
          <cell r="N182">
            <v>9.2111999999999998</v>
          </cell>
          <cell r="O182">
            <v>0</v>
          </cell>
        </row>
        <row r="183">
          <cell r="N183">
            <v>3.2269000000000001</v>
          </cell>
          <cell r="O183">
            <v>0</v>
          </cell>
        </row>
        <row r="184">
          <cell r="N184">
            <v>7.75</v>
          </cell>
          <cell r="O184">
            <v>0</v>
          </cell>
        </row>
        <row r="185">
          <cell r="N185">
            <v>6.0250000000000004</v>
          </cell>
          <cell r="O185">
            <v>0</v>
          </cell>
        </row>
        <row r="186">
          <cell r="N186">
            <v>11.52312</v>
          </cell>
          <cell r="O186">
            <v>0</v>
          </cell>
        </row>
        <row r="187">
          <cell r="N187">
            <v>11.52312</v>
          </cell>
          <cell r="O187">
            <v>0</v>
          </cell>
        </row>
        <row r="188">
          <cell r="N188">
            <v>6.0250000000000004</v>
          </cell>
          <cell r="O188">
            <v>0</v>
          </cell>
        </row>
        <row r="189">
          <cell r="N189">
            <v>15.653220000000001</v>
          </cell>
          <cell r="O189">
            <v>0</v>
          </cell>
        </row>
        <row r="190">
          <cell r="N190">
            <v>6.0358900000000002</v>
          </cell>
          <cell r="O190">
            <v>0</v>
          </cell>
        </row>
        <row r="191">
          <cell r="N191">
            <v>18.63138</v>
          </cell>
          <cell r="O191">
            <v>0</v>
          </cell>
        </row>
        <row r="192">
          <cell r="N192">
            <v>0</v>
          </cell>
          <cell r="O192">
            <v>0</v>
          </cell>
        </row>
        <row r="193">
          <cell r="N193">
            <v>0.16900000000000001</v>
          </cell>
          <cell r="O193">
            <v>0</v>
          </cell>
        </row>
        <row r="194">
          <cell r="N194">
            <v>0</v>
          </cell>
          <cell r="O194">
            <v>0</v>
          </cell>
        </row>
        <row r="195">
          <cell r="N195">
            <v>16.504799999999999</v>
          </cell>
          <cell r="O195">
            <v>0</v>
          </cell>
        </row>
        <row r="196">
          <cell r="N196">
            <v>3.5510000000000002</v>
          </cell>
          <cell r="O196">
            <v>0</v>
          </cell>
        </row>
        <row r="197">
          <cell r="N197">
            <v>4.8139000000000003</v>
          </cell>
          <cell r="O197">
            <v>0</v>
          </cell>
        </row>
        <row r="198">
          <cell r="N198">
            <v>0</v>
          </cell>
          <cell r="O198">
            <v>0</v>
          </cell>
        </row>
        <row r="199">
          <cell r="N199">
            <v>14.295599999999999</v>
          </cell>
          <cell r="O199">
            <v>0</v>
          </cell>
        </row>
        <row r="200">
          <cell r="N200">
            <v>6.45</v>
          </cell>
          <cell r="O200">
            <v>0</v>
          </cell>
        </row>
        <row r="201">
          <cell r="N201">
            <v>0.19942000000000001</v>
          </cell>
          <cell r="O201">
            <v>0</v>
          </cell>
        </row>
        <row r="202">
          <cell r="N202">
            <v>23.862500000000001</v>
          </cell>
          <cell r="O202">
            <v>0</v>
          </cell>
        </row>
        <row r="203">
          <cell r="N203">
            <v>9</v>
          </cell>
          <cell r="O203">
            <v>0</v>
          </cell>
        </row>
        <row r="204">
          <cell r="N204">
            <v>0</v>
          </cell>
          <cell r="O204">
            <v>0</v>
          </cell>
        </row>
        <row r="205">
          <cell r="N205">
            <v>0</v>
          </cell>
          <cell r="O205">
            <v>0</v>
          </cell>
        </row>
        <row r="206">
          <cell r="N206">
            <v>0</v>
          </cell>
          <cell r="O206">
            <v>0</v>
          </cell>
        </row>
        <row r="207">
          <cell r="N207">
            <v>0</v>
          </cell>
          <cell r="O207">
            <v>0</v>
          </cell>
        </row>
        <row r="208">
          <cell r="N208">
            <v>5.29</v>
          </cell>
          <cell r="O208">
            <v>0</v>
          </cell>
        </row>
        <row r="209">
          <cell r="N209">
            <v>8.9930000000000003</v>
          </cell>
          <cell r="O209">
            <v>0</v>
          </cell>
        </row>
        <row r="210">
          <cell r="N210">
            <v>0</v>
          </cell>
          <cell r="O210">
            <v>0</v>
          </cell>
        </row>
        <row r="211">
          <cell r="N211">
            <v>0</v>
          </cell>
          <cell r="O211">
            <v>0</v>
          </cell>
        </row>
        <row r="212">
          <cell r="N212">
            <v>2.8620000000000005</v>
          </cell>
          <cell r="O212">
            <v>0</v>
          </cell>
        </row>
        <row r="213">
          <cell r="N213">
            <v>16.233600000000003</v>
          </cell>
          <cell r="O213">
            <v>0</v>
          </cell>
        </row>
        <row r="214">
          <cell r="N214">
            <v>4.7652000000000001</v>
          </cell>
          <cell r="O214">
            <v>3.4023000000000003</v>
          </cell>
        </row>
        <row r="215">
          <cell r="N215">
            <v>5.1983999999999995</v>
          </cell>
          <cell r="O215">
            <v>3.7115999999999998</v>
          </cell>
        </row>
        <row r="216">
          <cell r="N216">
            <v>20.360399999999998</v>
          </cell>
          <cell r="O216">
            <v>14.537100000000001</v>
          </cell>
        </row>
        <row r="217">
          <cell r="N217">
            <v>30.676800000000004</v>
          </cell>
          <cell r="O217">
            <v>0</v>
          </cell>
        </row>
        <row r="218">
          <cell r="N218">
            <v>21.760999999999996</v>
          </cell>
          <cell r="O218">
            <v>0</v>
          </cell>
        </row>
        <row r="219">
          <cell r="N219">
            <v>4.1192800000000007</v>
          </cell>
          <cell r="O219">
            <v>0</v>
          </cell>
        </row>
        <row r="220">
          <cell r="N220">
            <v>4.1192800000000007</v>
          </cell>
          <cell r="O220">
            <v>0</v>
          </cell>
        </row>
        <row r="221">
          <cell r="N221">
            <v>4.1192800000000007</v>
          </cell>
          <cell r="O221">
            <v>0</v>
          </cell>
        </row>
        <row r="222">
          <cell r="N222">
            <v>4.1192800000000007</v>
          </cell>
          <cell r="O222">
            <v>0</v>
          </cell>
        </row>
        <row r="223">
          <cell r="N223">
            <v>0</v>
          </cell>
          <cell r="O223">
            <v>0</v>
          </cell>
        </row>
        <row r="224">
          <cell r="N224">
            <v>0</v>
          </cell>
          <cell r="O224">
            <v>0</v>
          </cell>
        </row>
        <row r="225">
          <cell r="N225">
            <v>4.0101600000000008</v>
          </cell>
          <cell r="O225">
            <v>0</v>
          </cell>
        </row>
        <row r="226">
          <cell r="N226">
            <v>3.7373600000000002</v>
          </cell>
          <cell r="O226">
            <v>0</v>
          </cell>
        </row>
        <row r="227">
          <cell r="N227">
            <v>3.7373600000000002</v>
          </cell>
          <cell r="O227">
            <v>0</v>
          </cell>
        </row>
        <row r="228">
          <cell r="N228">
            <v>4.1192800000000007</v>
          </cell>
          <cell r="O228">
            <v>0</v>
          </cell>
        </row>
        <row r="229">
          <cell r="N229">
            <v>4.1192800000000007</v>
          </cell>
          <cell r="O229">
            <v>0</v>
          </cell>
        </row>
        <row r="230">
          <cell r="N230">
            <v>4.0647200000000003</v>
          </cell>
          <cell r="O230">
            <v>0</v>
          </cell>
        </row>
        <row r="231">
          <cell r="N231">
            <v>22.260480000000001</v>
          </cell>
          <cell r="O231">
            <v>0</v>
          </cell>
        </row>
        <row r="232">
          <cell r="N232">
            <v>5.4487000000000005</v>
          </cell>
          <cell r="O232">
            <v>0</v>
          </cell>
        </row>
        <row r="233">
          <cell r="N233">
            <v>7.7976000000000001</v>
          </cell>
          <cell r="O233">
            <v>5.5674000000000001</v>
          </cell>
        </row>
        <row r="234">
          <cell r="N234">
            <v>5.1983999999999995</v>
          </cell>
          <cell r="O234">
            <v>3.7115999999999998</v>
          </cell>
        </row>
        <row r="235">
          <cell r="N235">
            <v>4.7652000000000001</v>
          </cell>
          <cell r="O235">
            <v>3.4023000000000003</v>
          </cell>
        </row>
        <row r="236">
          <cell r="N236">
            <v>2.1970000000000001</v>
          </cell>
          <cell r="O236">
            <v>0</v>
          </cell>
        </row>
        <row r="237">
          <cell r="N237">
            <v>7.3643999999999998</v>
          </cell>
          <cell r="O237">
            <v>5.2580999999999998</v>
          </cell>
        </row>
        <row r="238">
          <cell r="N238">
            <v>15.274999999999999</v>
          </cell>
          <cell r="O238">
            <v>0</v>
          </cell>
        </row>
        <row r="239">
          <cell r="N239">
            <v>31.672080000000005</v>
          </cell>
          <cell r="O239">
            <v>0</v>
          </cell>
        </row>
        <row r="240">
          <cell r="N240">
            <v>0</v>
          </cell>
          <cell r="O240">
            <v>0</v>
          </cell>
        </row>
        <row r="241">
          <cell r="N241">
            <v>0</v>
          </cell>
          <cell r="O241">
            <v>0</v>
          </cell>
        </row>
        <row r="242">
          <cell r="N242">
            <v>0</v>
          </cell>
          <cell r="O242">
            <v>0</v>
          </cell>
        </row>
        <row r="243">
          <cell r="N243">
            <v>0</v>
          </cell>
          <cell r="O243">
            <v>0</v>
          </cell>
        </row>
        <row r="244">
          <cell r="N244">
            <v>0</v>
          </cell>
          <cell r="O244">
            <v>0</v>
          </cell>
        </row>
        <row r="245">
          <cell r="N245">
            <v>43.430900000000001</v>
          </cell>
          <cell r="O245">
            <v>0</v>
          </cell>
        </row>
        <row r="246">
          <cell r="N246">
            <v>31.262880000000003</v>
          </cell>
          <cell r="O246">
            <v>0</v>
          </cell>
        </row>
        <row r="247">
          <cell r="N247">
            <v>23.117300000000004</v>
          </cell>
          <cell r="O247">
            <v>0</v>
          </cell>
        </row>
        <row r="248">
          <cell r="N248">
            <v>5.1714000000000002</v>
          </cell>
          <cell r="O248">
            <v>0</v>
          </cell>
        </row>
        <row r="249">
          <cell r="N249">
            <v>0</v>
          </cell>
          <cell r="O249">
            <v>0</v>
          </cell>
        </row>
        <row r="250">
          <cell r="N250">
            <v>0</v>
          </cell>
          <cell r="O250">
            <v>0</v>
          </cell>
        </row>
        <row r="251">
          <cell r="N251">
            <v>38.055599999999998</v>
          </cell>
          <cell r="O251">
            <v>0</v>
          </cell>
        </row>
        <row r="252">
          <cell r="N252">
            <v>107.21040000000001</v>
          </cell>
          <cell r="O252">
            <v>0</v>
          </cell>
        </row>
        <row r="253">
          <cell r="N253">
            <v>66.126720000000006</v>
          </cell>
          <cell r="O253">
            <v>0</v>
          </cell>
        </row>
        <row r="254">
          <cell r="N254">
            <v>82.003680000000003</v>
          </cell>
          <cell r="O254">
            <v>0</v>
          </cell>
        </row>
        <row r="255">
          <cell r="N255">
            <v>39.283200000000001</v>
          </cell>
          <cell r="O255">
            <v>0</v>
          </cell>
        </row>
        <row r="256">
          <cell r="N256">
            <v>0</v>
          </cell>
          <cell r="O256">
            <v>0</v>
          </cell>
        </row>
        <row r="257">
          <cell r="N257">
            <v>48.121919999999996</v>
          </cell>
          <cell r="O257">
            <v>0</v>
          </cell>
        </row>
        <row r="258">
          <cell r="N258">
            <v>2.94624</v>
          </cell>
          <cell r="O258">
            <v>0</v>
          </cell>
        </row>
        <row r="259">
          <cell r="N259">
            <v>45.339359999999999</v>
          </cell>
          <cell r="O259">
            <v>0</v>
          </cell>
        </row>
        <row r="260">
          <cell r="N260">
            <v>4.5494000000000003</v>
          </cell>
          <cell r="O260">
            <v>0</v>
          </cell>
        </row>
        <row r="261">
          <cell r="N261">
            <v>4.7467200000000007</v>
          </cell>
          <cell r="O261">
            <v>0</v>
          </cell>
        </row>
        <row r="262">
          <cell r="N262">
            <v>1.1999</v>
          </cell>
          <cell r="O262">
            <v>0</v>
          </cell>
        </row>
        <row r="263">
          <cell r="N263">
            <v>4.6103200000000006</v>
          </cell>
          <cell r="O263">
            <v>0</v>
          </cell>
        </row>
        <row r="264">
          <cell r="N264">
            <v>2.8627199999999999</v>
          </cell>
          <cell r="O264">
            <v>0</v>
          </cell>
        </row>
        <row r="265">
          <cell r="N265">
            <v>6.547200000000001</v>
          </cell>
          <cell r="O265">
            <v>0</v>
          </cell>
        </row>
        <row r="266">
          <cell r="N266">
            <v>4.6103200000000006</v>
          </cell>
          <cell r="O266">
            <v>0</v>
          </cell>
        </row>
        <row r="267">
          <cell r="N267">
            <v>5.7287999999999997</v>
          </cell>
          <cell r="O267">
            <v>0</v>
          </cell>
        </row>
        <row r="268">
          <cell r="N268">
            <v>4.1738400000000002</v>
          </cell>
          <cell r="O268">
            <v>0</v>
          </cell>
        </row>
        <row r="269">
          <cell r="N269">
            <v>1.8950400000000001</v>
          </cell>
          <cell r="O269">
            <v>0</v>
          </cell>
        </row>
        <row r="270">
          <cell r="N270">
            <v>136.50912000000002</v>
          </cell>
          <cell r="O270">
            <v>0</v>
          </cell>
        </row>
        <row r="271">
          <cell r="N271">
            <v>8.9400999999999993</v>
          </cell>
          <cell r="O271">
            <v>0</v>
          </cell>
        </row>
        <row r="272">
          <cell r="N272">
            <v>0</v>
          </cell>
          <cell r="O272">
            <v>0</v>
          </cell>
        </row>
        <row r="273">
          <cell r="N273">
            <v>0</v>
          </cell>
          <cell r="O273">
            <v>0</v>
          </cell>
        </row>
        <row r="274">
          <cell r="N274">
            <v>16.233600000000003</v>
          </cell>
          <cell r="O274">
            <v>0</v>
          </cell>
        </row>
        <row r="275">
          <cell r="N275">
            <v>2.8620000000000005</v>
          </cell>
          <cell r="O275">
            <v>0</v>
          </cell>
        </row>
        <row r="276">
          <cell r="N276">
            <v>4.7652000000000001</v>
          </cell>
          <cell r="O276">
            <v>3.4023000000000003</v>
          </cell>
        </row>
        <row r="277">
          <cell r="N277">
            <v>5.1983999999999995</v>
          </cell>
          <cell r="O277">
            <v>3.7115999999999998</v>
          </cell>
        </row>
        <row r="278">
          <cell r="N278">
            <v>20.360399999999998</v>
          </cell>
          <cell r="O278">
            <v>14.537100000000001</v>
          </cell>
        </row>
        <row r="279">
          <cell r="N279">
            <v>0</v>
          </cell>
          <cell r="O279">
            <v>0</v>
          </cell>
        </row>
        <row r="280">
          <cell r="N280">
            <v>3.5736800000000004</v>
          </cell>
          <cell r="O280">
            <v>0</v>
          </cell>
        </row>
        <row r="281">
          <cell r="N281">
            <v>4.1192800000000007</v>
          </cell>
          <cell r="O281">
            <v>0</v>
          </cell>
        </row>
        <row r="282">
          <cell r="N282">
            <v>14.334999999999999</v>
          </cell>
          <cell r="O282">
            <v>0</v>
          </cell>
        </row>
        <row r="283">
          <cell r="N283">
            <v>4.1192800000000007</v>
          </cell>
          <cell r="O283">
            <v>0</v>
          </cell>
        </row>
        <row r="284">
          <cell r="N284">
            <v>4.1192800000000007</v>
          </cell>
          <cell r="O284">
            <v>0</v>
          </cell>
        </row>
        <row r="285">
          <cell r="N285">
            <v>4.0647200000000003</v>
          </cell>
          <cell r="O285">
            <v>0</v>
          </cell>
        </row>
        <row r="286">
          <cell r="N286">
            <v>4.1192800000000007</v>
          </cell>
          <cell r="O286">
            <v>0</v>
          </cell>
        </row>
        <row r="287">
          <cell r="N287">
            <v>4.1192800000000007</v>
          </cell>
          <cell r="O287">
            <v>0</v>
          </cell>
        </row>
        <row r="288">
          <cell r="N288">
            <v>4.1192800000000007</v>
          </cell>
          <cell r="O288">
            <v>0</v>
          </cell>
        </row>
        <row r="289">
          <cell r="N289">
            <v>4.1192800000000007</v>
          </cell>
          <cell r="O289">
            <v>0</v>
          </cell>
        </row>
        <row r="290">
          <cell r="N290">
            <v>4.1192800000000007</v>
          </cell>
          <cell r="O290">
            <v>0</v>
          </cell>
        </row>
        <row r="291">
          <cell r="N291">
            <v>4.1192800000000007</v>
          </cell>
          <cell r="O291">
            <v>0</v>
          </cell>
        </row>
        <row r="292">
          <cell r="N292">
            <v>4.1192800000000007</v>
          </cell>
          <cell r="O292">
            <v>0</v>
          </cell>
        </row>
        <row r="293">
          <cell r="N293">
            <v>4.0647200000000003</v>
          </cell>
          <cell r="O293">
            <v>0</v>
          </cell>
        </row>
        <row r="294">
          <cell r="N294">
            <v>24.948999999999998</v>
          </cell>
          <cell r="O294">
            <v>0</v>
          </cell>
        </row>
        <row r="295">
          <cell r="N295">
            <v>19.396080000000001</v>
          </cell>
          <cell r="O295">
            <v>0</v>
          </cell>
        </row>
        <row r="296">
          <cell r="N296">
            <v>3.51912</v>
          </cell>
          <cell r="O296">
            <v>0</v>
          </cell>
        </row>
        <row r="297">
          <cell r="N297">
            <v>3.6009600000000002</v>
          </cell>
          <cell r="O297">
            <v>0</v>
          </cell>
        </row>
        <row r="298">
          <cell r="N298">
            <v>17.268240000000002</v>
          </cell>
          <cell r="O298">
            <v>0</v>
          </cell>
        </row>
        <row r="299">
          <cell r="N299">
            <v>25.656500000000001</v>
          </cell>
          <cell r="O299">
            <v>0</v>
          </cell>
        </row>
        <row r="300">
          <cell r="N300">
            <v>18.986879999999999</v>
          </cell>
          <cell r="O300">
            <v>0</v>
          </cell>
        </row>
        <row r="301">
          <cell r="N301">
            <v>12.276</v>
          </cell>
          <cell r="O301">
            <v>0</v>
          </cell>
        </row>
        <row r="302">
          <cell r="N302">
            <v>12.276</v>
          </cell>
          <cell r="O302">
            <v>0</v>
          </cell>
        </row>
        <row r="303">
          <cell r="N303">
            <v>1.4515200000000001</v>
          </cell>
          <cell r="O303">
            <v>0</v>
          </cell>
        </row>
        <row r="304">
          <cell r="N304">
            <v>0</v>
          </cell>
          <cell r="O304">
            <v>0</v>
          </cell>
        </row>
        <row r="305">
          <cell r="N305">
            <v>0</v>
          </cell>
          <cell r="O305">
            <v>0</v>
          </cell>
        </row>
        <row r="306">
          <cell r="N306">
            <v>1.272</v>
          </cell>
          <cell r="O306">
            <v>0</v>
          </cell>
        </row>
        <row r="307">
          <cell r="N307">
            <v>6.9564000000000004</v>
          </cell>
          <cell r="O307">
            <v>0</v>
          </cell>
        </row>
        <row r="308">
          <cell r="N308">
            <v>11.0352</v>
          </cell>
          <cell r="O308">
            <v>0</v>
          </cell>
        </row>
        <row r="309">
          <cell r="N309">
            <v>4.4193600000000002</v>
          </cell>
          <cell r="O309">
            <v>0</v>
          </cell>
        </row>
        <row r="310">
          <cell r="N310">
            <v>4.2556799999999999</v>
          </cell>
          <cell r="O310">
            <v>0</v>
          </cell>
        </row>
        <row r="311">
          <cell r="N311">
            <v>18.885300000000001</v>
          </cell>
          <cell r="O311">
            <v>0</v>
          </cell>
        </row>
        <row r="312">
          <cell r="N312">
            <v>12.276</v>
          </cell>
          <cell r="O312">
            <v>0</v>
          </cell>
        </row>
        <row r="313">
          <cell r="N313">
            <v>4.9104000000000001</v>
          </cell>
          <cell r="O313">
            <v>0</v>
          </cell>
        </row>
        <row r="314">
          <cell r="N314">
            <v>12.357839999999999</v>
          </cell>
          <cell r="O314">
            <v>0</v>
          </cell>
        </row>
        <row r="315">
          <cell r="N315">
            <v>12.19416</v>
          </cell>
          <cell r="O315">
            <v>0</v>
          </cell>
        </row>
        <row r="316">
          <cell r="N316">
            <v>12.276</v>
          </cell>
          <cell r="O316">
            <v>0</v>
          </cell>
        </row>
        <row r="317">
          <cell r="N317">
            <v>0</v>
          </cell>
          <cell r="O317">
            <v>0</v>
          </cell>
        </row>
        <row r="318">
          <cell r="N318">
            <v>29.457599999999999</v>
          </cell>
          <cell r="O318">
            <v>21.032399999999999</v>
          </cell>
        </row>
        <row r="319">
          <cell r="N319">
            <v>5.1983999999999995</v>
          </cell>
          <cell r="O319">
            <v>3.7115999999999998</v>
          </cell>
        </row>
        <row r="320">
          <cell r="N320">
            <v>5.1983999999999995</v>
          </cell>
          <cell r="O320">
            <v>3.7115999999999998</v>
          </cell>
        </row>
        <row r="321">
          <cell r="N321">
            <v>5.1983999999999995</v>
          </cell>
          <cell r="O321">
            <v>3.7115999999999998</v>
          </cell>
        </row>
        <row r="322">
          <cell r="N322">
            <v>24.069500000000001</v>
          </cell>
          <cell r="O322">
            <v>0</v>
          </cell>
        </row>
        <row r="323">
          <cell r="N323">
            <v>0</v>
          </cell>
          <cell r="O323">
            <v>0</v>
          </cell>
        </row>
        <row r="324">
          <cell r="N324">
            <v>0</v>
          </cell>
          <cell r="O324">
            <v>0</v>
          </cell>
        </row>
        <row r="325">
          <cell r="N325">
            <v>11.8668</v>
          </cell>
          <cell r="O325">
            <v>0</v>
          </cell>
        </row>
        <row r="326">
          <cell r="N326">
            <v>15.2881</v>
          </cell>
          <cell r="O326">
            <v>0</v>
          </cell>
        </row>
        <row r="327">
          <cell r="N327">
            <v>8.1294400000000007</v>
          </cell>
          <cell r="O327">
            <v>0</v>
          </cell>
        </row>
        <row r="328">
          <cell r="N328">
            <v>0.59150000000000003</v>
          </cell>
          <cell r="O328">
            <v>0</v>
          </cell>
        </row>
        <row r="329">
          <cell r="N329">
            <v>13.251599999999998</v>
          </cell>
          <cell r="O329">
            <v>0</v>
          </cell>
        </row>
        <row r="330">
          <cell r="N330">
            <v>38.464800000000004</v>
          </cell>
          <cell r="O330">
            <v>0</v>
          </cell>
        </row>
        <row r="331">
          <cell r="N331">
            <v>35.390100000000004</v>
          </cell>
          <cell r="O331">
            <v>0</v>
          </cell>
        </row>
        <row r="332">
          <cell r="N332">
            <v>3.8616999999999999</v>
          </cell>
          <cell r="O332">
            <v>0</v>
          </cell>
        </row>
        <row r="333">
          <cell r="N333">
            <v>33.063360000000003</v>
          </cell>
          <cell r="O333">
            <v>0</v>
          </cell>
        </row>
        <row r="334">
          <cell r="N334">
            <v>80.039519999999996</v>
          </cell>
          <cell r="O334">
            <v>0</v>
          </cell>
        </row>
        <row r="335">
          <cell r="N335">
            <v>86.095680000000002</v>
          </cell>
          <cell r="O335">
            <v>0</v>
          </cell>
        </row>
        <row r="336">
          <cell r="N336">
            <v>84.213360000000009</v>
          </cell>
          <cell r="O336">
            <v>0</v>
          </cell>
        </row>
        <row r="337">
          <cell r="N337">
            <v>44.930160000000001</v>
          </cell>
          <cell r="O337">
            <v>0</v>
          </cell>
        </row>
        <row r="338">
          <cell r="N338">
            <v>40.510800000000003</v>
          </cell>
          <cell r="O338">
            <v>0</v>
          </cell>
        </row>
        <row r="339">
          <cell r="N339">
            <v>45.012</v>
          </cell>
          <cell r="O339">
            <v>0</v>
          </cell>
        </row>
        <row r="340">
          <cell r="N340">
            <v>40.592640000000003</v>
          </cell>
          <cell r="O340">
            <v>0</v>
          </cell>
        </row>
        <row r="341">
          <cell r="N341">
            <v>45.09384</v>
          </cell>
          <cell r="O341">
            <v>0</v>
          </cell>
        </row>
        <row r="342">
          <cell r="N342">
            <v>5.5016000000000007</v>
          </cell>
          <cell r="O342">
            <v>0</v>
          </cell>
        </row>
        <row r="343">
          <cell r="N343">
            <v>4.6376000000000008</v>
          </cell>
          <cell r="O343">
            <v>0</v>
          </cell>
        </row>
        <row r="344">
          <cell r="N344">
            <v>11.70312</v>
          </cell>
          <cell r="O344">
            <v>0</v>
          </cell>
        </row>
        <row r="345">
          <cell r="N345">
            <v>4.6376000000000008</v>
          </cell>
          <cell r="O345">
            <v>0</v>
          </cell>
        </row>
        <row r="346">
          <cell r="N346">
            <v>1.1830000000000001</v>
          </cell>
          <cell r="O346">
            <v>0</v>
          </cell>
        </row>
        <row r="347">
          <cell r="N347">
            <v>43.642500000000005</v>
          </cell>
          <cell r="O347">
            <v>0</v>
          </cell>
        </row>
        <row r="348">
          <cell r="N348">
            <v>6.7381600000000006</v>
          </cell>
          <cell r="O348">
            <v>0</v>
          </cell>
        </row>
        <row r="349">
          <cell r="N349">
            <v>15.4506</v>
          </cell>
          <cell r="O349">
            <v>0</v>
          </cell>
        </row>
        <row r="350">
          <cell r="N350">
            <v>0.8619</v>
          </cell>
          <cell r="O350">
            <v>0</v>
          </cell>
        </row>
        <row r="351">
          <cell r="N351">
            <v>28.092000000000002</v>
          </cell>
          <cell r="O351">
            <v>0</v>
          </cell>
        </row>
        <row r="352">
          <cell r="N352">
            <v>0</v>
          </cell>
          <cell r="O352">
            <v>0</v>
          </cell>
        </row>
        <row r="353">
          <cell r="N353">
            <v>87.896160000000009</v>
          </cell>
          <cell r="O353">
            <v>0</v>
          </cell>
        </row>
        <row r="354">
          <cell r="N354">
            <v>0</v>
          </cell>
          <cell r="O354">
            <v>0</v>
          </cell>
        </row>
        <row r="355">
          <cell r="N355">
            <v>0</v>
          </cell>
          <cell r="O355">
            <v>0</v>
          </cell>
        </row>
        <row r="356">
          <cell r="N356">
            <v>16.122479999999999</v>
          </cell>
          <cell r="O356">
            <v>0</v>
          </cell>
        </row>
        <row r="357">
          <cell r="N357">
            <v>0</v>
          </cell>
          <cell r="O357">
            <v>0</v>
          </cell>
        </row>
        <row r="358">
          <cell r="N358">
            <v>4.3375199999999996</v>
          </cell>
          <cell r="O358">
            <v>0</v>
          </cell>
        </row>
        <row r="359">
          <cell r="N359">
            <v>9.0023999999999997</v>
          </cell>
          <cell r="O359">
            <v>0</v>
          </cell>
        </row>
        <row r="360">
          <cell r="N360">
            <v>8.9400999999999993</v>
          </cell>
          <cell r="O360">
            <v>0</v>
          </cell>
        </row>
        <row r="361">
          <cell r="N361">
            <v>0</v>
          </cell>
          <cell r="O361">
            <v>0</v>
          </cell>
        </row>
        <row r="362">
          <cell r="N362">
            <v>0</v>
          </cell>
          <cell r="O362">
            <v>0</v>
          </cell>
        </row>
        <row r="363">
          <cell r="N363">
            <v>16.233600000000003</v>
          </cell>
          <cell r="O363">
            <v>0</v>
          </cell>
        </row>
        <row r="364">
          <cell r="N364">
            <v>2.8620000000000005</v>
          </cell>
          <cell r="O364">
            <v>0</v>
          </cell>
        </row>
        <row r="365">
          <cell r="N365">
            <v>4.7652000000000001</v>
          </cell>
          <cell r="O365">
            <v>3.4023000000000003</v>
          </cell>
        </row>
        <row r="366">
          <cell r="N366">
            <v>4.7652000000000001</v>
          </cell>
          <cell r="O366">
            <v>3.4023000000000003</v>
          </cell>
        </row>
        <row r="367">
          <cell r="N367">
            <v>19.927199999999999</v>
          </cell>
          <cell r="O367">
            <v>14.227799999999998</v>
          </cell>
        </row>
        <row r="368">
          <cell r="N368">
            <v>4.1192800000000007</v>
          </cell>
          <cell r="O368">
            <v>0</v>
          </cell>
        </row>
        <row r="369">
          <cell r="N369">
            <v>0</v>
          </cell>
          <cell r="O369">
            <v>0</v>
          </cell>
        </row>
        <row r="370">
          <cell r="N370">
            <v>3.5736800000000004</v>
          </cell>
          <cell r="O370">
            <v>0</v>
          </cell>
        </row>
        <row r="371">
          <cell r="N371">
            <v>4.1192800000000007</v>
          </cell>
          <cell r="O371">
            <v>0</v>
          </cell>
        </row>
        <row r="372">
          <cell r="N372">
            <v>7.0969999999999995</v>
          </cell>
          <cell r="O372">
            <v>0</v>
          </cell>
        </row>
        <row r="373">
          <cell r="N373">
            <v>4.1192800000000007</v>
          </cell>
          <cell r="O373">
            <v>0</v>
          </cell>
        </row>
        <row r="374">
          <cell r="N374">
            <v>4.1192800000000007</v>
          </cell>
          <cell r="O374">
            <v>0</v>
          </cell>
        </row>
        <row r="375">
          <cell r="N375">
            <v>4.0647200000000003</v>
          </cell>
          <cell r="O375">
            <v>0</v>
          </cell>
        </row>
        <row r="376">
          <cell r="N376">
            <v>4.1192800000000007</v>
          </cell>
          <cell r="O376">
            <v>0</v>
          </cell>
        </row>
        <row r="377">
          <cell r="N377">
            <v>25.112599999999997</v>
          </cell>
          <cell r="O377">
            <v>0</v>
          </cell>
        </row>
        <row r="378">
          <cell r="N378">
            <v>4.2829600000000001</v>
          </cell>
          <cell r="O378">
            <v>0</v>
          </cell>
        </row>
        <row r="379">
          <cell r="N379">
            <v>3.9556000000000004</v>
          </cell>
          <cell r="O379">
            <v>0</v>
          </cell>
        </row>
        <row r="380">
          <cell r="N380">
            <v>4.1192800000000007</v>
          </cell>
          <cell r="O380">
            <v>0</v>
          </cell>
        </row>
        <row r="381">
          <cell r="N381">
            <v>4.1192800000000007</v>
          </cell>
          <cell r="O381">
            <v>0</v>
          </cell>
        </row>
        <row r="382">
          <cell r="N382">
            <v>14.334999999999999</v>
          </cell>
          <cell r="O382">
            <v>0</v>
          </cell>
        </row>
        <row r="383">
          <cell r="N383">
            <v>4.0647200000000003</v>
          </cell>
          <cell r="O383">
            <v>0</v>
          </cell>
        </row>
        <row r="384">
          <cell r="N384">
            <v>14.07648</v>
          </cell>
          <cell r="O384">
            <v>0</v>
          </cell>
        </row>
        <row r="385">
          <cell r="N385">
            <v>11.62128</v>
          </cell>
          <cell r="O385">
            <v>0</v>
          </cell>
        </row>
        <row r="386">
          <cell r="N386">
            <v>11.78496</v>
          </cell>
          <cell r="O386">
            <v>0</v>
          </cell>
        </row>
        <row r="387">
          <cell r="N387">
            <v>18.197600000000001</v>
          </cell>
          <cell r="O387">
            <v>0</v>
          </cell>
        </row>
        <row r="388">
          <cell r="N388">
            <v>23.651759999999999</v>
          </cell>
          <cell r="O388">
            <v>0</v>
          </cell>
        </row>
        <row r="389">
          <cell r="N389">
            <v>5.3196000000000003</v>
          </cell>
          <cell r="O389">
            <v>0</v>
          </cell>
        </row>
        <row r="390">
          <cell r="N390">
            <v>6.4653600000000004</v>
          </cell>
          <cell r="O390">
            <v>0</v>
          </cell>
        </row>
        <row r="391">
          <cell r="N391">
            <v>9.0842399999999994</v>
          </cell>
          <cell r="O391">
            <v>0</v>
          </cell>
        </row>
        <row r="392">
          <cell r="N392">
            <v>7.28376</v>
          </cell>
          <cell r="O392">
            <v>0</v>
          </cell>
        </row>
        <row r="393">
          <cell r="N393">
            <v>0</v>
          </cell>
          <cell r="O393">
            <v>0</v>
          </cell>
        </row>
        <row r="394">
          <cell r="N394">
            <v>0</v>
          </cell>
          <cell r="O394">
            <v>0</v>
          </cell>
        </row>
        <row r="395">
          <cell r="N395">
            <v>8.4295200000000001</v>
          </cell>
          <cell r="O395">
            <v>0</v>
          </cell>
        </row>
        <row r="396">
          <cell r="N396">
            <v>29.465300000000003</v>
          </cell>
          <cell r="O396">
            <v>0</v>
          </cell>
        </row>
        <row r="397">
          <cell r="N397">
            <v>11.0352</v>
          </cell>
          <cell r="O397">
            <v>0</v>
          </cell>
        </row>
        <row r="398">
          <cell r="N398">
            <v>8.3476800000000004</v>
          </cell>
          <cell r="O398">
            <v>0</v>
          </cell>
        </row>
        <row r="399">
          <cell r="N399">
            <v>1.8928</v>
          </cell>
          <cell r="O399">
            <v>0</v>
          </cell>
        </row>
        <row r="400">
          <cell r="N400">
            <v>9.1660799999999991</v>
          </cell>
          <cell r="O400">
            <v>0</v>
          </cell>
        </row>
        <row r="401">
          <cell r="N401">
            <v>9.1660799999999991</v>
          </cell>
          <cell r="O401">
            <v>0</v>
          </cell>
        </row>
        <row r="402">
          <cell r="N402">
            <v>21.107099999999999</v>
          </cell>
          <cell r="O402">
            <v>0</v>
          </cell>
        </row>
        <row r="403">
          <cell r="N403">
            <v>9.1660799999999991</v>
          </cell>
          <cell r="O403">
            <v>0</v>
          </cell>
        </row>
        <row r="404">
          <cell r="N404">
            <v>6.5472000000000001</v>
          </cell>
          <cell r="O404">
            <v>0</v>
          </cell>
        </row>
        <row r="405">
          <cell r="N405">
            <v>3.6828000000000003</v>
          </cell>
          <cell r="O405">
            <v>0</v>
          </cell>
        </row>
        <row r="406">
          <cell r="N406">
            <v>22.093199999999996</v>
          </cell>
          <cell r="O406">
            <v>15.774299999999998</v>
          </cell>
        </row>
        <row r="407">
          <cell r="N407">
            <v>0.31740000000000002</v>
          </cell>
          <cell r="O407">
            <v>0</v>
          </cell>
        </row>
        <row r="408">
          <cell r="N408">
            <v>5.1983999999999995</v>
          </cell>
          <cell r="O408">
            <v>3.7115999999999998</v>
          </cell>
        </row>
        <row r="409">
          <cell r="N409">
            <v>5.1983999999999995</v>
          </cell>
          <cell r="O409">
            <v>3.7115999999999998</v>
          </cell>
        </row>
        <row r="410">
          <cell r="N410">
            <v>5.1983999999999995</v>
          </cell>
          <cell r="O410">
            <v>3.7115999999999998</v>
          </cell>
        </row>
        <row r="411">
          <cell r="N411">
            <v>3.6828000000000003</v>
          </cell>
          <cell r="O411">
            <v>0</v>
          </cell>
        </row>
        <row r="412">
          <cell r="N412">
            <v>3.7559</v>
          </cell>
          <cell r="O412">
            <v>0</v>
          </cell>
        </row>
        <row r="413">
          <cell r="N413">
            <v>0</v>
          </cell>
          <cell r="O413">
            <v>0</v>
          </cell>
        </row>
        <row r="414">
          <cell r="N414">
            <v>0</v>
          </cell>
          <cell r="O414">
            <v>0</v>
          </cell>
        </row>
        <row r="415">
          <cell r="N415">
            <v>0</v>
          </cell>
          <cell r="O415">
            <v>0</v>
          </cell>
        </row>
        <row r="416">
          <cell r="N416">
            <v>11.8668</v>
          </cell>
          <cell r="O416">
            <v>0</v>
          </cell>
        </row>
        <row r="417">
          <cell r="N417">
            <v>18.6737</v>
          </cell>
          <cell r="O417">
            <v>0</v>
          </cell>
        </row>
        <row r="418">
          <cell r="N418">
            <v>34.063200000000002</v>
          </cell>
          <cell r="O418">
            <v>0</v>
          </cell>
        </row>
        <row r="419">
          <cell r="N419">
            <v>24.633840000000003</v>
          </cell>
          <cell r="O419">
            <v>0</v>
          </cell>
        </row>
        <row r="420">
          <cell r="N420">
            <v>9.4116</v>
          </cell>
          <cell r="O420">
            <v>0</v>
          </cell>
        </row>
        <row r="421">
          <cell r="N421">
            <v>29.462400000000002</v>
          </cell>
          <cell r="O421">
            <v>0</v>
          </cell>
        </row>
        <row r="422">
          <cell r="N422">
            <v>0</v>
          </cell>
          <cell r="O422">
            <v>0</v>
          </cell>
        </row>
        <row r="423">
          <cell r="N423">
            <v>5.1559200000000001</v>
          </cell>
          <cell r="O423">
            <v>0</v>
          </cell>
        </row>
        <row r="424">
          <cell r="N424">
            <v>5.4832800000000006</v>
          </cell>
          <cell r="O424">
            <v>0</v>
          </cell>
        </row>
        <row r="425">
          <cell r="N425">
            <v>12.357839999999999</v>
          </cell>
          <cell r="O425">
            <v>0</v>
          </cell>
        </row>
        <row r="426">
          <cell r="N426">
            <v>0</v>
          </cell>
          <cell r="O426">
            <v>0</v>
          </cell>
        </row>
        <row r="427">
          <cell r="N427">
            <v>6.9564000000000004</v>
          </cell>
          <cell r="O427">
            <v>0</v>
          </cell>
        </row>
        <row r="428">
          <cell r="N428">
            <v>26.106960000000001</v>
          </cell>
          <cell r="O428">
            <v>0</v>
          </cell>
        </row>
        <row r="429">
          <cell r="N429">
            <v>12.6852</v>
          </cell>
          <cell r="O429">
            <v>0</v>
          </cell>
        </row>
        <row r="430">
          <cell r="N430">
            <v>39.61056</v>
          </cell>
          <cell r="O430">
            <v>0</v>
          </cell>
        </row>
        <row r="431">
          <cell r="N431">
            <v>0</v>
          </cell>
          <cell r="O431">
            <v>0</v>
          </cell>
        </row>
        <row r="432">
          <cell r="N432">
            <v>39.937919999999998</v>
          </cell>
          <cell r="O432">
            <v>0</v>
          </cell>
        </row>
        <row r="433">
          <cell r="N433">
            <v>0</v>
          </cell>
          <cell r="O433">
            <v>0</v>
          </cell>
        </row>
        <row r="434">
          <cell r="N434">
            <v>39.692399999999999</v>
          </cell>
          <cell r="O434">
            <v>0</v>
          </cell>
        </row>
        <row r="435">
          <cell r="N435">
            <v>0</v>
          </cell>
          <cell r="O435">
            <v>0</v>
          </cell>
        </row>
        <row r="436">
          <cell r="N436">
            <v>0</v>
          </cell>
          <cell r="O436">
            <v>0</v>
          </cell>
        </row>
        <row r="437">
          <cell r="N437">
            <v>21.851279999999999</v>
          </cell>
          <cell r="O437">
            <v>0</v>
          </cell>
        </row>
        <row r="438">
          <cell r="N438">
            <v>18.8232</v>
          </cell>
          <cell r="O438">
            <v>0</v>
          </cell>
        </row>
        <row r="439">
          <cell r="N439">
            <v>37.56456</v>
          </cell>
          <cell r="O439">
            <v>0</v>
          </cell>
        </row>
        <row r="440">
          <cell r="N440">
            <v>0</v>
          </cell>
          <cell r="O440">
            <v>0</v>
          </cell>
        </row>
        <row r="441">
          <cell r="N441">
            <v>8</v>
          </cell>
          <cell r="O441">
            <v>0</v>
          </cell>
        </row>
        <row r="442">
          <cell r="N442">
            <v>19.477920000000001</v>
          </cell>
          <cell r="O442">
            <v>0</v>
          </cell>
        </row>
        <row r="443">
          <cell r="N443">
            <v>0</v>
          </cell>
          <cell r="O443">
            <v>0</v>
          </cell>
        </row>
        <row r="444">
          <cell r="N444">
            <v>0</v>
          </cell>
          <cell r="O444">
            <v>0</v>
          </cell>
        </row>
        <row r="445">
          <cell r="N445">
            <v>148.86696000000001</v>
          </cell>
          <cell r="O445">
            <v>0</v>
          </cell>
        </row>
        <row r="446">
          <cell r="N446">
            <v>0</v>
          </cell>
          <cell r="O446">
            <v>0</v>
          </cell>
        </row>
        <row r="447">
          <cell r="N447">
            <v>0</v>
          </cell>
          <cell r="O447">
            <v>0</v>
          </cell>
        </row>
        <row r="448">
          <cell r="N448">
            <v>5.5016000000000007</v>
          </cell>
          <cell r="O448">
            <v>0</v>
          </cell>
        </row>
        <row r="449">
          <cell r="N449">
            <v>8.9478400000000011</v>
          </cell>
          <cell r="O449">
            <v>0</v>
          </cell>
        </row>
        <row r="450">
          <cell r="N450">
            <v>9.1575000000000006</v>
          </cell>
          <cell r="O450">
            <v>0</v>
          </cell>
        </row>
        <row r="451">
          <cell r="N451">
            <v>3.0280800000000005</v>
          </cell>
          <cell r="O451">
            <v>0</v>
          </cell>
        </row>
        <row r="452">
          <cell r="N452">
            <v>4.1791</v>
          </cell>
          <cell r="O452">
            <v>0</v>
          </cell>
        </row>
        <row r="453">
          <cell r="N453">
            <v>9.9372000000000007</v>
          </cell>
          <cell r="O453">
            <v>0</v>
          </cell>
        </row>
        <row r="454">
          <cell r="N454">
            <v>3.6282400000000008</v>
          </cell>
          <cell r="O454">
            <v>0</v>
          </cell>
        </row>
        <row r="455">
          <cell r="N455">
            <v>5.1983999999999995</v>
          </cell>
          <cell r="O455">
            <v>3.7115999999999998</v>
          </cell>
        </row>
        <row r="456">
          <cell r="N456">
            <v>4.7652000000000001</v>
          </cell>
          <cell r="O456">
            <v>3.4023000000000003</v>
          </cell>
        </row>
        <row r="457">
          <cell r="N457">
            <v>15.5952</v>
          </cell>
          <cell r="O457">
            <v>11.1348</v>
          </cell>
        </row>
        <row r="458">
          <cell r="N458">
            <v>3.1740000000000004</v>
          </cell>
          <cell r="O458">
            <v>0</v>
          </cell>
        </row>
        <row r="459">
          <cell r="N459">
            <v>0</v>
          </cell>
          <cell r="O459">
            <v>0</v>
          </cell>
        </row>
        <row r="460">
          <cell r="N460">
            <v>0.63480000000000003</v>
          </cell>
          <cell r="O460">
            <v>0</v>
          </cell>
        </row>
        <row r="461">
          <cell r="N461">
            <v>6.6739999999999995</v>
          </cell>
          <cell r="O461">
            <v>0</v>
          </cell>
        </row>
        <row r="462">
          <cell r="N462">
            <v>3.8464800000000006</v>
          </cell>
          <cell r="O462">
            <v>0</v>
          </cell>
        </row>
        <row r="463">
          <cell r="N463">
            <v>0</v>
          </cell>
          <cell r="O463">
            <v>0</v>
          </cell>
        </row>
        <row r="464">
          <cell r="N464">
            <v>30.840699999999998</v>
          </cell>
          <cell r="O464">
            <v>0</v>
          </cell>
        </row>
        <row r="465">
          <cell r="N465">
            <v>3.8464800000000006</v>
          </cell>
          <cell r="O465">
            <v>0</v>
          </cell>
        </row>
        <row r="466">
          <cell r="N466">
            <v>3.8464800000000006</v>
          </cell>
          <cell r="O466">
            <v>0</v>
          </cell>
        </row>
        <row r="467">
          <cell r="N467">
            <v>0</v>
          </cell>
          <cell r="O467">
            <v>0</v>
          </cell>
        </row>
        <row r="468">
          <cell r="N468">
            <v>10.34</v>
          </cell>
          <cell r="O468">
            <v>0</v>
          </cell>
        </row>
        <row r="469">
          <cell r="N469">
            <v>0</v>
          </cell>
          <cell r="O469">
            <v>0</v>
          </cell>
        </row>
        <row r="470">
          <cell r="N470">
            <v>6.165280000000001</v>
          </cell>
          <cell r="O470">
            <v>0</v>
          </cell>
        </row>
        <row r="471">
          <cell r="N471">
            <v>3.6555200000000005</v>
          </cell>
          <cell r="O471">
            <v>0</v>
          </cell>
        </row>
        <row r="472">
          <cell r="N472">
            <v>8.7285000000000004</v>
          </cell>
          <cell r="O472">
            <v>0</v>
          </cell>
        </row>
        <row r="473">
          <cell r="N473">
            <v>0</v>
          </cell>
          <cell r="O473">
            <v>0</v>
          </cell>
        </row>
        <row r="474">
          <cell r="N474">
            <v>16.233600000000003</v>
          </cell>
          <cell r="O474">
            <v>0</v>
          </cell>
        </row>
        <row r="475">
          <cell r="N475">
            <v>23.392800000000001</v>
          </cell>
          <cell r="O475">
            <v>0</v>
          </cell>
        </row>
        <row r="476">
          <cell r="N476">
            <v>19.494</v>
          </cell>
          <cell r="O476">
            <v>13.9185</v>
          </cell>
        </row>
        <row r="477">
          <cell r="N477">
            <v>4.7652000000000001</v>
          </cell>
          <cell r="O477">
            <v>3.4023000000000003</v>
          </cell>
        </row>
        <row r="478">
          <cell r="N478">
            <v>5.1983999999999995</v>
          </cell>
          <cell r="O478">
            <v>3.7115999999999998</v>
          </cell>
        </row>
        <row r="479">
          <cell r="N479">
            <v>0</v>
          </cell>
          <cell r="O479">
            <v>0</v>
          </cell>
        </row>
        <row r="480">
          <cell r="N480">
            <v>0</v>
          </cell>
          <cell r="O480">
            <v>0</v>
          </cell>
        </row>
        <row r="481">
          <cell r="N481">
            <v>49.629200000000004</v>
          </cell>
          <cell r="O481">
            <v>0</v>
          </cell>
        </row>
        <row r="482">
          <cell r="N482">
            <v>10.72104</v>
          </cell>
          <cell r="O482">
            <v>0</v>
          </cell>
        </row>
        <row r="483">
          <cell r="N483">
            <v>9.035400000000001</v>
          </cell>
          <cell r="O483">
            <v>0</v>
          </cell>
        </row>
        <row r="484">
          <cell r="N484">
            <v>0</v>
          </cell>
          <cell r="O484">
            <v>0</v>
          </cell>
        </row>
        <row r="485">
          <cell r="N485">
            <v>0</v>
          </cell>
          <cell r="O485">
            <v>0</v>
          </cell>
        </row>
        <row r="486">
          <cell r="N486">
            <v>34.655999999999999</v>
          </cell>
          <cell r="O486">
            <v>24.744</v>
          </cell>
        </row>
        <row r="487">
          <cell r="N487">
            <v>5.6315999999999997</v>
          </cell>
          <cell r="O487">
            <v>4.0209000000000001</v>
          </cell>
        </row>
        <row r="488">
          <cell r="N488">
            <v>4.7652000000000001</v>
          </cell>
          <cell r="O488">
            <v>3.4023000000000003</v>
          </cell>
        </row>
        <row r="489">
          <cell r="N489">
            <v>37.255199999999995</v>
          </cell>
          <cell r="O489">
            <v>26.599799999999998</v>
          </cell>
        </row>
        <row r="490">
          <cell r="N490">
            <v>30.184199999999997</v>
          </cell>
          <cell r="O490">
            <v>0</v>
          </cell>
        </row>
        <row r="491">
          <cell r="N491">
            <v>1.4872000000000003</v>
          </cell>
          <cell r="O491">
            <v>0</v>
          </cell>
        </row>
        <row r="492">
          <cell r="N492">
            <v>5.6315999999999997</v>
          </cell>
          <cell r="O492">
            <v>4.0209000000000001</v>
          </cell>
        </row>
        <row r="493">
          <cell r="N493">
            <v>5.1983999999999995</v>
          </cell>
          <cell r="O493">
            <v>3.7115999999999998</v>
          </cell>
        </row>
        <row r="494">
          <cell r="N494">
            <v>0</v>
          </cell>
          <cell r="O494">
            <v>0</v>
          </cell>
        </row>
        <row r="495">
          <cell r="N495">
            <v>5.2923200000000001</v>
          </cell>
          <cell r="O495">
            <v>0</v>
          </cell>
        </row>
        <row r="496">
          <cell r="N496">
            <v>3.6282400000000008</v>
          </cell>
          <cell r="O496">
            <v>0</v>
          </cell>
        </row>
        <row r="497">
          <cell r="N497">
            <v>2.6461600000000001</v>
          </cell>
          <cell r="O497">
            <v>0</v>
          </cell>
        </row>
        <row r="498">
          <cell r="N498">
            <v>47.6</v>
          </cell>
          <cell r="O498">
            <v>0</v>
          </cell>
        </row>
        <row r="499">
          <cell r="N499">
            <v>1.9641600000000004</v>
          </cell>
          <cell r="O499">
            <v>0</v>
          </cell>
        </row>
        <row r="500">
          <cell r="N500">
            <v>7.9348000000000001</v>
          </cell>
          <cell r="O500">
            <v>0</v>
          </cell>
        </row>
        <row r="501">
          <cell r="N501">
            <v>7.9348000000000001</v>
          </cell>
          <cell r="O501">
            <v>0</v>
          </cell>
        </row>
        <row r="502">
          <cell r="N502">
            <v>0</v>
          </cell>
          <cell r="O502">
            <v>0</v>
          </cell>
        </row>
        <row r="503">
          <cell r="N503">
            <v>0</v>
          </cell>
          <cell r="O503">
            <v>0</v>
          </cell>
        </row>
        <row r="504">
          <cell r="N504">
            <v>0</v>
          </cell>
          <cell r="O504">
            <v>0</v>
          </cell>
        </row>
        <row r="505">
          <cell r="N505">
            <v>9.7802000000000007</v>
          </cell>
          <cell r="O505">
            <v>0</v>
          </cell>
        </row>
        <row r="506">
          <cell r="N506">
            <v>17.880199999999999</v>
          </cell>
          <cell r="O506">
            <v>0</v>
          </cell>
        </row>
        <row r="507">
          <cell r="N507">
            <v>2.8916800000000005</v>
          </cell>
          <cell r="O507">
            <v>0</v>
          </cell>
        </row>
        <row r="508">
          <cell r="N508">
            <v>18.724800000000002</v>
          </cell>
          <cell r="O508">
            <v>0</v>
          </cell>
        </row>
        <row r="509">
          <cell r="N509">
            <v>16.497</v>
          </cell>
          <cell r="O509">
            <v>0</v>
          </cell>
        </row>
        <row r="510">
          <cell r="N510">
            <v>0</v>
          </cell>
          <cell r="O510">
            <v>0</v>
          </cell>
        </row>
        <row r="511">
          <cell r="N511">
            <v>4.0920000000000005</v>
          </cell>
          <cell r="O511">
            <v>0</v>
          </cell>
        </row>
        <row r="512">
          <cell r="N512">
            <v>4.0101600000000008</v>
          </cell>
          <cell r="O512">
            <v>0</v>
          </cell>
        </row>
        <row r="513">
          <cell r="N513">
            <v>0</v>
          </cell>
          <cell r="O513">
            <v>0</v>
          </cell>
        </row>
        <row r="514">
          <cell r="N514">
            <v>9.616200000000001</v>
          </cell>
          <cell r="O514">
            <v>0</v>
          </cell>
        </row>
        <row r="515">
          <cell r="N515">
            <v>10.23</v>
          </cell>
          <cell r="O515">
            <v>0</v>
          </cell>
        </row>
        <row r="516">
          <cell r="N516">
            <v>0</v>
          </cell>
          <cell r="O516">
            <v>0</v>
          </cell>
        </row>
        <row r="517">
          <cell r="N517">
            <v>4.0647200000000003</v>
          </cell>
          <cell r="O517">
            <v>0</v>
          </cell>
        </row>
        <row r="518">
          <cell r="N518">
            <v>9.6844000000000001</v>
          </cell>
          <cell r="O518">
            <v>0</v>
          </cell>
        </row>
        <row r="519">
          <cell r="N519">
            <v>0</v>
          </cell>
          <cell r="O519">
            <v>0</v>
          </cell>
        </row>
        <row r="520">
          <cell r="N520">
            <v>4.0647200000000003</v>
          </cell>
          <cell r="O520">
            <v>0</v>
          </cell>
        </row>
        <row r="521">
          <cell r="N521">
            <v>4.0647200000000003</v>
          </cell>
          <cell r="O521">
            <v>0</v>
          </cell>
        </row>
        <row r="522">
          <cell r="N522">
            <v>0</v>
          </cell>
          <cell r="O522">
            <v>0</v>
          </cell>
        </row>
        <row r="523">
          <cell r="N523">
            <v>4.0647200000000003</v>
          </cell>
          <cell r="O523">
            <v>0</v>
          </cell>
        </row>
        <row r="524">
          <cell r="N524">
            <v>4.0647200000000003</v>
          </cell>
          <cell r="O524">
            <v>0</v>
          </cell>
        </row>
        <row r="525">
          <cell r="N525">
            <v>0</v>
          </cell>
          <cell r="O525">
            <v>0</v>
          </cell>
        </row>
        <row r="526">
          <cell r="N526">
            <v>0.13520000000000001</v>
          </cell>
          <cell r="O526">
            <v>0</v>
          </cell>
        </row>
        <row r="527">
          <cell r="N527">
            <v>4.0647200000000003</v>
          </cell>
          <cell r="O527">
            <v>0</v>
          </cell>
        </row>
        <row r="528">
          <cell r="N528">
            <v>4.0647200000000003</v>
          </cell>
          <cell r="O528">
            <v>0</v>
          </cell>
        </row>
        <row r="529">
          <cell r="N529">
            <v>0</v>
          </cell>
          <cell r="O529">
            <v>0</v>
          </cell>
        </row>
        <row r="530">
          <cell r="N530">
            <v>4.0647200000000003</v>
          </cell>
          <cell r="O530">
            <v>0</v>
          </cell>
        </row>
        <row r="531">
          <cell r="N531">
            <v>4.0647200000000003</v>
          </cell>
          <cell r="O531">
            <v>0</v>
          </cell>
        </row>
        <row r="532">
          <cell r="N532">
            <v>0</v>
          </cell>
          <cell r="O532">
            <v>0</v>
          </cell>
        </row>
        <row r="533">
          <cell r="N533">
            <v>4.0647200000000003</v>
          </cell>
          <cell r="O533">
            <v>0</v>
          </cell>
        </row>
        <row r="534">
          <cell r="N534">
            <v>4.0647200000000003</v>
          </cell>
          <cell r="O534">
            <v>0</v>
          </cell>
        </row>
        <row r="535">
          <cell r="N535">
            <v>0</v>
          </cell>
          <cell r="O535">
            <v>0</v>
          </cell>
        </row>
        <row r="536">
          <cell r="N536">
            <v>12.19416</v>
          </cell>
          <cell r="O536">
            <v>0</v>
          </cell>
        </row>
        <row r="537">
          <cell r="N537">
            <v>12.19416</v>
          </cell>
          <cell r="O537">
            <v>0</v>
          </cell>
        </row>
        <row r="538">
          <cell r="N538">
            <v>14.600400000000002</v>
          </cell>
          <cell r="O538">
            <v>0</v>
          </cell>
        </row>
        <row r="539">
          <cell r="N539">
            <v>35.919100000000007</v>
          </cell>
          <cell r="O539">
            <v>0</v>
          </cell>
        </row>
        <row r="540">
          <cell r="N540">
            <v>0</v>
          </cell>
          <cell r="O540">
            <v>0</v>
          </cell>
        </row>
        <row r="541">
          <cell r="N541">
            <v>0</v>
          </cell>
          <cell r="O541">
            <v>0</v>
          </cell>
        </row>
        <row r="542">
          <cell r="N542">
            <v>7.0357000000000003</v>
          </cell>
          <cell r="O542">
            <v>0</v>
          </cell>
        </row>
        <row r="543">
          <cell r="N543">
            <v>0</v>
          </cell>
          <cell r="O543">
            <v>0</v>
          </cell>
        </row>
        <row r="544">
          <cell r="N544">
            <v>0</v>
          </cell>
          <cell r="O544">
            <v>0</v>
          </cell>
        </row>
        <row r="545">
          <cell r="N545">
            <v>217.03968</v>
          </cell>
          <cell r="O545">
            <v>0</v>
          </cell>
        </row>
        <row r="546">
          <cell r="N546">
            <v>0</v>
          </cell>
          <cell r="O546">
            <v>0</v>
          </cell>
        </row>
        <row r="547">
          <cell r="N547">
            <v>0</v>
          </cell>
          <cell r="O547">
            <v>0</v>
          </cell>
        </row>
        <row r="548">
          <cell r="N548">
            <v>5.5016000000000007</v>
          </cell>
          <cell r="O548">
            <v>0</v>
          </cell>
        </row>
        <row r="549">
          <cell r="N549">
            <v>0</v>
          </cell>
          <cell r="O549">
            <v>0</v>
          </cell>
        </row>
        <row r="550">
          <cell r="N550">
            <v>19.790400000000002</v>
          </cell>
          <cell r="O550">
            <v>0</v>
          </cell>
        </row>
        <row r="551">
          <cell r="N551">
            <v>4.4965000000000002</v>
          </cell>
          <cell r="O551">
            <v>0</v>
          </cell>
        </row>
        <row r="552">
          <cell r="N552">
            <v>0</v>
          </cell>
          <cell r="O552">
            <v>0</v>
          </cell>
        </row>
        <row r="553">
          <cell r="N553">
            <v>0</v>
          </cell>
          <cell r="O553">
            <v>0</v>
          </cell>
        </row>
        <row r="554">
          <cell r="N554">
            <v>0</v>
          </cell>
          <cell r="O554">
            <v>0</v>
          </cell>
        </row>
        <row r="555">
          <cell r="N555">
            <v>4.7467200000000007</v>
          </cell>
          <cell r="O555">
            <v>0</v>
          </cell>
        </row>
        <row r="556">
          <cell r="N556">
            <v>13.7424</v>
          </cell>
          <cell r="O556">
            <v>0</v>
          </cell>
        </row>
        <row r="557">
          <cell r="N557">
            <v>1.0478000000000001</v>
          </cell>
          <cell r="O557">
            <v>0</v>
          </cell>
        </row>
        <row r="558">
          <cell r="N558">
            <v>9.832200000000002</v>
          </cell>
          <cell r="O558">
            <v>0</v>
          </cell>
        </row>
        <row r="559">
          <cell r="N559">
            <v>19.494</v>
          </cell>
          <cell r="O559">
            <v>13.9185</v>
          </cell>
        </row>
        <row r="560">
          <cell r="N560">
            <v>5.6315999999999997</v>
          </cell>
          <cell r="O560">
            <v>4.0209000000000001</v>
          </cell>
        </row>
        <row r="561">
          <cell r="N561">
            <v>5.6315999999999997</v>
          </cell>
          <cell r="O561">
            <v>4.0209000000000001</v>
          </cell>
        </row>
        <row r="562">
          <cell r="N562">
            <v>4.8139000000000003</v>
          </cell>
          <cell r="O562">
            <v>0</v>
          </cell>
        </row>
        <row r="563">
          <cell r="N563">
            <v>5.4287200000000002</v>
          </cell>
          <cell r="O563">
            <v>0</v>
          </cell>
        </row>
        <row r="564">
          <cell r="N564">
            <v>5.4560000000000013</v>
          </cell>
          <cell r="O564">
            <v>0</v>
          </cell>
        </row>
        <row r="565">
          <cell r="N565">
            <v>23.831499999999998</v>
          </cell>
          <cell r="O565">
            <v>0</v>
          </cell>
        </row>
        <row r="566">
          <cell r="N566">
            <v>11.1264</v>
          </cell>
          <cell r="O566">
            <v>0</v>
          </cell>
        </row>
        <row r="567">
          <cell r="N567">
            <v>9.6844000000000001</v>
          </cell>
          <cell r="O567">
            <v>0</v>
          </cell>
        </row>
        <row r="568">
          <cell r="N568">
            <v>1.855</v>
          </cell>
          <cell r="O568">
            <v>0</v>
          </cell>
        </row>
        <row r="569">
          <cell r="N569">
            <v>3.3856000000000002</v>
          </cell>
          <cell r="O569">
            <v>0</v>
          </cell>
        </row>
        <row r="570">
          <cell r="N570">
            <v>18.414000000000001</v>
          </cell>
          <cell r="O570">
            <v>0</v>
          </cell>
        </row>
        <row r="571">
          <cell r="N571">
            <v>21.619400000000002</v>
          </cell>
          <cell r="O571">
            <v>0</v>
          </cell>
        </row>
        <row r="572">
          <cell r="N572">
            <v>1.1323000000000001</v>
          </cell>
          <cell r="O572">
            <v>0</v>
          </cell>
        </row>
        <row r="573">
          <cell r="N573">
            <v>0</v>
          </cell>
          <cell r="O573">
            <v>0</v>
          </cell>
        </row>
        <row r="574">
          <cell r="N574">
            <v>9.9795999999999996</v>
          </cell>
          <cell r="O574">
            <v>0</v>
          </cell>
        </row>
        <row r="575">
          <cell r="N575">
            <v>18.627599999999997</v>
          </cell>
          <cell r="O575">
            <v>0</v>
          </cell>
        </row>
        <row r="576">
          <cell r="N576">
            <v>0</v>
          </cell>
          <cell r="O576">
            <v>0</v>
          </cell>
        </row>
        <row r="577">
          <cell r="N577">
            <v>8.2307999999999986</v>
          </cell>
          <cell r="O577">
            <v>5.8766999999999996</v>
          </cell>
        </row>
        <row r="578">
          <cell r="N578">
            <v>32.056800000000003</v>
          </cell>
          <cell r="O578">
            <v>22.888200000000001</v>
          </cell>
        </row>
        <row r="579">
          <cell r="N579">
            <v>12.5373</v>
          </cell>
          <cell r="O579">
            <v>0</v>
          </cell>
        </row>
        <row r="580">
          <cell r="N580">
            <v>11.109</v>
          </cell>
          <cell r="O580">
            <v>0</v>
          </cell>
        </row>
        <row r="581">
          <cell r="N581">
            <v>0</v>
          </cell>
          <cell r="O581">
            <v>0</v>
          </cell>
        </row>
        <row r="582">
          <cell r="N582">
            <v>0</v>
          </cell>
          <cell r="O582">
            <v>0</v>
          </cell>
        </row>
        <row r="583">
          <cell r="N583">
            <v>14.34</v>
          </cell>
          <cell r="O583">
            <v>0</v>
          </cell>
        </row>
        <row r="584">
          <cell r="N584">
            <v>10.396799999999999</v>
          </cell>
          <cell r="O584">
            <v>7.4231999999999996</v>
          </cell>
        </row>
        <row r="585">
          <cell r="N585">
            <v>0</v>
          </cell>
          <cell r="O585">
            <v>0</v>
          </cell>
        </row>
        <row r="586">
          <cell r="N586">
            <v>0</v>
          </cell>
          <cell r="O586">
            <v>0</v>
          </cell>
        </row>
        <row r="587">
          <cell r="N587">
            <v>14.1488</v>
          </cell>
          <cell r="O587">
            <v>0</v>
          </cell>
        </row>
        <row r="588">
          <cell r="N588">
            <v>15.773999999999999</v>
          </cell>
          <cell r="O588">
            <v>0</v>
          </cell>
        </row>
        <row r="589">
          <cell r="N589">
            <v>0</v>
          </cell>
          <cell r="O589">
            <v>0</v>
          </cell>
        </row>
        <row r="590">
          <cell r="N590">
            <v>23.064400000000003</v>
          </cell>
          <cell r="O590">
            <v>0</v>
          </cell>
        </row>
        <row r="591">
          <cell r="N591">
            <v>11.308800000000002</v>
          </cell>
          <cell r="O591">
            <v>0</v>
          </cell>
        </row>
        <row r="592">
          <cell r="N592">
            <v>21.66</v>
          </cell>
          <cell r="O592">
            <v>15.465</v>
          </cell>
        </row>
        <row r="593">
          <cell r="N593">
            <v>8.8908000000000005</v>
          </cell>
          <cell r="O593">
            <v>0</v>
          </cell>
        </row>
        <row r="594">
          <cell r="N594">
            <v>0</v>
          </cell>
          <cell r="O594">
            <v>0</v>
          </cell>
        </row>
        <row r="595">
          <cell r="N595">
            <v>0</v>
          </cell>
          <cell r="O595">
            <v>0</v>
          </cell>
        </row>
        <row r="596">
          <cell r="N596">
            <v>0</v>
          </cell>
          <cell r="O596">
            <v>0</v>
          </cell>
        </row>
        <row r="597">
          <cell r="N597">
            <v>0</v>
          </cell>
          <cell r="O597">
            <v>0</v>
          </cell>
        </row>
        <row r="598">
          <cell r="N598">
            <v>0</v>
          </cell>
          <cell r="O598">
            <v>0</v>
          </cell>
        </row>
        <row r="599">
          <cell r="N599">
            <v>0</v>
          </cell>
          <cell r="O599">
            <v>0</v>
          </cell>
        </row>
        <row r="600">
          <cell r="N600">
            <v>0</v>
          </cell>
          <cell r="O600">
            <v>0</v>
          </cell>
        </row>
        <row r="601">
          <cell r="N601">
            <v>0</v>
          </cell>
          <cell r="O601">
            <v>0</v>
          </cell>
        </row>
        <row r="602">
          <cell r="N602">
            <v>0</v>
          </cell>
          <cell r="O602">
            <v>0</v>
          </cell>
        </row>
        <row r="603">
          <cell r="N603">
            <v>0</v>
          </cell>
          <cell r="O603">
            <v>0</v>
          </cell>
        </row>
        <row r="604">
          <cell r="N604">
            <v>0</v>
          </cell>
          <cell r="O604">
            <v>0</v>
          </cell>
        </row>
        <row r="605">
          <cell r="N605">
            <v>0</v>
          </cell>
          <cell r="O605">
            <v>0</v>
          </cell>
        </row>
        <row r="606">
          <cell r="N606">
            <v>0</v>
          </cell>
          <cell r="O606">
            <v>0</v>
          </cell>
        </row>
        <row r="607">
          <cell r="N607">
            <v>20.745199999999997</v>
          </cell>
          <cell r="O607">
            <v>0</v>
          </cell>
        </row>
        <row r="608">
          <cell r="N608">
            <v>22.852800000000002</v>
          </cell>
          <cell r="O608">
            <v>0</v>
          </cell>
        </row>
        <row r="609">
          <cell r="N609">
            <v>13.7011</v>
          </cell>
          <cell r="O609">
            <v>0</v>
          </cell>
        </row>
        <row r="610">
          <cell r="N610">
            <v>16.538799999999998</v>
          </cell>
          <cell r="O610">
            <v>0</v>
          </cell>
        </row>
        <row r="611">
          <cell r="N611">
            <v>35.125600000000006</v>
          </cell>
          <cell r="O611">
            <v>0</v>
          </cell>
        </row>
        <row r="612">
          <cell r="N612">
            <v>8.1310000000000002</v>
          </cell>
          <cell r="O612">
            <v>0</v>
          </cell>
        </row>
        <row r="613">
          <cell r="N613">
            <v>35.125600000000006</v>
          </cell>
          <cell r="O613">
            <v>0</v>
          </cell>
        </row>
        <row r="614">
          <cell r="N614">
            <v>13.1228</v>
          </cell>
          <cell r="O614">
            <v>0</v>
          </cell>
        </row>
        <row r="615">
          <cell r="N615">
            <v>19.311199999999999</v>
          </cell>
          <cell r="O615">
            <v>0</v>
          </cell>
        </row>
        <row r="616">
          <cell r="N616">
            <v>8.6639999999999997</v>
          </cell>
          <cell r="O616">
            <v>6.1859999999999999</v>
          </cell>
        </row>
        <row r="617">
          <cell r="N617">
            <v>19.980399999999999</v>
          </cell>
          <cell r="O617">
            <v>0</v>
          </cell>
        </row>
        <row r="618">
          <cell r="N618">
            <v>15.582800000000001</v>
          </cell>
          <cell r="O618">
            <v>0</v>
          </cell>
        </row>
        <row r="619">
          <cell r="N619">
            <v>15.582800000000001</v>
          </cell>
          <cell r="O619">
            <v>0</v>
          </cell>
        </row>
        <row r="620">
          <cell r="N620">
            <v>15.678399999999998</v>
          </cell>
          <cell r="O620">
            <v>0</v>
          </cell>
        </row>
        <row r="621">
          <cell r="N621">
            <v>15.487199999999998</v>
          </cell>
          <cell r="O621">
            <v>0</v>
          </cell>
        </row>
        <row r="622">
          <cell r="N622">
            <v>15.582800000000001</v>
          </cell>
          <cell r="O622">
            <v>0</v>
          </cell>
        </row>
        <row r="623">
          <cell r="N623">
            <v>15.582800000000001</v>
          </cell>
          <cell r="O623">
            <v>0</v>
          </cell>
        </row>
        <row r="624">
          <cell r="N624">
            <v>15.582800000000001</v>
          </cell>
          <cell r="O624">
            <v>0</v>
          </cell>
        </row>
        <row r="625">
          <cell r="N625">
            <v>15.009199999999998</v>
          </cell>
          <cell r="O625">
            <v>0</v>
          </cell>
        </row>
        <row r="626">
          <cell r="N626">
            <v>32.3748</v>
          </cell>
          <cell r="O626">
            <v>0</v>
          </cell>
        </row>
        <row r="627">
          <cell r="N627">
            <v>10.161800000000001</v>
          </cell>
          <cell r="O627">
            <v>0</v>
          </cell>
        </row>
        <row r="628">
          <cell r="N628">
            <v>28.15296</v>
          </cell>
          <cell r="O628">
            <v>0</v>
          </cell>
        </row>
        <row r="629">
          <cell r="N629">
            <v>8.6750399999999992</v>
          </cell>
          <cell r="O629">
            <v>0</v>
          </cell>
        </row>
        <row r="630">
          <cell r="N630">
            <v>27.855</v>
          </cell>
          <cell r="O630">
            <v>0</v>
          </cell>
        </row>
        <row r="631">
          <cell r="N631">
            <v>8.0304000000000002</v>
          </cell>
          <cell r="O631">
            <v>0</v>
          </cell>
        </row>
        <row r="632">
          <cell r="N632">
            <v>8.4128000000000007</v>
          </cell>
          <cell r="O632">
            <v>0</v>
          </cell>
        </row>
        <row r="633">
          <cell r="N633">
            <v>10.420400000000001</v>
          </cell>
          <cell r="O633">
            <v>0</v>
          </cell>
        </row>
        <row r="634">
          <cell r="N634">
            <v>0.95220000000000005</v>
          </cell>
          <cell r="O634">
            <v>0</v>
          </cell>
        </row>
        <row r="635">
          <cell r="N635">
            <v>11.308800000000002</v>
          </cell>
          <cell r="O635">
            <v>0</v>
          </cell>
        </row>
        <row r="636">
          <cell r="N636">
            <v>16.387</v>
          </cell>
          <cell r="O636">
            <v>0</v>
          </cell>
        </row>
        <row r="637">
          <cell r="N637">
            <v>7.1943999999999999</v>
          </cell>
          <cell r="O637">
            <v>0</v>
          </cell>
        </row>
        <row r="638">
          <cell r="N638">
            <v>9.7341999999999995</v>
          </cell>
          <cell r="O638">
            <v>0</v>
          </cell>
        </row>
        <row r="639">
          <cell r="N639">
            <v>3.2463200000000008</v>
          </cell>
          <cell r="O639">
            <v>0</v>
          </cell>
        </row>
        <row r="640">
          <cell r="N640">
            <v>0</v>
          </cell>
          <cell r="O640">
            <v>0</v>
          </cell>
        </row>
        <row r="641">
          <cell r="N641">
            <v>0</v>
          </cell>
          <cell r="O641">
            <v>0</v>
          </cell>
        </row>
        <row r="642">
          <cell r="N642">
            <v>6.8376000000000001</v>
          </cell>
          <cell r="O642">
            <v>0</v>
          </cell>
        </row>
        <row r="643">
          <cell r="N643">
            <v>11.798600000000002</v>
          </cell>
          <cell r="O643">
            <v>0</v>
          </cell>
        </row>
        <row r="644">
          <cell r="N644">
            <v>47.980300000000007</v>
          </cell>
          <cell r="O644">
            <v>0</v>
          </cell>
        </row>
        <row r="645">
          <cell r="N645">
            <v>18.755700000000001</v>
          </cell>
          <cell r="O645">
            <v>0</v>
          </cell>
        </row>
        <row r="646">
          <cell r="N646">
            <v>3.5464000000000007</v>
          </cell>
          <cell r="O646">
            <v>0</v>
          </cell>
        </row>
        <row r="647">
          <cell r="N647">
            <v>3.0826400000000005</v>
          </cell>
          <cell r="O647">
            <v>0</v>
          </cell>
        </row>
        <row r="648">
          <cell r="N648">
            <v>5.1983999999999995</v>
          </cell>
          <cell r="O648">
            <v>3.7115999999999998</v>
          </cell>
        </row>
        <row r="649">
          <cell r="N649">
            <v>4.7652000000000001</v>
          </cell>
          <cell r="O649">
            <v>3.4023000000000003</v>
          </cell>
        </row>
        <row r="650">
          <cell r="N650">
            <v>0.47320000000000001</v>
          </cell>
          <cell r="O650">
            <v>0</v>
          </cell>
        </row>
        <row r="651">
          <cell r="N651">
            <v>27.291599999999999</v>
          </cell>
          <cell r="O651">
            <v>19.485900000000001</v>
          </cell>
        </row>
        <row r="652">
          <cell r="N652">
            <v>12.129599999999998</v>
          </cell>
          <cell r="O652">
            <v>8.6603999999999992</v>
          </cell>
        </row>
        <row r="653">
          <cell r="N653">
            <v>13.862400000000001</v>
          </cell>
          <cell r="O653">
            <v>9.8976000000000006</v>
          </cell>
        </row>
        <row r="654">
          <cell r="N654">
            <v>6.0647999999999991</v>
          </cell>
          <cell r="O654">
            <v>4.3301999999999996</v>
          </cell>
        </row>
        <row r="655">
          <cell r="N655">
            <v>13.0784</v>
          </cell>
          <cell r="O655">
            <v>0</v>
          </cell>
        </row>
        <row r="656">
          <cell r="N656">
            <v>0</v>
          </cell>
          <cell r="O656">
            <v>0</v>
          </cell>
        </row>
        <row r="657">
          <cell r="N657">
            <v>6.0647999999999991</v>
          </cell>
          <cell r="O657">
            <v>4.3301999999999996</v>
          </cell>
        </row>
        <row r="658">
          <cell r="N658">
            <v>0</v>
          </cell>
          <cell r="O658">
            <v>0</v>
          </cell>
        </row>
        <row r="659">
          <cell r="N659">
            <v>14.280100000000001</v>
          </cell>
          <cell r="O659">
            <v>0</v>
          </cell>
        </row>
        <row r="660">
          <cell r="N660">
            <v>0</v>
          </cell>
          <cell r="O660">
            <v>0</v>
          </cell>
        </row>
        <row r="661">
          <cell r="N661">
            <v>29.253599999999999</v>
          </cell>
          <cell r="O661">
            <v>0</v>
          </cell>
        </row>
        <row r="662">
          <cell r="N662">
            <v>3.8690000000000002</v>
          </cell>
          <cell r="O662">
            <v>0</v>
          </cell>
        </row>
        <row r="663">
          <cell r="N663">
            <v>7.4060000000000006</v>
          </cell>
          <cell r="O663">
            <v>0</v>
          </cell>
        </row>
        <row r="664">
          <cell r="N664">
            <v>2.1688999999999998</v>
          </cell>
          <cell r="O664">
            <v>0</v>
          </cell>
        </row>
        <row r="665">
          <cell r="N665">
            <v>13.957599999999999</v>
          </cell>
          <cell r="O665">
            <v>0</v>
          </cell>
        </row>
        <row r="666">
          <cell r="N666">
            <v>11.308800000000002</v>
          </cell>
          <cell r="O666">
            <v>0</v>
          </cell>
        </row>
        <row r="667">
          <cell r="N667">
            <v>16.461599999999997</v>
          </cell>
          <cell r="O667">
            <v>11.753399999999999</v>
          </cell>
        </row>
        <row r="668">
          <cell r="N668">
            <v>4.3019999999999996</v>
          </cell>
          <cell r="O668">
            <v>0</v>
          </cell>
        </row>
        <row r="669">
          <cell r="N669">
            <v>54.222500000000004</v>
          </cell>
          <cell r="O669">
            <v>0</v>
          </cell>
        </row>
        <row r="670">
          <cell r="N670">
            <v>0</v>
          </cell>
          <cell r="O670">
            <v>0</v>
          </cell>
        </row>
        <row r="671">
          <cell r="N671">
            <v>0</v>
          </cell>
          <cell r="O671">
            <v>0</v>
          </cell>
        </row>
        <row r="672">
          <cell r="N672">
            <v>0</v>
          </cell>
          <cell r="O672">
            <v>0</v>
          </cell>
        </row>
        <row r="673">
          <cell r="N673">
            <v>0</v>
          </cell>
          <cell r="O673">
            <v>0</v>
          </cell>
        </row>
        <row r="674">
          <cell r="N674">
            <v>0</v>
          </cell>
          <cell r="O674">
            <v>0</v>
          </cell>
        </row>
        <row r="675">
          <cell r="N675">
            <v>0</v>
          </cell>
          <cell r="O675">
            <v>0</v>
          </cell>
        </row>
        <row r="676">
          <cell r="N676">
            <v>12.753400000000001</v>
          </cell>
          <cell r="O676">
            <v>0</v>
          </cell>
        </row>
        <row r="677">
          <cell r="N677">
            <v>42.091999999999999</v>
          </cell>
          <cell r="O677">
            <v>0</v>
          </cell>
        </row>
        <row r="678">
          <cell r="N678">
            <v>19.520099999999999</v>
          </cell>
          <cell r="O678">
            <v>0</v>
          </cell>
        </row>
        <row r="679">
          <cell r="N679">
            <v>9.2070000000000007</v>
          </cell>
          <cell r="O679">
            <v>0</v>
          </cell>
        </row>
        <row r="680">
          <cell r="N680">
            <v>14.531199999999998</v>
          </cell>
          <cell r="O680">
            <v>0</v>
          </cell>
        </row>
        <row r="681">
          <cell r="N681">
            <v>15.104800000000001</v>
          </cell>
          <cell r="O681">
            <v>0</v>
          </cell>
        </row>
        <row r="682">
          <cell r="N682">
            <v>13.384</v>
          </cell>
          <cell r="O682">
            <v>0</v>
          </cell>
        </row>
        <row r="683">
          <cell r="N683">
            <v>4.4193600000000002</v>
          </cell>
          <cell r="O683">
            <v>0</v>
          </cell>
        </row>
        <row r="684">
          <cell r="N684">
            <v>13.575199999999999</v>
          </cell>
          <cell r="O684">
            <v>0</v>
          </cell>
        </row>
        <row r="685">
          <cell r="N685">
            <v>19.488</v>
          </cell>
          <cell r="O685">
            <v>0</v>
          </cell>
        </row>
        <row r="686">
          <cell r="N686">
            <v>19.295999999999999</v>
          </cell>
          <cell r="O686">
            <v>0</v>
          </cell>
        </row>
        <row r="687">
          <cell r="N687">
            <v>31.967999999999996</v>
          </cell>
          <cell r="O687">
            <v>0</v>
          </cell>
        </row>
        <row r="688">
          <cell r="N688">
            <v>36.342300000000002</v>
          </cell>
          <cell r="O688">
            <v>0</v>
          </cell>
        </row>
        <row r="689">
          <cell r="N689">
            <v>32.064</v>
          </cell>
          <cell r="O689">
            <v>0</v>
          </cell>
        </row>
        <row r="690">
          <cell r="N690">
            <v>29.298719999999999</v>
          </cell>
          <cell r="O690">
            <v>0</v>
          </cell>
        </row>
        <row r="691">
          <cell r="N691">
            <v>6.0647999999999991</v>
          </cell>
          <cell r="O691">
            <v>4.3301999999999996</v>
          </cell>
        </row>
        <row r="692">
          <cell r="N692">
            <v>7.3643999999999998</v>
          </cell>
          <cell r="O692">
            <v>5.2580999999999998</v>
          </cell>
        </row>
        <row r="693">
          <cell r="N693">
            <v>1.9536000000000002</v>
          </cell>
          <cell r="O693">
            <v>0</v>
          </cell>
        </row>
        <row r="694">
          <cell r="N694">
            <v>13.9878</v>
          </cell>
          <cell r="O694">
            <v>0</v>
          </cell>
        </row>
        <row r="695">
          <cell r="N695">
            <v>51.886560000000003</v>
          </cell>
          <cell r="O695">
            <v>0</v>
          </cell>
        </row>
        <row r="696">
          <cell r="N696">
            <v>13.575199999999999</v>
          </cell>
          <cell r="O696">
            <v>0</v>
          </cell>
        </row>
        <row r="697">
          <cell r="N697">
            <v>13.384</v>
          </cell>
          <cell r="O697">
            <v>0</v>
          </cell>
        </row>
        <row r="698">
          <cell r="N698">
            <v>15.009199999999998</v>
          </cell>
          <cell r="O698">
            <v>0</v>
          </cell>
        </row>
        <row r="699">
          <cell r="N699">
            <v>5.6315999999999997</v>
          </cell>
          <cell r="O699">
            <v>4.0209000000000001</v>
          </cell>
        </row>
        <row r="700">
          <cell r="N700">
            <v>5.6315999999999997</v>
          </cell>
          <cell r="O700">
            <v>4.0209000000000001</v>
          </cell>
        </row>
        <row r="701">
          <cell r="N701">
            <v>20.793599999999998</v>
          </cell>
          <cell r="O701">
            <v>14.846399999999999</v>
          </cell>
        </row>
        <row r="702">
          <cell r="N702">
            <v>17.761199999999999</v>
          </cell>
          <cell r="O702">
            <v>12.681299999999998</v>
          </cell>
        </row>
        <row r="703">
          <cell r="N703">
            <v>0</v>
          </cell>
          <cell r="O703">
            <v>0</v>
          </cell>
        </row>
        <row r="704">
          <cell r="N704">
            <v>14.435599999999999</v>
          </cell>
          <cell r="O704">
            <v>0</v>
          </cell>
        </row>
        <row r="705">
          <cell r="N705">
            <v>2.6500000000000004</v>
          </cell>
          <cell r="O705">
            <v>0</v>
          </cell>
        </row>
        <row r="706">
          <cell r="N706">
            <v>0.74360000000000015</v>
          </cell>
          <cell r="O706">
            <v>0</v>
          </cell>
        </row>
        <row r="707">
          <cell r="N707">
            <v>3.1917600000000004</v>
          </cell>
          <cell r="O707">
            <v>0</v>
          </cell>
        </row>
        <row r="708">
          <cell r="N708">
            <v>3.1372000000000004</v>
          </cell>
          <cell r="O708">
            <v>0</v>
          </cell>
        </row>
        <row r="709">
          <cell r="N709">
            <v>1.6928000000000001</v>
          </cell>
          <cell r="O709">
            <v>0</v>
          </cell>
        </row>
        <row r="710">
          <cell r="N710">
            <v>3.1917600000000004</v>
          </cell>
          <cell r="O710">
            <v>0</v>
          </cell>
        </row>
        <row r="711">
          <cell r="N711">
            <v>3.1917600000000004</v>
          </cell>
          <cell r="O711">
            <v>0</v>
          </cell>
        </row>
        <row r="712">
          <cell r="N712">
            <v>49.458100000000002</v>
          </cell>
          <cell r="O712">
            <v>0</v>
          </cell>
        </row>
        <row r="713">
          <cell r="N713">
            <v>13.575199999999999</v>
          </cell>
          <cell r="O713">
            <v>0</v>
          </cell>
        </row>
        <row r="714">
          <cell r="N714">
            <v>13.575199999999999</v>
          </cell>
          <cell r="O714">
            <v>0</v>
          </cell>
        </row>
        <row r="715">
          <cell r="N715">
            <v>13.575199999999999</v>
          </cell>
          <cell r="O715">
            <v>0</v>
          </cell>
        </row>
        <row r="716">
          <cell r="N716">
            <v>13.575199999999999</v>
          </cell>
          <cell r="O716">
            <v>0</v>
          </cell>
        </row>
        <row r="717">
          <cell r="N717">
            <v>22.852800000000002</v>
          </cell>
          <cell r="O717">
            <v>0</v>
          </cell>
        </row>
        <row r="718">
          <cell r="N718">
            <v>34.577400000000004</v>
          </cell>
          <cell r="O718">
            <v>0</v>
          </cell>
        </row>
        <row r="719">
          <cell r="N719">
            <v>0</v>
          </cell>
          <cell r="O719">
            <v>0</v>
          </cell>
        </row>
        <row r="720">
          <cell r="N720">
            <v>0</v>
          </cell>
          <cell r="O720">
            <v>0</v>
          </cell>
        </row>
        <row r="721">
          <cell r="N721">
            <v>33.7502</v>
          </cell>
          <cell r="O721">
            <v>0</v>
          </cell>
        </row>
        <row r="722">
          <cell r="N722">
            <v>11.186</v>
          </cell>
          <cell r="O722">
            <v>0</v>
          </cell>
        </row>
        <row r="723">
          <cell r="N723">
            <v>13.575199999999999</v>
          </cell>
          <cell r="O723">
            <v>0</v>
          </cell>
        </row>
        <row r="724">
          <cell r="N724">
            <v>13.575199999999999</v>
          </cell>
          <cell r="O724">
            <v>0</v>
          </cell>
        </row>
        <row r="725">
          <cell r="N725">
            <v>9.2731999999999992</v>
          </cell>
          <cell r="O725">
            <v>0</v>
          </cell>
        </row>
        <row r="726">
          <cell r="N726">
            <v>22.941800000000004</v>
          </cell>
          <cell r="O726">
            <v>0</v>
          </cell>
        </row>
        <row r="727">
          <cell r="N727">
            <v>7.3643999999999998</v>
          </cell>
          <cell r="O727">
            <v>5.2580999999999998</v>
          </cell>
        </row>
        <row r="728">
          <cell r="N728">
            <v>7.3643999999999998</v>
          </cell>
          <cell r="O728">
            <v>5.2580999999999998</v>
          </cell>
        </row>
        <row r="729">
          <cell r="N729">
            <v>10.707199999999998</v>
          </cell>
          <cell r="O729">
            <v>0</v>
          </cell>
        </row>
        <row r="730">
          <cell r="N730">
            <v>3.1917600000000004</v>
          </cell>
          <cell r="O730">
            <v>0</v>
          </cell>
        </row>
        <row r="731">
          <cell r="N731">
            <v>5.4989999999999997</v>
          </cell>
          <cell r="O731">
            <v>0</v>
          </cell>
        </row>
        <row r="732">
          <cell r="N732">
            <v>3.1917600000000004</v>
          </cell>
          <cell r="O732">
            <v>0</v>
          </cell>
        </row>
        <row r="733">
          <cell r="N733">
            <v>3.1917600000000004</v>
          </cell>
          <cell r="O733">
            <v>0</v>
          </cell>
        </row>
        <row r="734">
          <cell r="N734">
            <v>14.970700000000001</v>
          </cell>
          <cell r="O734">
            <v>0</v>
          </cell>
        </row>
        <row r="735">
          <cell r="N735">
            <v>13.957599999999999</v>
          </cell>
          <cell r="O735">
            <v>0</v>
          </cell>
        </row>
        <row r="736">
          <cell r="N736">
            <v>13.678400000000002</v>
          </cell>
          <cell r="O736">
            <v>0</v>
          </cell>
        </row>
        <row r="737">
          <cell r="N737">
            <v>15.009199999999998</v>
          </cell>
          <cell r="O737">
            <v>0</v>
          </cell>
        </row>
        <row r="738">
          <cell r="N738">
            <v>4.7652000000000001</v>
          </cell>
          <cell r="O738">
            <v>3.4023000000000003</v>
          </cell>
        </row>
        <row r="739">
          <cell r="N739">
            <v>6.0647999999999991</v>
          </cell>
          <cell r="O739">
            <v>4.3301999999999996</v>
          </cell>
        </row>
        <row r="740">
          <cell r="N740">
            <v>6.5392000000000001</v>
          </cell>
          <cell r="O740">
            <v>0</v>
          </cell>
        </row>
        <row r="741">
          <cell r="N741">
            <v>13.575199999999999</v>
          </cell>
          <cell r="O741">
            <v>0</v>
          </cell>
        </row>
        <row r="742">
          <cell r="N742">
            <v>13.575199999999999</v>
          </cell>
          <cell r="O742">
            <v>0</v>
          </cell>
        </row>
        <row r="743">
          <cell r="N743">
            <v>9.9980999999999991</v>
          </cell>
          <cell r="O743">
            <v>0</v>
          </cell>
        </row>
        <row r="744">
          <cell r="N744">
            <v>17.322800000000001</v>
          </cell>
          <cell r="O744">
            <v>0</v>
          </cell>
        </row>
        <row r="745">
          <cell r="N745">
            <v>17.761199999999999</v>
          </cell>
          <cell r="O745">
            <v>12.681299999999998</v>
          </cell>
        </row>
        <row r="746">
          <cell r="N746">
            <v>58.985199999999999</v>
          </cell>
          <cell r="O746">
            <v>0</v>
          </cell>
        </row>
        <row r="747">
          <cell r="N747">
            <v>19.877399999999998</v>
          </cell>
          <cell r="O747">
            <v>0</v>
          </cell>
        </row>
        <row r="748">
          <cell r="N748">
            <v>6.4859999999999998</v>
          </cell>
          <cell r="O748">
            <v>0</v>
          </cell>
        </row>
        <row r="749">
          <cell r="N749">
            <v>6.4375999999999998</v>
          </cell>
          <cell r="O749">
            <v>0</v>
          </cell>
        </row>
        <row r="750">
          <cell r="N750">
            <v>0.84500000000000008</v>
          </cell>
          <cell r="O750">
            <v>0</v>
          </cell>
        </row>
        <row r="751">
          <cell r="N751">
            <v>0</v>
          </cell>
          <cell r="O751">
            <v>0</v>
          </cell>
        </row>
        <row r="752">
          <cell r="N752">
            <v>0</v>
          </cell>
          <cell r="O752">
            <v>0</v>
          </cell>
        </row>
        <row r="753">
          <cell r="N753">
            <v>6.4375999999999998</v>
          </cell>
          <cell r="O753">
            <v>0</v>
          </cell>
        </row>
        <row r="754">
          <cell r="N754">
            <v>38.722800000000007</v>
          </cell>
          <cell r="O754">
            <v>0</v>
          </cell>
        </row>
        <row r="755">
          <cell r="N755">
            <v>4.5830400000000013</v>
          </cell>
          <cell r="O755">
            <v>0</v>
          </cell>
        </row>
        <row r="756">
          <cell r="N756">
            <v>7.8839200000000007</v>
          </cell>
          <cell r="O756">
            <v>0</v>
          </cell>
        </row>
        <row r="757">
          <cell r="N757">
            <v>3.8737600000000003</v>
          </cell>
          <cell r="O757">
            <v>0</v>
          </cell>
        </row>
        <row r="758">
          <cell r="N758">
            <v>19.4068</v>
          </cell>
          <cell r="O758">
            <v>0</v>
          </cell>
        </row>
        <row r="759">
          <cell r="N759">
            <v>15.009199999999998</v>
          </cell>
          <cell r="O759">
            <v>0</v>
          </cell>
        </row>
        <row r="760">
          <cell r="N760">
            <v>20.360399999999998</v>
          </cell>
          <cell r="O760">
            <v>14.537100000000001</v>
          </cell>
        </row>
        <row r="761">
          <cell r="N761">
            <v>5.1983999999999995</v>
          </cell>
          <cell r="O761">
            <v>3.7115999999999998</v>
          </cell>
        </row>
        <row r="762">
          <cell r="N762">
            <v>5.1983999999999995</v>
          </cell>
          <cell r="O762">
            <v>3.7115999999999998</v>
          </cell>
        </row>
        <row r="763">
          <cell r="N763">
            <v>9.9635999999999996</v>
          </cell>
          <cell r="O763">
            <v>7.1138999999999992</v>
          </cell>
        </row>
        <row r="764">
          <cell r="N764">
            <v>15.009199999999998</v>
          </cell>
          <cell r="O764">
            <v>0</v>
          </cell>
        </row>
        <row r="765">
          <cell r="N765">
            <v>9.5599999999999987</v>
          </cell>
          <cell r="O765">
            <v>0</v>
          </cell>
        </row>
        <row r="766">
          <cell r="N766">
            <v>3.7373600000000002</v>
          </cell>
          <cell r="O766">
            <v>0</v>
          </cell>
        </row>
        <row r="767">
          <cell r="N767">
            <v>11.6736</v>
          </cell>
          <cell r="O767">
            <v>0</v>
          </cell>
        </row>
        <row r="768">
          <cell r="N768">
            <v>3.3008800000000003</v>
          </cell>
          <cell r="O768">
            <v>0</v>
          </cell>
        </row>
        <row r="769">
          <cell r="N769">
            <v>3.1917600000000004</v>
          </cell>
          <cell r="O769">
            <v>0</v>
          </cell>
        </row>
        <row r="770">
          <cell r="N770">
            <v>16.3461</v>
          </cell>
          <cell r="O770">
            <v>0</v>
          </cell>
        </row>
        <row r="771">
          <cell r="N771">
            <v>13.4796</v>
          </cell>
          <cell r="O771">
            <v>0</v>
          </cell>
        </row>
        <row r="772">
          <cell r="N772">
            <v>3.901040000000001</v>
          </cell>
          <cell r="O772">
            <v>0</v>
          </cell>
        </row>
        <row r="773">
          <cell r="N773">
            <v>11.539440000000001</v>
          </cell>
          <cell r="O773">
            <v>0</v>
          </cell>
        </row>
        <row r="774">
          <cell r="N774">
            <v>7.829200000000001</v>
          </cell>
          <cell r="O774">
            <v>0</v>
          </cell>
        </row>
        <row r="775">
          <cell r="N775">
            <v>4.037440000000001</v>
          </cell>
          <cell r="O775">
            <v>0</v>
          </cell>
        </row>
        <row r="776">
          <cell r="N776">
            <v>10.103900000000001</v>
          </cell>
          <cell r="O776">
            <v>0</v>
          </cell>
        </row>
        <row r="777">
          <cell r="N777">
            <v>11.056099999999999</v>
          </cell>
          <cell r="O777">
            <v>0</v>
          </cell>
        </row>
        <row r="778">
          <cell r="N778">
            <v>3.1917600000000004</v>
          </cell>
          <cell r="O778">
            <v>0</v>
          </cell>
        </row>
        <row r="779">
          <cell r="N779">
            <v>5.4049999999999994</v>
          </cell>
          <cell r="O779">
            <v>0</v>
          </cell>
        </row>
        <row r="780">
          <cell r="N780">
            <v>1.6928000000000001</v>
          </cell>
          <cell r="O780">
            <v>0</v>
          </cell>
        </row>
        <row r="781">
          <cell r="N781">
            <v>17.761199999999999</v>
          </cell>
          <cell r="O781">
            <v>12.681299999999998</v>
          </cell>
        </row>
        <row r="782">
          <cell r="N782">
            <v>20.793599999999998</v>
          </cell>
          <cell r="O782">
            <v>14.846399999999999</v>
          </cell>
        </row>
        <row r="783">
          <cell r="N783">
            <v>5.6315999999999997</v>
          </cell>
          <cell r="O783">
            <v>4.0209000000000001</v>
          </cell>
        </row>
        <row r="784">
          <cell r="N784">
            <v>5.6315999999999997</v>
          </cell>
          <cell r="O784">
            <v>4.0209000000000001</v>
          </cell>
        </row>
        <row r="785">
          <cell r="N785">
            <v>29.922799999999999</v>
          </cell>
          <cell r="O785">
            <v>0</v>
          </cell>
        </row>
        <row r="786">
          <cell r="N786">
            <v>0</v>
          </cell>
          <cell r="O786">
            <v>0</v>
          </cell>
        </row>
        <row r="787">
          <cell r="N787">
            <v>2.3276000000000003</v>
          </cell>
          <cell r="O787">
            <v>0</v>
          </cell>
        </row>
        <row r="788">
          <cell r="N788">
            <v>2.6500000000000004</v>
          </cell>
          <cell r="O788">
            <v>0</v>
          </cell>
        </row>
        <row r="789">
          <cell r="N789">
            <v>13.575199999999999</v>
          </cell>
          <cell r="O789">
            <v>0</v>
          </cell>
        </row>
        <row r="790">
          <cell r="N790">
            <v>13.384</v>
          </cell>
          <cell r="O790">
            <v>0</v>
          </cell>
        </row>
        <row r="791">
          <cell r="N791">
            <v>13.575199999999999</v>
          </cell>
          <cell r="O791">
            <v>0</v>
          </cell>
        </row>
        <row r="792">
          <cell r="N792">
            <v>13.575199999999999</v>
          </cell>
          <cell r="O792">
            <v>0</v>
          </cell>
        </row>
        <row r="793">
          <cell r="N793">
            <v>49.458100000000002</v>
          </cell>
          <cell r="O793">
            <v>0</v>
          </cell>
        </row>
        <row r="794">
          <cell r="N794">
            <v>3.1917600000000004</v>
          </cell>
          <cell r="O794">
            <v>0</v>
          </cell>
        </row>
        <row r="795">
          <cell r="N795">
            <v>3.1917600000000004</v>
          </cell>
          <cell r="O795">
            <v>0</v>
          </cell>
        </row>
        <row r="796">
          <cell r="N796">
            <v>11.186</v>
          </cell>
          <cell r="O796">
            <v>0</v>
          </cell>
        </row>
        <row r="797">
          <cell r="N797">
            <v>33.644400000000005</v>
          </cell>
          <cell r="O797">
            <v>0</v>
          </cell>
        </row>
        <row r="798">
          <cell r="N798">
            <v>34.577400000000004</v>
          </cell>
          <cell r="O798">
            <v>0</v>
          </cell>
        </row>
        <row r="799">
          <cell r="N799">
            <v>0</v>
          </cell>
          <cell r="O799">
            <v>0</v>
          </cell>
        </row>
        <row r="800">
          <cell r="N800">
            <v>0</v>
          </cell>
          <cell r="O800">
            <v>0</v>
          </cell>
        </row>
        <row r="801">
          <cell r="N801">
            <v>13.575199999999999</v>
          </cell>
          <cell r="O801">
            <v>0</v>
          </cell>
        </row>
        <row r="802">
          <cell r="N802">
            <v>22.852800000000002</v>
          </cell>
          <cell r="O802">
            <v>0</v>
          </cell>
        </row>
        <row r="803">
          <cell r="N803">
            <v>13.575199999999999</v>
          </cell>
          <cell r="O803">
            <v>0</v>
          </cell>
        </row>
        <row r="804">
          <cell r="N804">
            <v>7.9794</v>
          </cell>
          <cell r="O804">
            <v>0</v>
          </cell>
        </row>
        <row r="805">
          <cell r="N805">
            <v>5.4989999999999997</v>
          </cell>
          <cell r="O805">
            <v>0</v>
          </cell>
        </row>
        <row r="806">
          <cell r="N806">
            <v>10.707199999999998</v>
          </cell>
          <cell r="O806">
            <v>0</v>
          </cell>
        </row>
        <row r="807">
          <cell r="N807">
            <v>7.3643999999999998</v>
          </cell>
          <cell r="O807">
            <v>5.2580999999999998</v>
          </cell>
        </row>
        <row r="808">
          <cell r="N808">
            <v>7.3643999999999998</v>
          </cell>
          <cell r="O808">
            <v>5.2580999999999998</v>
          </cell>
        </row>
        <row r="809">
          <cell r="N809">
            <v>1.6562000000000003</v>
          </cell>
          <cell r="O809">
            <v>0</v>
          </cell>
        </row>
        <row r="810">
          <cell r="N810">
            <v>9.2731999999999992</v>
          </cell>
          <cell r="O810">
            <v>0</v>
          </cell>
        </row>
        <row r="811">
          <cell r="N811">
            <v>27.724</v>
          </cell>
          <cell r="O811">
            <v>0</v>
          </cell>
        </row>
        <row r="812">
          <cell r="N812">
            <v>13.575199999999999</v>
          </cell>
          <cell r="O812">
            <v>0</v>
          </cell>
        </row>
        <row r="813">
          <cell r="N813">
            <v>2.0495999999999999</v>
          </cell>
          <cell r="O813">
            <v>0</v>
          </cell>
        </row>
        <row r="814">
          <cell r="N814">
            <v>0.76050000000000006</v>
          </cell>
          <cell r="O814">
            <v>0</v>
          </cell>
        </row>
        <row r="815">
          <cell r="N815">
            <v>4.7058000000000009</v>
          </cell>
          <cell r="O815">
            <v>0</v>
          </cell>
        </row>
        <row r="816">
          <cell r="N816">
            <v>13.343700000000002</v>
          </cell>
          <cell r="O816">
            <v>0</v>
          </cell>
        </row>
        <row r="817">
          <cell r="N817">
            <v>0.5746</v>
          </cell>
          <cell r="O817">
            <v>0</v>
          </cell>
        </row>
        <row r="818">
          <cell r="N818">
            <v>13.957599999999999</v>
          </cell>
          <cell r="O818">
            <v>0</v>
          </cell>
        </row>
        <row r="819">
          <cell r="N819">
            <v>15.009199999999998</v>
          </cell>
          <cell r="O819">
            <v>0</v>
          </cell>
        </row>
        <row r="820">
          <cell r="N820">
            <v>29.457599999999999</v>
          </cell>
          <cell r="O820">
            <v>21.032399999999999</v>
          </cell>
        </row>
        <row r="821">
          <cell r="N821">
            <v>6.4979999999999993</v>
          </cell>
          <cell r="O821">
            <v>4.6395</v>
          </cell>
        </row>
        <row r="822">
          <cell r="N822">
            <v>6.4979999999999993</v>
          </cell>
          <cell r="O822">
            <v>4.6395</v>
          </cell>
        </row>
        <row r="823">
          <cell r="N823">
            <v>22.752800000000001</v>
          </cell>
          <cell r="O823">
            <v>0</v>
          </cell>
        </row>
        <row r="824">
          <cell r="N824">
            <v>11.95</v>
          </cell>
          <cell r="O824">
            <v>0</v>
          </cell>
        </row>
        <row r="825">
          <cell r="N825">
            <v>11.185199999999998</v>
          </cell>
          <cell r="O825">
            <v>0</v>
          </cell>
        </row>
        <row r="826">
          <cell r="N826">
            <v>15.076500000000001</v>
          </cell>
          <cell r="O826">
            <v>0</v>
          </cell>
        </row>
        <row r="827">
          <cell r="N827">
            <v>15.009199999999998</v>
          </cell>
          <cell r="O827">
            <v>0</v>
          </cell>
        </row>
        <row r="828">
          <cell r="N828">
            <v>14.435599999999999</v>
          </cell>
          <cell r="O828">
            <v>0</v>
          </cell>
        </row>
        <row r="829">
          <cell r="N829">
            <v>23.9956</v>
          </cell>
          <cell r="O829">
            <v>0</v>
          </cell>
        </row>
        <row r="830">
          <cell r="N830">
            <v>13.957599999999999</v>
          </cell>
          <cell r="O830">
            <v>0</v>
          </cell>
        </row>
        <row r="831">
          <cell r="N831">
            <v>28.68</v>
          </cell>
          <cell r="O831">
            <v>0</v>
          </cell>
        </row>
        <row r="832">
          <cell r="N832">
            <v>9.9452000000000016</v>
          </cell>
          <cell r="O832">
            <v>0</v>
          </cell>
        </row>
        <row r="833">
          <cell r="N833">
            <v>16.156399999999998</v>
          </cell>
          <cell r="O833">
            <v>0</v>
          </cell>
        </row>
        <row r="834">
          <cell r="N834">
            <v>15.0236</v>
          </cell>
          <cell r="O834">
            <v>0</v>
          </cell>
        </row>
        <row r="835">
          <cell r="N835">
            <v>7.3042000000000007</v>
          </cell>
          <cell r="O835">
            <v>0</v>
          </cell>
        </row>
        <row r="836">
          <cell r="N836">
            <v>0.76050000000000006</v>
          </cell>
          <cell r="O836">
            <v>0</v>
          </cell>
        </row>
        <row r="837">
          <cell r="N837">
            <v>0</v>
          </cell>
          <cell r="O837">
            <v>0</v>
          </cell>
        </row>
        <row r="838">
          <cell r="N838">
            <v>0</v>
          </cell>
          <cell r="O838">
            <v>0</v>
          </cell>
        </row>
        <row r="839">
          <cell r="N839">
            <v>6.3757000000000001</v>
          </cell>
          <cell r="O839">
            <v>0</v>
          </cell>
        </row>
        <row r="840">
          <cell r="N840">
            <v>24.598500000000001</v>
          </cell>
          <cell r="O840">
            <v>0</v>
          </cell>
        </row>
        <row r="841">
          <cell r="N841">
            <v>6.5329999999999995</v>
          </cell>
          <cell r="O841">
            <v>0</v>
          </cell>
        </row>
        <row r="842">
          <cell r="N842">
            <v>3.1917600000000004</v>
          </cell>
          <cell r="O842">
            <v>0</v>
          </cell>
        </row>
        <row r="843">
          <cell r="N843">
            <v>3.1917600000000004</v>
          </cell>
          <cell r="O843">
            <v>0</v>
          </cell>
        </row>
        <row r="844">
          <cell r="N844">
            <v>13.097199999999999</v>
          </cell>
          <cell r="O844">
            <v>0</v>
          </cell>
        </row>
        <row r="845">
          <cell r="N845">
            <v>7.9348000000000001</v>
          </cell>
          <cell r="O845">
            <v>0</v>
          </cell>
        </row>
        <row r="846">
          <cell r="N846">
            <v>15.678399999999998</v>
          </cell>
          <cell r="O846">
            <v>0</v>
          </cell>
        </row>
        <row r="847">
          <cell r="N847">
            <v>32.923199999999994</v>
          </cell>
          <cell r="O847">
            <v>23.506799999999998</v>
          </cell>
        </row>
        <row r="848">
          <cell r="N848">
            <v>6.0647999999999991</v>
          </cell>
          <cell r="O848">
            <v>4.3301999999999996</v>
          </cell>
        </row>
        <row r="849">
          <cell r="N849">
            <v>5.6315999999999997</v>
          </cell>
          <cell r="O849">
            <v>4.0209000000000001</v>
          </cell>
        </row>
        <row r="850">
          <cell r="N850">
            <v>1.7914000000000001</v>
          </cell>
          <cell r="O850">
            <v>0</v>
          </cell>
        </row>
        <row r="851">
          <cell r="N851">
            <v>13.629999999999999</v>
          </cell>
          <cell r="O851">
            <v>0</v>
          </cell>
        </row>
        <row r="852">
          <cell r="N852">
            <v>28.201999999999998</v>
          </cell>
          <cell r="O852">
            <v>0</v>
          </cell>
        </row>
        <row r="853">
          <cell r="N853">
            <v>9.9452000000000016</v>
          </cell>
          <cell r="O853">
            <v>0</v>
          </cell>
        </row>
        <row r="854">
          <cell r="N854">
            <v>10.707199999999998</v>
          </cell>
          <cell r="O854">
            <v>0</v>
          </cell>
        </row>
        <row r="855">
          <cell r="N855">
            <v>9.5599999999999987</v>
          </cell>
          <cell r="O855">
            <v>0</v>
          </cell>
        </row>
        <row r="856">
          <cell r="N856">
            <v>8.7951999999999995</v>
          </cell>
          <cell r="O856">
            <v>0</v>
          </cell>
        </row>
        <row r="857">
          <cell r="N857">
            <v>13.013400000000001</v>
          </cell>
          <cell r="O857">
            <v>0</v>
          </cell>
        </row>
        <row r="858">
          <cell r="N858">
            <v>3.3008800000000003</v>
          </cell>
          <cell r="O858">
            <v>0</v>
          </cell>
        </row>
        <row r="859">
          <cell r="N859">
            <v>3.1917600000000004</v>
          </cell>
          <cell r="O859">
            <v>0</v>
          </cell>
        </row>
        <row r="860">
          <cell r="N860">
            <v>15.076500000000001</v>
          </cell>
          <cell r="O860">
            <v>0</v>
          </cell>
        </row>
        <row r="861">
          <cell r="N861">
            <v>51.561900000000009</v>
          </cell>
          <cell r="O861">
            <v>0</v>
          </cell>
        </row>
        <row r="862">
          <cell r="N862">
            <v>0</v>
          </cell>
          <cell r="O862">
            <v>0</v>
          </cell>
        </row>
        <row r="863">
          <cell r="N863">
            <v>0</v>
          </cell>
          <cell r="O863">
            <v>0</v>
          </cell>
        </row>
        <row r="864">
          <cell r="N864">
            <v>0</v>
          </cell>
          <cell r="O864">
            <v>0</v>
          </cell>
        </row>
        <row r="865">
          <cell r="N865">
            <v>3.6630000000000003</v>
          </cell>
          <cell r="O865">
            <v>0</v>
          </cell>
        </row>
        <row r="866">
          <cell r="N866">
            <v>2.0630999999999999</v>
          </cell>
          <cell r="O866">
            <v>0</v>
          </cell>
        </row>
        <row r="867">
          <cell r="N867">
            <v>9.6278000000000006</v>
          </cell>
          <cell r="O867">
            <v>0</v>
          </cell>
        </row>
        <row r="868">
          <cell r="N868">
            <v>42.993600000000001</v>
          </cell>
          <cell r="O868">
            <v>0</v>
          </cell>
        </row>
        <row r="869">
          <cell r="N869">
            <v>36.001999999999995</v>
          </cell>
          <cell r="O869">
            <v>0</v>
          </cell>
        </row>
        <row r="870">
          <cell r="N870">
            <v>5.64</v>
          </cell>
          <cell r="O870">
            <v>0</v>
          </cell>
        </row>
        <row r="871">
          <cell r="N871">
            <v>4.4739200000000006</v>
          </cell>
          <cell r="O871">
            <v>0</v>
          </cell>
        </row>
        <row r="872">
          <cell r="N872">
            <v>4.3648000000000007</v>
          </cell>
          <cell r="O872">
            <v>0</v>
          </cell>
        </row>
        <row r="873">
          <cell r="N873">
            <v>5.2104800000000013</v>
          </cell>
          <cell r="O873">
            <v>0</v>
          </cell>
        </row>
        <row r="874">
          <cell r="N874">
            <v>1.6562000000000003</v>
          </cell>
          <cell r="O874">
            <v>0</v>
          </cell>
        </row>
        <row r="875">
          <cell r="N875">
            <v>5.6315999999999997</v>
          </cell>
          <cell r="O875">
            <v>8.0418000000000003</v>
          </cell>
        </row>
        <row r="876">
          <cell r="N876">
            <v>5.6315999999999997</v>
          </cell>
          <cell r="O876">
            <v>8.0418000000000003</v>
          </cell>
        </row>
        <row r="877">
          <cell r="N877">
            <v>6.9312000000000005</v>
          </cell>
          <cell r="O877">
            <v>9.8976000000000006</v>
          </cell>
        </row>
        <row r="878">
          <cell r="N878">
            <v>6.9312000000000005</v>
          </cell>
          <cell r="O878">
            <v>9.8976000000000006</v>
          </cell>
        </row>
        <row r="879">
          <cell r="N879">
            <v>17.509900000000002</v>
          </cell>
          <cell r="O879">
            <v>0</v>
          </cell>
        </row>
        <row r="880">
          <cell r="N880">
            <v>11.758800000000001</v>
          </cell>
          <cell r="O880">
            <v>0</v>
          </cell>
        </row>
        <row r="881">
          <cell r="N881">
            <v>3.3554400000000006</v>
          </cell>
          <cell r="O881">
            <v>0</v>
          </cell>
        </row>
        <row r="882">
          <cell r="N882">
            <v>12.619199999999999</v>
          </cell>
          <cell r="O882">
            <v>0</v>
          </cell>
        </row>
        <row r="883">
          <cell r="N883">
            <v>8.3171999999999997</v>
          </cell>
          <cell r="O883">
            <v>0</v>
          </cell>
        </row>
        <row r="884">
          <cell r="N884">
            <v>14.664</v>
          </cell>
          <cell r="O884">
            <v>0</v>
          </cell>
        </row>
        <row r="885">
          <cell r="N885">
            <v>0</v>
          </cell>
          <cell r="O885">
            <v>0</v>
          </cell>
        </row>
        <row r="886">
          <cell r="N886">
            <v>11.95</v>
          </cell>
          <cell r="O886">
            <v>0</v>
          </cell>
        </row>
        <row r="887">
          <cell r="N887">
            <v>10.994</v>
          </cell>
          <cell r="O887">
            <v>0</v>
          </cell>
        </row>
        <row r="888">
          <cell r="N888">
            <v>12.1412</v>
          </cell>
          <cell r="O888">
            <v>0</v>
          </cell>
        </row>
        <row r="889">
          <cell r="N889">
            <v>13.1928</v>
          </cell>
          <cell r="O889">
            <v>0</v>
          </cell>
        </row>
        <row r="890">
          <cell r="N890">
            <v>54.014400000000009</v>
          </cell>
          <cell r="O890">
            <v>0</v>
          </cell>
        </row>
        <row r="891">
          <cell r="N891">
            <v>16.913600000000002</v>
          </cell>
          <cell r="O891">
            <v>0</v>
          </cell>
        </row>
        <row r="892">
          <cell r="N892">
            <v>7.0969999999999995</v>
          </cell>
          <cell r="O892">
            <v>0</v>
          </cell>
        </row>
        <row r="893">
          <cell r="N893">
            <v>15.582800000000001</v>
          </cell>
          <cell r="O893">
            <v>0</v>
          </cell>
        </row>
        <row r="894">
          <cell r="N894">
            <v>5.6315999999999997</v>
          </cell>
          <cell r="O894">
            <v>8.0418000000000003</v>
          </cell>
        </row>
        <row r="895">
          <cell r="N895">
            <v>5.6315999999999997</v>
          </cell>
          <cell r="O895">
            <v>8.0418000000000003</v>
          </cell>
        </row>
        <row r="896">
          <cell r="N896">
            <v>9.5981000000000005</v>
          </cell>
          <cell r="O896">
            <v>0</v>
          </cell>
        </row>
        <row r="897">
          <cell r="N897">
            <v>14.7288</v>
          </cell>
          <cell r="O897">
            <v>21.032399999999999</v>
          </cell>
        </row>
        <row r="898">
          <cell r="N898">
            <v>5.6315999999999997</v>
          </cell>
          <cell r="O898">
            <v>8.0418000000000003</v>
          </cell>
        </row>
        <row r="899">
          <cell r="N899">
            <v>46.461599999999997</v>
          </cell>
          <cell r="O899">
            <v>0</v>
          </cell>
        </row>
        <row r="900">
          <cell r="N900">
            <v>49.425200000000004</v>
          </cell>
          <cell r="O900">
            <v>0</v>
          </cell>
        </row>
        <row r="901">
          <cell r="N901">
            <v>9.9452000000000016</v>
          </cell>
          <cell r="O901">
            <v>0</v>
          </cell>
        </row>
        <row r="902">
          <cell r="N902">
            <v>2.9405999999999999</v>
          </cell>
          <cell r="O902">
            <v>0</v>
          </cell>
        </row>
        <row r="903">
          <cell r="N903">
            <v>8.7023200000000003</v>
          </cell>
          <cell r="O903">
            <v>0</v>
          </cell>
        </row>
        <row r="904">
          <cell r="N904">
            <v>10.707199999999998</v>
          </cell>
          <cell r="O904">
            <v>0</v>
          </cell>
        </row>
        <row r="905">
          <cell r="N905">
            <v>12.045599999999999</v>
          </cell>
          <cell r="O905">
            <v>0</v>
          </cell>
        </row>
        <row r="906">
          <cell r="N906">
            <v>0</v>
          </cell>
          <cell r="O906">
            <v>0</v>
          </cell>
        </row>
        <row r="907">
          <cell r="N907">
            <v>0</v>
          </cell>
          <cell r="O907">
            <v>0</v>
          </cell>
        </row>
        <row r="908">
          <cell r="N908">
            <v>14.2301</v>
          </cell>
          <cell r="O908">
            <v>0</v>
          </cell>
        </row>
        <row r="909">
          <cell r="N909">
            <v>11.185199999999998</v>
          </cell>
          <cell r="O909">
            <v>0</v>
          </cell>
        </row>
        <row r="910">
          <cell r="N910">
            <v>10.229199999999999</v>
          </cell>
          <cell r="O910">
            <v>0</v>
          </cell>
        </row>
        <row r="911">
          <cell r="N911">
            <v>10.229199999999999</v>
          </cell>
          <cell r="O911">
            <v>0</v>
          </cell>
        </row>
        <row r="912">
          <cell r="N912">
            <v>5.9777000000000005</v>
          </cell>
          <cell r="O912">
            <v>0</v>
          </cell>
        </row>
        <row r="913">
          <cell r="N913">
            <v>3.7283999999999997</v>
          </cell>
          <cell r="O913">
            <v>0</v>
          </cell>
        </row>
        <row r="914">
          <cell r="N914">
            <v>3.6327999999999996</v>
          </cell>
          <cell r="O914">
            <v>0</v>
          </cell>
        </row>
        <row r="915">
          <cell r="N915">
            <v>5.1703999999999999</v>
          </cell>
          <cell r="O915">
            <v>0</v>
          </cell>
        </row>
        <row r="916">
          <cell r="N916">
            <v>3.1644800000000002</v>
          </cell>
          <cell r="O916">
            <v>0</v>
          </cell>
        </row>
        <row r="917">
          <cell r="N917">
            <v>25.255199999999999</v>
          </cell>
          <cell r="O917">
            <v>0</v>
          </cell>
        </row>
        <row r="918">
          <cell r="N918">
            <v>10.433999999999999</v>
          </cell>
          <cell r="O918">
            <v>0</v>
          </cell>
        </row>
        <row r="919">
          <cell r="N919">
            <v>13.1928</v>
          </cell>
          <cell r="O919">
            <v>0</v>
          </cell>
        </row>
        <row r="920">
          <cell r="N920">
            <v>3.3554400000000006</v>
          </cell>
          <cell r="O920">
            <v>0</v>
          </cell>
        </row>
        <row r="921">
          <cell r="N921">
            <v>11.758800000000001</v>
          </cell>
          <cell r="O921">
            <v>0</v>
          </cell>
        </row>
        <row r="922">
          <cell r="N922">
            <v>11.95</v>
          </cell>
          <cell r="O922">
            <v>0</v>
          </cell>
        </row>
        <row r="923">
          <cell r="N923">
            <v>5.9689999999999994</v>
          </cell>
          <cell r="O923">
            <v>0</v>
          </cell>
        </row>
        <row r="924">
          <cell r="N924">
            <v>17.9664</v>
          </cell>
          <cell r="O924">
            <v>0</v>
          </cell>
        </row>
        <row r="925">
          <cell r="N925">
            <v>40.5214</v>
          </cell>
          <cell r="O925">
            <v>0</v>
          </cell>
        </row>
        <row r="926">
          <cell r="N926">
            <v>31.1904</v>
          </cell>
          <cell r="O926">
            <v>44.539200000000001</v>
          </cell>
        </row>
        <row r="927">
          <cell r="N927">
            <v>6.0647999999999991</v>
          </cell>
          <cell r="O927">
            <v>8.6603999999999992</v>
          </cell>
        </row>
        <row r="928">
          <cell r="N928">
            <v>8.6639999999999997</v>
          </cell>
          <cell r="O928">
            <v>12.372</v>
          </cell>
        </row>
        <row r="929">
          <cell r="N929">
            <v>6.9312000000000005</v>
          </cell>
          <cell r="O929">
            <v>9.8976000000000006</v>
          </cell>
        </row>
        <row r="930">
          <cell r="N930">
            <v>9.0972000000000008</v>
          </cell>
          <cell r="O930">
            <v>12.990600000000001</v>
          </cell>
        </row>
        <row r="931">
          <cell r="N931">
            <v>5.6315999999999997</v>
          </cell>
          <cell r="O931">
            <v>8.0418000000000003</v>
          </cell>
        </row>
        <row r="932">
          <cell r="N932">
            <v>10.83</v>
          </cell>
          <cell r="O932">
            <v>15.465</v>
          </cell>
        </row>
        <row r="933">
          <cell r="N933">
            <v>5.6315999999999997</v>
          </cell>
          <cell r="O933">
            <v>8.0418000000000003</v>
          </cell>
        </row>
        <row r="934">
          <cell r="N934">
            <v>9.0972000000000008</v>
          </cell>
          <cell r="O934">
            <v>12.990600000000001</v>
          </cell>
        </row>
        <row r="935">
          <cell r="N935">
            <v>0.59150000000000003</v>
          </cell>
          <cell r="O935">
            <v>0</v>
          </cell>
        </row>
        <row r="936">
          <cell r="N936">
            <v>5.6315999999999997</v>
          </cell>
          <cell r="O936">
            <v>8.0418000000000003</v>
          </cell>
        </row>
        <row r="937">
          <cell r="N937">
            <v>77.932100000000005</v>
          </cell>
          <cell r="O937">
            <v>0</v>
          </cell>
        </row>
        <row r="938">
          <cell r="N938">
            <v>21.001300000000004</v>
          </cell>
          <cell r="O938">
            <v>0</v>
          </cell>
        </row>
        <row r="939">
          <cell r="N939">
            <v>20.399999999999999</v>
          </cell>
          <cell r="O939">
            <v>0</v>
          </cell>
        </row>
        <row r="940">
          <cell r="N940">
            <v>98.916200000000003</v>
          </cell>
          <cell r="O940">
            <v>0</v>
          </cell>
        </row>
        <row r="941">
          <cell r="N941">
            <v>4.0043999999999995</v>
          </cell>
          <cell r="O941">
            <v>0</v>
          </cell>
        </row>
        <row r="942">
          <cell r="N942">
            <v>4.3940000000000001</v>
          </cell>
          <cell r="O942">
            <v>0</v>
          </cell>
        </row>
        <row r="943">
          <cell r="N943">
            <v>26.1218</v>
          </cell>
          <cell r="O943">
            <v>0</v>
          </cell>
        </row>
        <row r="944">
          <cell r="N944">
            <v>4.2556800000000008</v>
          </cell>
          <cell r="O944">
            <v>0</v>
          </cell>
        </row>
        <row r="945">
          <cell r="N945">
            <v>11.95</v>
          </cell>
          <cell r="O945">
            <v>0</v>
          </cell>
        </row>
        <row r="946">
          <cell r="N946">
            <v>11.567599999999999</v>
          </cell>
          <cell r="O946">
            <v>0</v>
          </cell>
        </row>
        <row r="947">
          <cell r="N947">
            <v>11.95</v>
          </cell>
          <cell r="O947">
            <v>0</v>
          </cell>
        </row>
        <row r="948">
          <cell r="N948">
            <v>15.487199999999998</v>
          </cell>
          <cell r="O948">
            <v>0</v>
          </cell>
        </row>
        <row r="949">
          <cell r="N949">
            <v>15.678399999999998</v>
          </cell>
          <cell r="O949">
            <v>0</v>
          </cell>
        </row>
        <row r="950">
          <cell r="N950">
            <v>61.311100000000003</v>
          </cell>
          <cell r="O950">
            <v>0</v>
          </cell>
        </row>
        <row r="951">
          <cell r="N951">
            <v>9.3059999999999992</v>
          </cell>
          <cell r="O951">
            <v>0</v>
          </cell>
        </row>
        <row r="952">
          <cell r="N952">
            <v>6.0629999999999997</v>
          </cell>
          <cell r="O952">
            <v>0</v>
          </cell>
        </row>
        <row r="953">
          <cell r="N953">
            <v>9.8468</v>
          </cell>
          <cell r="O953">
            <v>0</v>
          </cell>
        </row>
        <row r="954">
          <cell r="N954">
            <v>15.3916</v>
          </cell>
          <cell r="O954">
            <v>0</v>
          </cell>
        </row>
        <row r="955">
          <cell r="N955">
            <v>6.5439999999999996</v>
          </cell>
          <cell r="O955">
            <v>0</v>
          </cell>
        </row>
        <row r="956">
          <cell r="N956">
            <v>6.1184000000000003</v>
          </cell>
          <cell r="O956">
            <v>0</v>
          </cell>
        </row>
        <row r="957">
          <cell r="N957">
            <v>38.526799999999994</v>
          </cell>
          <cell r="O957">
            <v>0</v>
          </cell>
        </row>
        <row r="958">
          <cell r="N958">
            <v>11.9391</v>
          </cell>
          <cell r="O958">
            <v>0</v>
          </cell>
        </row>
        <row r="959">
          <cell r="N959">
            <v>0.65910000000000002</v>
          </cell>
          <cell r="O959">
            <v>0</v>
          </cell>
        </row>
        <row r="960">
          <cell r="N960">
            <v>0</v>
          </cell>
          <cell r="O960">
            <v>0</v>
          </cell>
        </row>
        <row r="961">
          <cell r="N961">
            <v>0</v>
          </cell>
          <cell r="O961">
            <v>0</v>
          </cell>
        </row>
        <row r="962">
          <cell r="N962">
            <v>19.6416</v>
          </cell>
          <cell r="O962">
            <v>0</v>
          </cell>
        </row>
        <row r="963">
          <cell r="N963">
            <v>15.650999999999998</v>
          </cell>
          <cell r="O963">
            <v>0</v>
          </cell>
        </row>
        <row r="964">
          <cell r="N964">
            <v>3.0739999999999998</v>
          </cell>
          <cell r="O964">
            <v>0</v>
          </cell>
        </row>
        <row r="965">
          <cell r="N965">
            <v>0.42250000000000004</v>
          </cell>
          <cell r="O965">
            <v>0</v>
          </cell>
        </row>
        <row r="966">
          <cell r="N966">
            <v>26.742399999999996</v>
          </cell>
          <cell r="O966">
            <v>0</v>
          </cell>
        </row>
        <row r="967">
          <cell r="N967">
            <v>5.25</v>
          </cell>
          <cell r="O967">
            <v>0</v>
          </cell>
        </row>
        <row r="968">
          <cell r="N968">
            <v>19.787200000000002</v>
          </cell>
          <cell r="O968">
            <v>0</v>
          </cell>
        </row>
        <row r="969">
          <cell r="N969">
            <v>145.83020999999999</v>
          </cell>
          <cell r="O969">
            <v>0</v>
          </cell>
        </row>
        <row r="970">
          <cell r="N970">
            <v>0</v>
          </cell>
          <cell r="O970">
            <v>0</v>
          </cell>
        </row>
        <row r="971">
          <cell r="N971">
            <v>0</v>
          </cell>
          <cell r="O971">
            <v>0</v>
          </cell>
        </row>
        <row r="972">
          <cell r="N972">
            <v>0</v>
          </cell>
          <cell r="O972">
            <v>0</v>
          </cell>
        </row>
        <row r="973">
          <cell r="N973">
            <v>0</v>
          </cell>
          <cell r="O973">
            <v>0</v>
          </cell>
        </row>
        <row r="974">
          <cell r="N974">
            <v>18.409199999999998</v>
          </cell>
          <cell r="O974">
            <v>0</v>
          </cell>
        </row>
        <row r="975">
          <cell r="N975">
            <v>17.692799999999998</v>
          </cell>
          <cell r="O975">
            <v>0</v>
          </cell>
        </row>
        <row r="976">
          <cell r="N976">
            <v>5.6315999999999997</v>
          </cell>
          <cell r="O976">
            <v>8.0418000000000003</v>
          </cell>
        </row>
        <row r="977">
          <cell r="N977">
            <v>5.1983999999999995</v>
          </cell>
          <cell r="O977">
            <v>7.4231999999999996</v>
          </cell>
        </row>
        <row r="978">
          <cell r="N978">
            <v>5.6315999999999997</v>
          </cell>
          <cell r="O978">
            <v>8.0418000000000003</v>
          </cell>
        </row>
        <row r="979">
          <cell r="N979">
            <v>5.1983999999999995</v>
          </cell>
          <cell r="O979">
            <v>7.4231999999999996</v>
          </cell>
        </row>
        <row r="980">
          <cell r="N980">
            <v>5.1623999999999999</v>
          </cell>
          <cell r="O980">
            <v>0</v>
          </cell>
        </row>
        <row r="981">
          <cell r="N981">
            <v>5.1983999999999995</v>
          </cell>
          <cell r="O981">
            <v>7.4231999999999996</v>
          </cell>
        </row>
        <row r="982">
          <cell r="N982">
            <v>5.1983999999999995</v>
          </cell>
          <cell r="O982">
            <v>7.4231999999999996</v>
          </cell>
        </row>
        <row r="983">
          <cell r="N983">
            <v>18.627599999999997</v>
          </cell>
          <cell r="O983">
            <v>26.599799999999998</v>
          </cell>
        </row>
        <row r="984">
          <cell r="N984">
            <v>5.1983999999999995</v>
          </cell>
          <cell r="O984">
            <v>7.4231999999999996</v>
          </cell>
        </row>
        <row r="985">
          <cell r="N985">
            <v>5.1983999999999995</v>
          </cell>
          <cell r="O985">
            <v>7.4231999999999996</v>
          </cell>
        </row>
        <row r="986">
          <cell r="N986">
            <v>9.0972000000000008</v>
          </cell>
          <cell r="O986">
            <v>12.990600000000001</v>
          </cell>
        </row>
        <row r="987">
          <cell r="N987">
            <v>5.1983999999999995</v>
          </cell>
          <cell r="O987">
            <v>7.4231999999999996</v>
          </cell>
        </row>
        <row r="988">
          <cell r="N988">
            <v>11.263199999999999</v>
          </cell>
          <cell r="O988">
            <v>16.083600000000001</v>
          </cell>
        </row>
        <row r="989">
          <cell r="N989">
            <v>5.1983999999999995</v>
          </cell>
          <cell r="O989">
            <v>7.4231999999999996</v>
          </cell>
        </row>
        <row r="990">
          <cell r="N990">
            <v>22.093199999999996</v>
          </cell>
          <cell r="O990">
            <v>31.548599999999997</v>
          </cell>
        </row>
        <row r="991">
          <cell r="N991">
            <v>2.3733600000000004</v>
          </cell>
          <cell r="O991">
            <v>0</v>
          </cell>
        </row>
        <row r="992">
          <cell r="N992">
            <v>12.325700000000001</v>
          </cell>
          <cell r="O992">
            <v>0</v>
          </cell>
        </row>
        <row r="993">
          <cell r="N993">
            <v>2.8371200000000005</v>
          </cell>
          <cell r="O993">
            <v>0</v>
          </cell>
        </row>
        <row r="994">
          <cell r="N994">
            <v>7.613999999999999</v>
          </cell>
          <cell r="O994">
            <v>0</v>
          </cell>
        </row>
        <row r="995">
          <cell r="N995">
            <v>16.5044</v>
          </cell>
          <cell r="O995">
            <v>0</v>
          </cell>
        </row>
        <row r="996">
          <cell r="N996">
            <v>11.663199999999998</v>
          </cell>
          <cell r="O996">
            <v>0</v>
          </cell>
        </row>
        <row r="997">
          <cell r="N997">
            <v>9.4643999999999995</v>
          </cell>
          <cell r="O997">
            <v>0</v>
          </cell>
        </row>
        <row r="998">
          <cell r="N998">
            <v>16.156399999999998</v>
          </cell>
          <cell r="O998">
            <v>0</v>
          </cell>
        </row>
        <row r="999">
          <cell r="N999">
            <v>25.379000000000001</v>
          </cell>
          <cell r="O999">
            <v>0</v>
          </cell>
        </row>
        <row r="1000">
          <cell r="N1000">
            <v>14.913599999999999</v>
          </cell>
          <cell r="O1000">
            <v>0</v>
          </cell>
        </row>
        <row r="1001">
          <cell r="N1001">
            <v>11.8544</v>
          </cell>
          <cell r="O1001">
            <v>0</v>
          </cell>
        </row>
        <row r="1002">
          <cell r="N1002">
            <v>15.678399999999998</v>
          </cell>
          <cell r="O1002">
            <v>0</v>
          </cell>
        </row>
        <row r="1003">
          <cell r="N1003">
            <v>13.1928</v>
          </cell>
          <cell r="O1003">
            <v>0</v>
          </cell>
        </row>
        <row r="1004">
          <cell r="N1004">
            <v>11.567599999999999</v>
          </cell>
          <cell r="O1004">
            <v>0</v>
          </cell>
        </row>
        <row r="1005">
          <cell r="N1005">
            <v>11.95</v>
          </cell>
          <cell r="O1005">
            <v>0</v>
          </cell>
        </row>
        <row r="1006">
          <cell r="N1006">
            <v>19.311199999999999</v>
          </cell>
          <cell r="O1006">
            <v>0</v>
          </cell>
        </row>
        <row r="1007">
          <cell r="N1007">
            <v>5.875</v>
          </cell>
          <cell r="O1007">
            <v>0</v>
          </cell>
        </row>
        <row r="1008">
          <cell r="N1008">
            <v>3.3554400000000006</v>
          </cell>
          <cell r="O1008">
            <v>0</v>
          </cell>
        </row>
        <row r="1009">
          <cell r="N1009">
            <v>27.825400000000002</v>
          </cell>
          <cell r="O1009">
            <v>0</v>
          </cell>
        </row>
        <row r="1010">
          <cell r="N1010">
            <v>12.7148</v>
          </cell>
          <cell r="O1010">
            <v>0</v>
          </cell>
        </row>
        <row r="1011">
          <cell r="N1011">
            <v>12.619199999999999</v>
          </cell>
          <cell r="O1011">
            <v>0</v>
          </cell>
        </row>
        <row r="1012">
          <cell r="N1012">
            <v>12.427999999999999</v>
          </cell>
          <cell r="O1012">
            <v>0</v>
          </cell>
        </row>
        <row r="1013">
          <cell r="N1013">
            <v>12.523599999999998</v>
          </cell>
          <cell r="O1013">
            <v>0</v>
          </cell>
        </row>
        <row r="1014">
          <cell r="N1014">
            <v>12.125999999999999</v>
          </cell>
          <cell r="O1014">
            <v>0</v>
          </cell>
        </row>
        <row r="1015">
          <cell r="N1015">
            <v>1.363</v>
          </cell>
          <cell r="O1015">
            <v>0</v>
          </cell>
        </row>
        <row r="1016">
          <cell r="N1016">
            <v>20.154900000000001</v>
          </cell>
          <cell r="O1016">
            <v>0</v>
          </cell>
        </row>
        <row r="1017">
          <cell r="N1017">
            <v>4.6529999999999996</v>
          </cell>
          <cell r="O1017">
            <v>0</v>
          </cell>
        </row>
        <row r="1018">
          <cell r="N1018">
            <v>4.7652000000000001</v>
          </cell>
          <cell r="O1018">
            <v>6.8046000000000006</v>
          </cell>
        </row>
        <row r="1019">
          <cell r="N1019">
            <v>4.7652000000000001</v>
          </cell>
          <cell r="O1019">
            <v>6.8046000000000006</v>
          </cell>
        </row>
        <row r="1020">
          <cell r="N1020">
            <v>17.459200000000003</v>
          </cell>
          <cell r="O1020">
            <v>0</v>
          </cell>
        </row>
        <row r="1021">
          <cell r="N1021">
            <v>11.280800000000001</v>
          </cell>
          <cell r="O1021">
            <v>0</v>
          </cell>
        </row>
        <row r="1022">
          <cell r="N1022">
            <v>11.280800000000001</v>
          </cell>
          <cell r="O1022">
            <v>0</v>
          </cell>
        </row>
        <row r="1023">
          <cell r="N1023">
            <v>11.3764</v>
          </cell>
          <cell r="O1023">
            <v>0</v>
          </cell>
        </row>
        <row r="1024">
          <cell r="N1024">
            <v>11.089599999999999</v>
          </cell>
          <cell r="O1024">
            <v>0</v>
          </cell>
        </row>
        <row r="1025">
          <cell r="N1025">
            <v>11.3764</v>
          </cell>
          <cell r="O1025">
            <v>0</v>
          </cell>
        </row>
        <row r="1026">
          <cell r="N1026">
            <v>12.7148</v>
          </cell>
          <cell r="O1026">
            <v>0</v>
          </cell>
        </row>
        <row r="1027">
          <cell r="N1027">
            <v>12.523599999999998</v>
          </cell>
          <cell r="O1027">
            <v>0</v>
          </cell>
        </row>
        <row r="1028">
          <cell r="N1028">
            <v>11.185199999999998</v>
          </cell>
          <cell r="O1028">
            <v>0</v>
          </cell>
        </row>
        <row r="1029">
          <cell r="N1029">
            <v>10.994</v>
          </cell>
          <cell r="O1029">
            <v>0</v>
          </cell>
        </row>
        <row r="1030">
          <cell r="N1030">
            <v>11.185199999999998</v>
          </cell>
          <cell r="O1030">
            <v>0</v>
          </cell>
        </row>
        <row r="1031">
          <cell r="N1031">
            <v>11.185199999999998</v>
          </cell>
          <cell r="O1031">
            <v>0</v>
          </cell>
        </row>
        <row r="1032">
          <cell r="N1032">
            <v>0</v>
          </cell>
          <cell r="O1032">
            <v>0</v>
          </cell>
        </row>
        <row r="1033">
          <cell r="N1033">
            <v>0</v>
          </cell>
          <cell r="O1033">
            <v>0</v>
          </cell>
        </row>
        <row r="1034">
          <cell r="N1034">
            <v>15.773999999999999</v>
          </cell>
          <cell r="O1034">
            <v>0</v>
          </cell>
        </row>
        <row r="1035">
          <cell r="N1035">
            <v>5.75</v>
          </cell>
          <cell r="O1035">
            <v>0</v>
          </cell>
        </row>
        <row r="1036">
          <cell r="N1036">
            <v>0</v>
          </cell>
          <cell r="O1036">
            <v>0</v>
          </cell>
        </row>
        <row r="1037">
          <cell r="N1037">
            <v>6.0647999999999991</v>
          </cell>
          <cell r="O1037">
            <v>8.6603999999999992</v>
          </cell>
        </row>
        <row r="1038">
          <cell r="N1038">
            <v>6.0647999999999991</v>
          </cell>
          <cell r="O1038">
            <v>8.6603999999999992</v>
          </cell>
        </row>
        <row r="1039">
          <cell r="N1039">
            <v>0</v>
          </cell>
          <cell r="O1039">
            <v>0</v>
          </cell>
        </row>
        <row r="1040">
          <cell r="N1040">
            <v>21.477400000000003</v>
          </cell>
          <cell r="O1040">
            <v>0</v>
          </cell>
        </row>
        <row r="1041">
          <cell r="N1041">
            <v>21.265800000000002</v>
          </cell>
          <cell r="O1041">
            <v>0</v>
          </cell>
        </row>
        <row r="1042">
          <cell r="N1042">
            <v>34.226300000000002</v>
          </cell>
          <cell r="O1042">
            <v>0</v>
          </cell>
        </row>
        <row r="1043">
          <cell r="N1043">
            <v>0</v>
          </cell>
          <cell r="O1043">
            <v>0</v>
          </cell>
        </row>
        <row r="1044">
          <cell r="N1044">
            <v>17.303599999999999</v>
          </cell>
          <cell r="O1044">
            <v>0</v>
          </cell>
        </row>
        <row r="1045">
          <cell r="N1045">
            <v>11.856</v>
          </cell>
          <cell r="O1045">
            <v>0</v>
          </cell>
        </row>
        <row r="1046">
          <cell r="N1046">
            <v>19.7317</v>
          </cell>
          <cell r="O1046">
            <v>0</v>
          </cell>
        </row>
        <row r="1047">
          <cell r="N1047">
            <v>11.373999999999999</v>
          </cell>
          <cell r="O1047">
            <v>0</v>
          </cell>
        </row>
        <row r="1048">
          <cell r="N1048">
            <v>16.3476</v>
          </cell>
          <cell r="O1048">
            <v>0</v>
          </cell>
        </row>
        <row r="1049">
          <cell r="N1049">
            <v>16.3476</v>
          </cell>
          <cell r="O1049">
            <v>0</v>
          </cell>
        </row>
        <row r="1050">
          <cell r="N1050">
            <v>5.3429000000000002</v>
          </cell>
          <cell r="O1050">
            <v>0</v>
          </cell>
        </row>
        <row r="1051">
          <cell r="N1051">
            <v>16.779</v>
          </cell>
          <cell r="O1051">
            <v>0</v>
          </cell>
        </row>
        <row r="1052">
          <cell r="N1052">
            <v>16.3476</v>
          </cell>
          <cell r="O1052">
            <v>0</v>
          </cell>
        </row>
        <row r="1053">
          <cell r="N1053">
            <v>14.9694</v>
          </cell>
          <cell r="O1053">
            <v>0</v>
          </cell>
        </row>
        <row r="1054">
          <cell r="N1054">
            <v>10.898400000000001</v>
          </cell>
          <cell r="O1054">
            <v>0</v>
          </cell>
        </row>
        <row r="1055">
          <cell r="N1055">
            <v>16.3476</v>
          </cell>
          <cell r="O1055">
            <v>0</v>
          </cell>
        </row>
        <row r="1056">
          <cell r="N1056">
            <v>14.244400000000001</v>
          </cell>
          <cell r="O1056">
            <v>0</v>
          </cell>
        </row>
        <row r="1057">
          <cell r="N1057">
            <v>0</v>
          </cell>
          <cell r="O1057">
            <v>0</v>
          </cell>
        </row>
        <row r="1058">
          <cell r="N1058">
            <v>0</v>
          </cell>
          <cell r="O1058">
            <v>0</v>
          </cell>
        </row>
        <row r="1059">
          <cell r="N1059">
            <v>22.083600000000001</v>
          </cell>
          <cell r="O1059">
            <v>0</v>
          </cell>
        </row>
        <row r="1060">
          <cell r="N1060">
            <v>14.34</v>
          </cell>
          <cell r="O1060">
            <v>0</v>
          </cell>
        </row>
        <row r="1061">
          <cell r="N1061">
            <v>3.4372800000000003</v>
          </cell>
          <cell r="O1061">
            <v>0</v>
          </cell>
        </row>
        <row r="1062">
          <cell r="N1062">
            <v>16.3476</v>
          </cell>
          <cell r="O1062">
            <v>0</v>
          </cell>
        </row>
        <row r="1063">
          <cell r="N1063">
            <v>4.8012800000000011</v>
          </cell>
          <cell r="O1063">
            <v>0</v>
          </cell>
        </row>
        <row r="1064">
          <cell r="N1064">
            <v>15.598799999999999</v>
          </cell>
          <cell r="O1064">
            <v>0</v>
          </cell>
        </row>
        <row r="1065">
          <cell r="N1065">
            <v>15.104800000000001</v>
          </cell>
          <cell r="O1065">
            <v>0</v>
          </cell>
        </row>
        <row r="1066">
          <cell r="N1066">
            <v>11.95</v>
          </cell>
          <cell r="O1066">
            <v>0</v>
          </cell>
        </row>
        <row r="1067">
          <cell r="N1067">
            <v>58.666100000000007</v>
          </cell>
          <cell r="O1067">
            <v>0</v>
          </cell>
        </row>
        <row r="1068">
          <cell r="N1068">
            <v>15.773999999999999</v>
          </cell>
          <cell r="O1068">
            <v>0</v>
          </cell>
        </row>
        <row r="1069">
          <cell r="N1069">
            <v>15.773999999999999</v>
          </cell>
          <cell r="O1069">
            <v>0</v>
          </cell>
        </row>
        <row r="1070">
          <cell r="N1070">
            <v>11.048400000000001</v>
          </cell>
          <cell r="O1070">
            <v>0</v>
          </cell>
        </row>
        <row r="1071">
          <cell r="N1071">
            <v>5.1312999999999995</v>
          </cell>
          <cell r="O1071">
            <v>0</v>
          </cell>
        </row>
        <row r="1072">
          <cell r="N1072">
            <v>2.726</v>
          </cell>
          <cell r="O1072">
            <v>0</v>
          </cell>
        </row>
        <row r="1073">
          <cell r="N1073">
            <v>8.6639999999999997</v>
          </cell>
          <cell r="O1073">
            <v>12.372</v>
          </cell>
        </row>
        <row r="1074">
          <cell r="N1074">
            <v>9.0972000000000008</v>
          </cell>
          <cell r="O1074">
            <v>12.990600000000001</v>
          </cell>
        </row>
        <row r="1075">
          <cell r="N1075">
            <v>6.0647999999999991</v>
          </cell>
          <cell r="O1075">
            <v>8.6603999999999992</v>
          </cell>
        </row>
        <row r="1076">
          <cell r="N1076">
            <v>6.9312000000000005</v>
          </cell>
          <cell r="O1076">
            <v>9.8976000000000006</v>
          </cell>
        </row>
        <row r="1077">
          <cell r="N1077">
            <v>10.83</v>
          </cell>
          <cell r="O1077">
            <v>15.465</v>
          </cell>
        </row>
        <row r="1078">
          <cell r="N1078">
            <v>5.6315999999999997</v>
          </cell>
          <cell r="O1078">
            <v>8.0418000000000003</v>
          </cell>
        </row>
        <row r="1079">
          <cell r="N1079">
            <v>31.1904</v>
          </cell>
          <cell r="O1079">
            <v>44.539200000000001</v>
          </cell>
        </row>
        <row r="1080">
          <cell r="N1080">
            <v>5.6315999999999997</v>
          </cell>
          <cell r="O1080">
            <v>8.0418000000000003</v>
          </cell>
        </row>
        <row r="1081">
          <cell r="N1081">
            <v>9.0972000000000008</v>
          </cell>
          <cell r="O1081">
            <v>12.990600000000001</v>
          </cell>
        </row>
        <row r="1082">
          <cell r="N1082">
            <v>20.884799999999998</v>
          </cell>
          <cell r="O1082">
            <v>0</v>
          </cell>
        </row>
        <row r="1083">
          <cell r="N1083">
            <v>0</v>
          </cell>
          <cell r="O1083">
            <v>0</v>
          </cell>
        </row>
        <row r="1084">
          <cell r="N1084">
            <v>2.8899000000000004</v>
          </cell>
          <cell r="O1084">
            <v>0</v>
          </cell>
        </row>
        <row r="1085">
          <cell r="N1085">
            <v>2.8916800000000005</v>
          </cell>
          <cell r="O1085">
            <v>0</v>
          </cell>
        </row>
        <row r="1086">
          <cell r="N1086">
            <v>13.981000000000002</v>
          </cell>
          <cell r="O1086">
            <v>0</v>
          </cell>
        </row>
        <row r="1087">
          <cell r="N1087">
            <v>2.4279200000000003</v>
          </cell>
          <cell r="O1087">
            <v>0</v>
          </cell>
        </row>
        <row r="1088">
          <cell r="N1088">
            <v>0</v>
          </cell>
          <cell r="O1088">
            <v>0</v>
          </cell>
        </row>
        <row r="1089">
          <cell r="N1089">
            <v>3.6659999999999999</v>
          </cell>
          <cell r="O1089">
            <v>0</v>
          </cell>
        </row>
        <row r="1090">
          <cell r="N1090">
            <v>15.536900000000001</v>
          </cell>
          <cell r="O1090">
            <v>0</v>
          </cell>
        </row>
        <row r="1091">
          <cell r="N1091">
            <v>12.480600000000001</v>
          </cell>
          <cell r="O1091">
            <v>0</v>
          </cell>
        </row>
        <row r="1092">
          <cell r="N1092">
            <v>13.912800000000001</v>
          </cell>
          <cell r="O1092">
            <v>0</v>
          </cell>
        </row>
        <row r="1093">
          <cell r="N1093">
            <v>12.480600000000001</v>
          </cell>
          <cell r="O1093">
            <v>0</v>
          </cell>
        </row>
        <row r="1094">
          <cell r="N1094">
            <v>8.3886000000000003</v>
          </cell>
          <cell r="O1094">
            <v>0</v>
          </cell>
        </row>
        <row r="1095">
          <cell r="N1095">
            <v>15.487199999999998</v>
          </cell>
          <cell r="O1095">
            <v>0</v>
          </cell>
        </row>
        <row r="1096">
          <cell r="N1096">
            <v>11.8544</v>
          </cell>
          <cell r="O1096">
            <v>0</v>
          </cell>
        </row>
        <row r="1097">
          <cell r="N1097">
            <v>13.1928</v>
          </cell>
          <cell r="O1097">
            <v>0</v>
          </cell>
        </row>
        <row r="1098">
          <cell r="N1098">
            <v>53.640600000000006</v>
          </cell>
          <cell r="O1098">
            <v>0</v>
          </cell>
        </row>
        <row r="1099">
          <cell r="N1099">
            <v>10.378500000000001</v>
          </cell>
          <cell r="O1099">
            <v>0</v>
          </cell>
        </row>
        <row r="1100">
          <cell r="N1100">
            <v>0.63480000000000003</v>
          </cell>
          <cell r="O1100">
            <v>0</v>
          </cell>
        </row>
        <row r="1101">
          <cell r="N1101">
            <v>0.63480000000000003</v>
          </cell>
          <cell r="O1101">
            <v>0</v>
          </cell>
        </row>
        <row r="1102">
          <cell r="N1102">
            <v>11.8544</v>
          </cell>
          <cell r="O1102">
            <v>0</v>
          </cell>
        </row>
        <row r="1103">
          <cell r="N1103">
            <v>14.531199999999998</v>
          </cell>
          <cell r="O1103">
            <v>0</v>
          </cell>
        </row>
        <row r="1104">
          <cell r="N1104">
            <v>13.097199999999999</v>
          </cell>
          <cell r="O1104">
            <v>0</v>
          </cell>
        </row>
        <row r="1105">
          <cell r="N1105">
            <v>0</v>
          </cell>
          <cell r="O1105">
            <v>0</v>
          </cell>
        </row>
        <row r="1106">
          <cell r="N1106">
            <v>0</v>
          </cell>
          <cell r="O1106">
            <v>0</v>
          </cell>
        </row>
        <row r="1107">
          <cell r="N1107">
            <v>3.0826400000000005</v>
          </cell>
          <cell r="O1107">
            <v>0</v>
          </cell>
        </row>
        <row r="1108">
          <cell r="N1108">
            <v>0.81120000000000003</v>
          </cell>
          <cell r="O1108">
            <v>0</v>
          </cell>
        </row>
        <row r="1109">
          <cell r="N1109">
            <v>0</v>
          </cell>
          <cell r="O1109">
            <v>0</v>
          </cell>
        </row>
        <row r="1110">
          <cell r="N1110">
            <v>13.6799</v>
          </cell>
          <cell r="O1110">
            <v>0</v>
          </cell>
        </row>
        <row r="1111">
          <cell r="N1111">
            <v>19.361400000000003</v>
          </cell>
          <cell r="O1111">
            <v>0</v>
          </cell>
        </row>
        <row r="1112">
          <cell r="N1112">
            <v>2.6616999999999997</v>
          </cell>
          <cell r="O1112">
            <v>0</v>
          </cell>
        </row>
        <row r="1113">
          <cell r="N1113">
            <v>0</v>
          </cell>
          <cell r="O1113">
            <v>0</v>
          </cell>
        </row>
        <row r="1114">
          <cell r="N1114">
            <v>5.0667999999999997</v>
          </cell>
          <cell r="O1114">
            <v>0</v>
          </cell>
        </row>
        <row r="1115">
          <cell r="N1115">
            <v>5.0667999999999997</v>
          </cell>
          <cell r="O1115">
            <v>0</v>
          </cell>
        </row>
        <row r="1116">
          <cell r="N1116">
            <v>5.0667999999999997</v>
          </cell>
          <cell r="O1116">
            <v>0</v>
          </cell>
        </row>
        <row r="1117">
          <cell r="N1117">
            <v>4.8755999999999995</v>
          </cell>
          <cell r="O1117">
            <v>0</v>
          </cell>
        </row>
        <row r="1118">
          <cell r="N1118">
            <v>4.8755999999999995</v>
          </cell>
          <cell r="O1118">
            <v>0</v>
          </cell>
        </row>
        <row r="1119">
          <cell r="N1119">
            <v>4.8755999999999995</v>
          </cell>
          <cell r="O1119">
            <v>0</v>
          </cell>
        </row>
        <row r="1120">
          <cell r="N1120">
            <v>4.8755999999999995</v>
          </cell>
          <cell r="O1120">
            <v>0</v>
          </cell>
        </row>
        <row r="1121">
          <cell r="N1121">
            <v>38.546640000000004</v>
          </cell>
          <cell r="O1121">
            <v>0</v>
          </cell>
        </row>
        <row r="1122">
          <cell r="N1122">
            <v>5.4832800000000006</v>
          </cell>
          <cell r="O1122">
            <v>0</v>
          </cell>
        </row>
        <row r="1123">
          <cell r="N1123">
            <v>12.562799999999999</v>
          </cell>
          <cell r="O1123">
            <v>17.939399999999999</v>
          </cell>
        </row>
        <row r="1124">
          <cell r="N1124">
            <v>12.995999999999999</v>
          </cell>
          <cell r="O1124">
            <v>18.558</v>
          </cell>
        </row>
        <row r="1125">
          <cell r="N1125">
            <v>12.995999999999999</v>
          </cell>
          <cell r="O1125">
            <v>18.558</v>
          </cell>
        </row>
        <row r="1126">
          <cell r="N1126">
            <v>20.793599999999998</v>
          </cell>
          <cell r="O1126">
            <v>29.692799999999998</v>
          </cell>
        </row>
        <row r="1127">
          <cell r="N1127">
            <v>4.1261999999999999</v>
          </cell>
          <cell r="O1127">
            <v>0</v>
          </cell>
        </row>
        <row r="1128">
          <cell r="N1128">
            <v>1.2168000000000001</v>
          </cell>
          <cell r="O1128">
            <v>0</v>
          </cell>
        </row>
        <row r="1129">
          <cell r="N1129">
            <v>6.7875999999999994</v>
          </cell>
          <cell r="O1129">
            <v>0</v>
          </cell>
        </row>
        <row r="1130">
          <cell r="N1130">
            <v>14.1488</v>
          </cell>
          <cell r="O1130">
            <v>0</v>
          </cell>
        </row>
        <row r="1131">
          <cell r="N1131">
            <v>19.215600000000002</v>
          </cell>
          <cell r="O1131">
            <v>0</v>
          </cell>
        </row>
        <row r="1132">
          <cell r="N1132">
            <v>11.089599999999999</v>
          </cell>
          <cell r="O1132">
            <v>0</v>
          </cell>
        </row>
        <row r="1133">
          <cell r="N1133">
            <v>12.427999999999999</v>
          </cell>
          <cell r="O1133">
            <v>0</v>
          </cell>
        </row>
        <row r="1134">
          <cell r="N1134">
            <v>15.6607</v>
          </cell>
          <cell r="O1134">
            <v>0</v>
          </cell>
        </row>
        <row r="1135">
          <cell r="N1135">
            <v>18.732199999999999</v>
          </cell>
          <cell r="O1135">
            <v>0</v>
          </cell>
        </row>
        <row r="1136">
          <cell r="N1136">
            <v>11.3764</v>
          </cell>
          <cell r="O1136">
            <v>0</v>
          </cell>
        </row>
        <row r="1137">
          <cell r="N1137">
            <v>11.758800000000001</v>
          </cell>
          <cell r="O1137">
            <v>0</v>
          </cell>
        </row>
        <row r="1138">
          <cell r="N1138">
            <v>6.2510000000000003</v>
          </cell>
          <cell r="O1138">
            <v>0</v>
          </cell>
        </row>
        <row r="1139">
          <cell r="N1139">
            <v>3.0008000000000004</v>
          </cell>
          <cell r="O1139">
            <v>0</v>
          </cell>
        </row>
        <row r="1140">
          <cell r="N1140">
            <v>8.1466000000000012</v>
          </cell>
          <cell r="O1140">
            <v>0</v>
          </cell>
        </row>
        <row r="1141">
          <cell r="N1141">
            <v>15.004000000000001</v>
          </cell>
          <cell r="O1141">
            <v>0</v>
          </cell>
        </row>
        <row r="1142">
          <cell r="N1142">
            <v>4.14656</v>
          </cell>
          <cell r="O1142">
            <v>0</v>
          </cell>
        </row>
        <row r="1143">
          <cell r="N1143">
            <v>37.4495</v>
          </cell>
          <cell r="O1143">
            <v>0</v>
          </cell>
        </row>
        <row r="1144">
          <cell r="N1144">
            <v>32.427700000000002</v>
          </cell>
          <cell r="O1144">
            <v>0</v>
          </cell>
        </row>
        <row r="1145">
          <cell r="N1145">
            <v>42.214199999999998</v>
          </cell>
          <cell r="O1145">
            <v>0</v>
          </cell>
        </row>
        <row r="1146">
          <cell r="N1146">
            <v>10.83</v>
          </cell>
          <cell r="O1146">
            <v>15.465</v>
          </cell>
        </row>
        <row r="1147">
          <cell r="N1147">
            <v>5.6315999999999997</v>
          </cell>
          <cell r="O1147">
            <v>8.0418000000000003</v>
          </cell>
        </row>
        <row r="1148">
          <cell r="N1148">
            <v>6.0647999999999991</v>
          </cell>
          <cell r="O1148">
            <v>8.6603999999999992</v>
          </cell>
        </row>
        <row r="1149">
          <cell r="N1149">
            <v>8.6639999999999997</v>
          </cell>
          <cell r="O1149">
            <v>12.372</v>
          </cell>
        </row>
        <row r="1150">
          <cell r="N1150">
            <v>6.9312000000000005</v>
          </cell>
          <cell r="O1150">
            <v>9.8976000000000006</v>
          </cell>
        </row>
        <row r="1151">
          <cell r="N1151">
            <v>9.0972000000000008</v>
          </cell>
          <cell r="O1151">
            <v>12.990600000000001</v>
          </cell>
        </row>
        <row r="1152">
          <cell r="N1152">
            <v>31.1904</v>
          </cell>
          <cell r="O1152">
            <v>44.539200000000001</v>
          </cell>
        </row>
        <row r="1153">
          <cell r="N1153">
            <v>5.6315999999999997</v>
          </cell>
          <cell r="O1153">
            <v>8.0418000000000003</v>
          </cell>
        </row>
        <row r="1154">
          <cell r="N1154">
            <v>9.0972000000000008</v>
          </cell>
          <cell r="O1154">
            <v>12.990600000000001</v>
          </cell>
        </row>
        <row r="1155">
          <cell r="N1155">
            <v>20.884799999999998</v>
          </cell>
          <cell r="O1155">
            <v>0</v>
          </cell>
        </row>
        <row r="1156">
          <cell r="N1156">
            <v>10.366400000000001</v>
          </cell>
          <cell r="O1156">
            <v>0</v>
          </cell>
        </row>
        <row r="1157">
          <cell r="N1157">
            <v>22.407800000000002</v>
          </cell>
          <cell r="O1157">
            <v>0</v>
          </cell>
        </row>
        <row r="1158">
          <cell r="N1158">
            <v>7.1439999999999992</v>
          </cell>
          <cell r="O1158">
            <v>0</v>
          </cell>
        </row>
        <row r="1159">
          <cell r="N1159">
            <v>15.678399999999998</v>
          </cell>
          <cell r="O1159">
            <v>0</v>
          </cell>
        </row>
        <row r="1160">
          <cell r="N1160">
            <v>15.8696</v>
          </cell>
          <cell r="O1160">
            <v>0</v>
          </cell>
        </row>
        <row r="1161">
          <cell r="N1161">
            <v>15.678399999999998</v>
          </cell>
          <cell r="O1161">
            <v>0</v>
          </cell>
        </row>
        <row r="1162">
          <cell r="N1162">
            <v>15.8696</v>
          </cell>
          <cell r="O1162">
            <v>0</v>
          </cell>
        </row>
        <row r="1163">
          <cell r="N1163">
            <v>15.678399999999998</v>
          </cell>
          <cell r="O1163">
            <v>0</v>
          </cell>
        </row>
        <row r="1164">
          <cell r="N1164">
            <v>18.198599999999999</v>
          </cell>
          <cell r="O1164">
            <v>0</v>
          </cell>
        </row>
        <row r="1165">
          <cell r="N1165">
            <v>78.292000000000002</v>
          </cell>
          <cell r="O1165">
            <v>0</v>
          </cell>
        </row>
        <row r="1166">
          <cell r="N1166">
            <v>36.818399999999997</v>
          </cell>
          <cell r="O1166">
            <v>0</v>
          </cell>
        </row>
        <row r="1167">
          <cell r="N1167">
            <v>10.0936</v>
          </cell>
          <cell r="O1167">
            <v>0</v>
          </cell>
        </row>
        <row r="1168">
          <cell r="N1168">
            <v>0.8619</v>
          </cell>
          <cell r="O1168">
            <v>0</v>
          </cell>
        </row>
        <row r="1169">
          <cell r="N1169">
            <v>6.7679999999999998</v>
          </cell>
          <cell r="O1169">
            <v>0</v>
          </cell>
        </row>
        <row r="1170">
          <cell r="N1170">
            <v>14.531199999999998</v>
          </cell>
          <cell r="O1170">
            <v>0</v>
          </cell>
        </row>
        <row r="1171">
          <cell r="N1171">
            <v>14.053199999999999</v>
          </cell>
          <cell r="O1171">
            <v>0</v>
          </cell>
        </row>
        <row r="1172">
          <cell r="N1172">
            <v>24.282399999999999</v>
          </cell>
          <cell r="O1172">
            <v>0</v>
          </cell>
        </row>
        <row r="1173">
          <cell r="N1173">
            <v>11.585100000000001</v>
          </cell>
          <cell r="O1173">
            <v>0</v>
          </cell>
        </row>
        <row r="1174">
          <cell r="N1174">
            <v>5.8379200000000004</v>
          </cell>
          <cell r="O1174">
            <v>0</v>
          </cell>
        </row>
        <row r="1175">
          <cell r="N1175">
            <v>17.505199999999999</v>
          </cell>
          <cell r="O1175">
            <v>0</v>
          </cell>
        </row>
        <row r="1176">
          <cell r="N1176">
            <v>13.503600000000002</v>
          </cell>
          <cell r="O1176">
            <v>0</v>
          </cell>
        </row>
        <row r="1177">
          <cell r="N1177">
            <v>16.134499999999999</v>
          </cell>
          <cell r="O1177">
            <v>0</v>
          </cell>
        </row>
        <row r="1178">
          <cell r="N1178">
            <v>14.818</v>
          </cell>
          <cell r="O1178">
            <v>0</v>
          </cell>
        </row>
        <row r="1179">
          <cell r="N1179">
            <v>15.773999999999999</v>
          </cell>
          <cell r="O1179">
            <v>0</v>
          </cell>
        </row>
        <row r="1180">
          <cell r="N1180">
            <v>15.487199999999998</v>
          </cell>
          <cell r="O1180">
            <v>0</v>
          </cell>
        </row>
        <row r="1181">
          <cell r="N1181">
            <v>0.81120000000000003</v>
          </cell>
          <cell r="O1181">
            <v>0</v>
          </cell>
        </row>
        <row r="1182">
          <cell r="N1182">
            <v>23.326399999999996</v>
          </cell>
          <cell r="O1182">
            <v>0</v>
          </cell>
        </row>
        <row r="1183">
          <cell r="N1183">
            <v>0</v>
          </cell>
          <cell r="O1183">
            <v>0</v>
          </cell>
        </row>
        <row r="1184">
          <cell r="N1184">
            <v>0</v>
          </cell>
          <cell r="O1184">
            <v>0</v>
          </cell>
        </row>
        <row r="1185">
          <cell r="N1185">
            <v>0</v>
          </cell>
          <cell r="O1185">
            <v>0</v>
          </cell>
        </row>
        <row r="1186">
          <cell r="N1186">
            <v>5.9219999999999997</v>
          </cell>
          <cell r="O1186">
            <v>0</v>
          </cell>
        </row>
        <row r="1187">
          <cell r="N1187">
            <v>21.764800000000001</v>
          </cell>
          <cell r="O1187">
            <v>0</v>
          </cell>
        </row>
        <row r="1188">
          <cell r="N1188">
            <v>5.6315999999999997</v>
          </cell>
          <cell r="O1188">
            <v>8.0418000000000003</v>
          </cell>
        </row>
        <row r="1189">
          <cell r="N1189">
            <v>8.6639999999999997</v>
          </cell>
          <cell r="O1189">
            <v>12.372</v>
          </cell>
        </row>
        <row r="1190">
          <cell r="N1190">
            <v>6.0647999999999991</v>
          </cell>
          <cell r="O1190">
            <v>8.6603999999999992</v>
          </cell>
        </row>
        <row r="1191">
          <cell r="N1191">
            <v>9.9635999999999996</v>
          </cell>
          <cell r="O1191">
            <v>14.227799999999998</v>
          </cell>
        </row>
        <row r="1192">
          <cell r="N1192">
            <v>14.7483</v>
          </cell>
          <cell r="O1192">
            <v>0</v>
          </cell>
        </row>
        <row r="1193">
          <cell r="N1193">
            <v>5</v>
          </cell>
          <cell r="O1193">
            <v>0</v>
          </cell>
        </row>
        <row r="1194">
          <cell r="N1194">
            <v>6.9312000000000005</v>
          </cell>
          <cell r="O1194">
            <v>9.8976000000000006</v>
          </cell>
        </row>
        <row r="1195">
          <cell r="N1195">
            <v>1.3754000000000002</v>
          </cell>
          <cell r="O1195">
            <v>0</v>
          </cell>
        </row>
        <row r="1196">
          <cell r="N1196">
            <v>0.89929999999999999</v>
          </cell>
          <cell r="O1196">
            <v>0</v>
          </cell>
        </row>
        <row r="1197">
          <cell r="N1197">
            <v>0.89929999999999999</v>
          </cell>
          <cell r="O1197">
            <v>0</v>
          </cell>
        </row>
        <row r="1198">
          <cell r="N1198">
            <v>10.0936</v>
          </cell>
          <cell r="O1198">
            <v>0</v>
          </cell>
        </row>
        <row r="1199">
          <cell r="N1199">
            <v>0.82810000000000017</v>
          </cell>
          <cell r="O1199">
            <v>0</v>
          </cell>
        </row>
        <row r="1200">
          <cell r="N1200">
            <v>10.34</v>
          </cell>
          <cell r="O1200">
            <v>0</v>
          </cell>
        </row>
        <row r="1201">
          <cell r="N1201">
            <v>11.891</v>
          </cell>
          <cell r="O1201">
            <v>0</v>
          </cell>
        </row>
        <row r="1202">
          <cell r="N1202">
            <v>15.487199999999998</v>
          </cell>
          <cell r="O1202">
            <v>0</v>
          </cell>
        </row>
        <row r="1203">
          <cell r="N1203">
            <v>15.773999999999999</v>
          </cell>
          <cell r="O1203">
            <v>0</v>
          </cell>
        </row>
        <row r="1204">
          <cell r="N1204">
            <v>14.913599999999999</v>
          </cell>
          <cell r="O1204">
            <v>0</v>
          </cell>
        </row>
        <row r="1205">
          <cell r="N1205">
            <v>19.065200000000001</v>
          </cell>
          <cell r="O1205">
            <v>0</v>
          </cell>
        </row>
        <row r="1206">
          <cell r="N1206">
            <v>24.492699999999999</v>
          </cell>
          <cell r="O1206">
            <v>0</v>
          </cell>
        </row>
        <row r="1207">
          <cell r="N1207">
            <v>14.1488</v>
          </cell>
          <cell r="O1207">
            <v>0</v>
          </cell>
        </row>
        <row r="1208">
          <cell r="N1208">
            <v>12.207800000000001</v>
          </cell>
          <cell r="O1208">
            <v>0</v>
          </cell>
        </row>
        <row r="1209">
          <cell r="N1209">
            <v>15.678399999999998</v>
          </cell>
          <cell r="O1209">
            <v>0</v>
          </cell>
        </row>
        <row r="1210">
          <cell r="N1210">
            <v>1.5210000000000001</v>
          </cell>
          <cell r="O1210">
            <v>0</v>
          </cell>
        </row>
        <row r="1211">
          <cell r="N1211">
            <v>0</v>
          </cell>
          <cell r="O1211">
            <v>0</v>
          </cell>
        </row>
        <row r="1212">
          <cell r="N1212">
            <v>0</v>
          </cell>
          <cell r="O1212">
            <v>0</v>
          </cell>
        </row>
        <row r="1213">
          <cell r="N1213">
            <v>17.303599999999999</v>
          </cell>
          <cell r="O1213">
            <v>0</v>
          </cell>
        </row>
        <row r="1214">
          <cell r="N1214">
            <v>15.678399999999998</v>
          </cell>
          <cell r="O1214">
            <v>0</v>
          </cell>
        </row>
        <row r="1215">
          <cell r="N1215">
            <v>7.5670000000000002</v>
          </cell>
          <cell r="O1215">
            <v>0</v>
          </cell>
        </row>
        <row r="1216">
          <cell r="N1216">
            <v>7.52</v>
          </cell>
          <cell r="O1216">
            <v>0</v>
          </cell>
        </row>
        <row r="1217">
          <cell r="N1217">
            <v>19.4068</v>
          </cell>
          <cell r="O1217">
            <v>0</v>
          </cell>
        </row>
        <row r="1218">
          <cell r="N1218">
            <v>15.678399999999998</v>
          </cell>
          <cell r="O1218">
            <v>0</v>
          </cell>
        </row>
        <row r="1219">
          <cell r="N1219">
            <v>12.207800000000001</v>
          </cell>
          <cell r="O1219">
            <v>0</v>
          </cell>
        </row>
        <row r="1220">
          <cell r="N1220">
            <v>6.7679999999999998</v>
          </cell>
          <cell r="O1220">
            <v>0</v>
          </cell>
        </row>
        <row r="1221">
          <cell r="N1221">
            <v>13.6708</v>
          </cell>
          <cell r="O1221">
            <v>0</v>
          </cell>
        </row>
        <row r="1222">
          <cell r="N1222">
            <v>15.678399999999998</v>
          </cell>
          <cell r="O1222">
            <v>0</v>
          </cell>
        </row>
        <row r="1223">
          <cell r="N1223">
            <v>12.7514</v>
          </cell>
          <cell r="O1223">
            <v>0</v>
          </cell>
        </row>
        <row r="1224">
          <cell r="N1224">
            <v>13.4796</v>
          </cell>
          <cell r="O1224">
            <v>0</v>
          </cell>
        </row>
        <row r="1225">
          <cell r="N1225">
            <v>33.274100000000004</v>
          </cell>
          <cell r="O1225">
            <v>0</v>
          </cell>
        </row>
        <row r="1226">
          <cell r="N1226">
            <v>15.678399999999998</v>
          </cell>
          <cell r="O1226">
            <v>0</v>
          </cell>
        </row>
        <row r="1227">
          <cell r="N1227">
            <v>15.678399999999998</v>
          </cell>
          <cell r="O1227">
            <v>0</v>
          </cell>
        </row>
        <row r="1228">
          <cell r="N1228">
            <v>19.884799999999998</v>
          </cell>
          <cell r="O1228">
            <v>0</v>
          </cell>
        </row>
        <row r="1229">
          <cell r="N1229">
            <v>5.4560000000000004</v>
          </cell>
          <cell r="O1229">
            <v>0</v>
          </cell>
        </row>
        <row r="1230">
          <cell r="N1230">
            <v>15.487199999999998</v>
          </cell>
          <cell r="O1230">
            <v>0</v>
          </cell>
        </row>
        <row r="1231">
          <cell r="N1231">
            <v>4.6648800000000001</v>
          </cell>
          <cell r="O1231">
            <v>0</v>
          </cell>
        </row>
        <row r="1232">
          <cell r="N1232">
            <v>1.4872000000000003</v>
          </cell>
          <cell r="O1232">
            <v>0</v>
          </cell>
        </row>
        <row r="1233">
          <cell r="N1233">
            <v>4.4193600000000002</v>
          </cell>
          <cell r="O1233">
            <v>0</v>
          </cell>
        </row>
        <row r="1234">
          <cell r="N1234">
            <v>21.7012</v>
          </cell>
          <cell r="O1234">
            <v>0</v>
          </cell>
        </row>
        <row r="1235">
          <cell r="N1235">
            <v>16.531680000000001</v>
          </cell>
          <cell r="O1235">
            <v>0</v>
          </cell>
        </row>
        <row r="1236">
          <cell r="N1236">
            <v>13.097199999999999</v>
          </cell>
          <cell r="O1236">
            <v>0</v>
          </cell>
        </row>
        <row r="1237">
          <cell r="N1237">
            <v>7.7976000000000001</v>
          </cell>
          <cell r="O1237">
            <v>11.1348</v>
          </cell>
        </row>
        <row r="1238">
          <cell r="N1238">
            <v>0.2366</v>
          </cell>
          <cell r="O1238">
            <v>0</v>
          </cell>
        </row>
        <row r="1239">
          <cell r="N1239">
            <v>1.4702999999999999</v>
          </cell>
          <cell r="O1239">
            <v>0</v>
          </cell>
        </row>
        <row r="1240">
          <cell r="N1240">
            <v>13.097199999999999</v>
          </cell>
          <cell r="O1240">
            <v>0</v>
          </cell>
        </row>
        <row r="1241">
          <cell r="N1241">
            <v>13.384</v>
          </cell>
          <cell r="O1241">
            <v>0</v>
          </cell>
        </row>
        <row r="1242">
          <cell r="N1242">
            <v>36.924199999999999</v>
          </cell>
          <cell r="O1242">
            <v>0</v>
          </cell>
        </row>
        <row r="1243">
          <cell r="N1243">
            <v>2.3850000000000002</v>
          </cell>
          <cell r="O1243">
            <v>0</v>
          </cell>
        </row>
        <row r="1244">
          <cell r="N1244">
            <v>4.75</v>
          </cell>
          <cell r="O1244">
            <v>0</v>
          </cell>
        </row>
        <row r="1245">
          <cell r="N1245">
            <v>0</v>
          </cell>
          <cell r="O1245">
            <v>0</v>
          </cell>
        </row>
        <row r="1246">
          <cell r="N1246">
            <v>0</v>
          </cell>
          <cell r="O1246">
            <v>0</v>
          </cell>
        </row>
        <row r="1247">
          <cell r="N1247">
            <v>0</v>
          </cell>
          <cell r="O1247">
            <v>0</v>
          </cell>
        </row>
        <row r="1248">
          <cell r="N1248">
            <v>0</v>
          </cell>
          <cell r="O1248">
            <v>0</v>
          </cell>
        </row>
        <row r="1249">
          <cell r="N1249">
            <v>34.441000000000003</v>
          </cell>
          <cell r="O1249">
            <v>0</v>
          </cell>
        </row>
        <row r="1250">
          <cell r="N1250">
            <v>6.6920000000000002</v>
          </cell>
          <cell r="O1250">
            <v>0</v>
          </cell>
        </row>
        <row r="1251">
          <cell r="N1251">
            <v>17.02272</v>
          </cell>
          <cell r="O1251">
            <v>0</v>
          </cell>
        </row>
        <row r="1252">
          <cell r="N1252">
            <v>17.02272</v>
          </cell>
          <cell r="O1252">
            <v>0</v>
          </cell>
        </row>
        <row r="1253">
          <cell r="N1253">
            <v>0</v>
          </cell>
          <cell r="O1253">
            <v>0</v>
          </cell>
        </row>
        <row r="1254">
          <cell r="N1254">
            <v>79.417700000000011</v>
          </cell>
          <cell r="O1254">
            <v>0</v>
          </cell>
        </row>
        <row r="1255">
          <cell r="N1255">
            <v>55.068899999999999</v>
          </cell>
          <cell r="O1255">
            <v>0</v>
          </cell>
        </row>
        <row r="1256">
          <cell r="N1256">
            <v>15.686400000000001</v>
          </cell>
          <cell r="O1256">
            <v>0</v>
          </cell>
        </row>
        <row r="1257">
          <cell r="N1257">
            <v>57.978400000000001</v>
          </cell>
          <cell r="O1257">
            <v>0</v>
          </cell>
        </row>
        <row r="1258">
          <cell r="N1258">
            <v>7.6383999999999999</v>
          </cell>
          <cell r="O1258">
            <v>0</v>
          </cell>
        </row>
        <row r="1259">
          <cell r="N1259">
            <v>19.311199999999999</v>
          </cell>
          <cell r="O1259">
            <v>0</v>
          </cell>
        </row>
        <row r="1260">
          <cell r="N1260">
            <v>3.3554400000000006</v>
          </cell>
          <cell r="O1260">
            <v>0</v>
          </cell>
        </row>
        <row r="1261">
          <cell r="N1261">
            <v>19.311199999999999</v>
          </cell>
          <cell r="O1261">
            <v>0</v>
          </cell>
        </row>
        <row r="1262">
          <cell r="N1262">
            <v>11.95</v>
          </cell>
          <cell r="O1262">
            <v>0</v>
          </cell>
        </row>
        <row r="1263">
          <cell r="N1263">
            <v>14.913599999999999</v>
          </cell>
          <cell r="O1263">
            <v>0</v>
          </cell>
        </row>
        <row r="1264">
          <cell r="N1264">
            <v>25.255199999999999</v>
          </cell>
          <cell r="O1264">
            <v>0</v>
          </cell>
        </row>
        <row r="1265">
          <cell r="N1265">
            <v>1.6731000000000003</v>
          </cell>
          <cell r="O1265">
            <v>0</v>
          </cell>
        </row>
        <row r="1266">
          <cell r="N1266">
            <v>30.6218</v>
          </cell>
          <cell r="O1266">
            <v>0</v>
          </cell>
        </row>
        <row r="1267">
          <cell r="N1267">
            <v>14.818</v>
          </cell>
          <cell r="O1267">
            <v>0</v>
          </cell>
        </row>
        <row r="1268">
          <cell r="N1268">
            <v>4.5012000000000008</v>
          </cell>
          <cell r="O1268">
            <v>0</v>
          </cell>
        </row>
        <row r="1269">
          <cell r="N1269">
            <v>15.487199999999998</v>
          </cell>
          <cell r="O1269">
            <v>0</v>
          </cell>
        </row>
        <row r="1270">
          <cell r="N1270">
            <v>0</v>
          </cell>
          <cell r="O1270">
            <v>0</v>
          </cell>
        </row>
        <row r="1271">
          <cell r="N1271">
            <v>0</v>
          </cell>
          <cell r="O1271">
            <v>0</v>
          </cell>
        </row>
        <row r="1272">
          <cell r="N1272">
            <v>15.582800000000001</v>
          </cell>
          <cell r="O1272">
            <v>0</v>
          </cell>
        </row>
        <row r="1273">
          <cell r="N1273">
            <v>13.9656</v>
          </cell>
          <cell r="O1273">
            <v>0</v>
          </cell>
        </row>
        <row r="1274">
          <cell r="N1274">
            <v>2.173</v>
          </cell>
          <cell r="O1274">
            <v>0</v>
          </cell>
        </row>
        <row r="1275">
          <cell r="N1275">
            <v>12.0083</v>
          </cell>
          <cell r="O1275">
            <v>0</v>
          </cell>
        </row>
        <row r="1276">
          <cell r="N1276">
            <v>19.4068</v>
          </cell>
          <cell r="O1276">
            <v>0</v>
          </cell>
        </row>
        <row r="1277">
          <cell r="N1277">
            <v>20.553999999999998</v>
          </cell>
          <cell r="O1277">
            <v>0</v>
          </cell>
        </row>
        <row r="1278">
          <cell r="N1278">
            <v>17.880199999999999</v>
          </cell>
          <cell r="O1278">
            <v>0</v>
          </cell>
        </row>
        <row r="1279">
          <cell r="N1279">
            <v>6.1050000000000004</v>
          </cell>
          <cell r="O1279">
            <v>0</v>
          </cell>
        </row>
        <row r="1280">
          <cell r="N1280">
            <v>10.1432</v>
          </cell>
          <cell r="O1280">
            <v>0</v>
          </cell>
        </row>
        <row r="1281">
          <cell r="N1281">
            <v>12.8104</v>
          </cell>
          <cell r="O1281">
            <v>0</v>
          </cell>
        </row>
        <row r="1282">
          <cell r="N1282">
            <v>6.1050000000000004</v>
          </cell>
          <cell r="O1282">
            <v>0</v>
          </cell>
        </row>
        <row r="1283">
          <cell r="N1283">
            <v>2.3491000000000004</v>
          </cell>
          <cell r="O1283">
            <v>0</v>
          </cell>
        </row>
        <row r="1284">
          <cell r="N1284">
            <v>10.83</v>
          </cell>
          <cell r="O1284">
            <v>15.465</v>
          </cell>
        </row>
        <row r="1285">
          <cell r="N1285">
            <v>5.6315999999999997</v>
          </cell>
          <cell r="O1285">
            <v>8.0418000000000003</v>
          </cell>
        </row>
        <row r="1286">
          <cell r="N1286">
            <v>8.6639999999999997</v>
          </cell>
          <cell r="O1286">
            <v>12.372</v>
          </cell>
        </row>
        <row r="1287">
          <cell r="N1287">
            <v>6.0647999999999991</v>
          </cell>
          <cell r="O1287">
            <v>8.6603999999999992</v>
          </cell>
        </row>
        <row r="1288">
          <cell r="N1288">
            <v>9.0972000000000008</v>
          </cell>
          <cell r="O1288">
            <v>12.990600000000001</v>
          </cell>
        </row>
        <row r="1289">
          <cell r="N1289">
            <v>6.9312000000000005</v>
          </cell>
          <cell r="O1289">
            <v>9.8976000000000006</v>
          </cell>
        </row>
        <row r="1290">
          <cell r="N1290">
            <v>31.1904</v>
          </cell>
          <cell r="O1290">
            <v>44.539200000000001</v>
          </cell>
        </row>
        <row r="1291">
          <cell r="N1291">
            <v>9.0972000000000008</v>
          </cell>
          <cell r="O1291">
            <v>12.990600000000001</v>
          </cell>
        </row>
        <row r="1292">
          <cell r="N1292">
            <v>5.6315999999999997</v>
          </cell>
          <cell r="O1292">
            <v>8.0418000000000003</v>
          </cell>
        </row>
        <row r="1293">
          <cell r="N1293">
            <v>20.884799999999998</v>
          </cell>
          <cell r="O1293">
            <v>0</v>
          </cell>
        </row>
        <row r="1294">
          <cell r="N1294">
            <v>57.629000000000005</v>
          </cell>
          <cell r="O1294">
            <v>0</v>
          </cell>
        </row>
        <row r="1295">
          <cell r="N1295">
            <v>6.2198399999999996</v>
          </cell>
          <cell r="O1295">
            <v>0</v>
          </cell>
        </row>
        <row r="1296">
          <cell r="N1296">
            <v>13.1928</v>
          </cell>
          <cell r="O1296">
            <v>0</v>
          </cell>
        </row>
        <row r="1297">
          <cell r="N1297">
            <v>14.818</v>
          </cell>
          <cell r="O1297">
            <v>0</v>
          </cell>
        </row>
        <row r="1298">
          <cell r="N1298">
            <v>14.7224</v>
          </cell>
          <cell r="O1298">
            <v>0</v>
          </cell>
        </row>
        <row r="1299">
          <cell r="N1299">
            <v>0.8619</v>
          </cell>
          <cell r="O1299">
            <v>0</v>
          </cell>
        </row>
        <row r="1300">
          <cell r="N1300">
            <v>0.8619</v>
          </cell>
          <cell r="O1300">
            <v>0</v>
          </cell>
        </row>
        <row r="1301">
          <cell r="N1301">
            <v>4.1192800000000007</v>
          </cell>
          <cell r="O1301">
            <v>0</v>
          </cell>
        </row>
        <row r="1302">
          <cell r="N1302">
            <v>7.9878999999999998</v>
          </cell>
          <cell r="O1302">
            <v>0</v>
          </cell>
        </row>
        <row r="1303">
          <cell r="N1303">
            <v>22.407800000000002</v>
          </cell>
          <cell r="O1303">
            <v>0</v>
          </cell>
        </row>
        <row r="1304">
          <cell r="N1304">
            <v>13.1928</v>
          </cell>
          <cell r="O1304">
            <v>0</v>
          </cell>
        </row>
        <row r="1305">
          <cell r="N1305">
            <v>7.9112</v>
          </cell>
          <cell r="O1305">
            <v>0</v>
          </cell>
        </row>
        <row r="1306">
          <cell r="N1306">
            <v>24.186799999999998</v>
          </cell>
          <cell r="O1306">
            <v>0</v>
          </cell>
        </row>
        <row r="1307">
          <cell r="N1307">
            <v>22.465999999999998</v>
          </cell>
          <cell r="O1307">
            <v>0</v>
          </cell>
        </row>
        <row r="1308">
          <cell r="N1308">
            <v>42.6374</v>
          </cell>
          <cell r="O1308">
            <v>0</v>
          </cell>
        </row>
        <row r="1309">
          <cell r="N1309">
            <v>19.311199999999999</v>
          </cell>
          <cell r="O1309">
            <v>0</v>
          </cell>
        </row>
        <row r="1310">
          <cell r="N1310">
            <v>21.988</v>
          </cell>
          <cell r="O1310">
            <v>0</v>
          </cell>
        </row>
        <row r="1311">
          <cell r="N1311">
            <v>15.678399999999998</v>
          </cell>
          <cell r="O1311">
            <v>0</v>
          </cell>
        </row>
        <row r="1312">
          <cell r="N1312">
            <v>16.73</v>
          </cell>
          <cell r="O1312">
            <v>0</v>
          </cell>
        </row>
        <row r="1313">
          <cell r="N1313">
            <v>21.605599999999999</v>
          </cell>
          <cell r="O1313">
            <v>0</v>
          </cell>
        </row>
        <row r="1314">
          <cell r="N1314">
            <v>3.8870000000000005</v>
          </cell>
          <cell r="O1314">
            <v>0</v>
          </cell>
        </row>
        <row r="1315">
          <cell r="N1315">
            <v>17.0168</v>
          </cell>
          <cell r="O1315">
            <v>0</v>
          </cell>
        </row>
        <row r="1316">
          <cell r="N1316">
            <v>9.4643999999999995</v>
          </cell>
          <cell r="O1316">
            <v>0</v>
          </cell>
        </row>
        <row r="1317">
          <cell r="N1317">
            <v>9.751199999999999</v>
          </cell>
          <cell r="O1317">
            <v>0</v>
          </cell>
        </row>
        <row r="1318">
          <cell r="N1318">
            <v>8.8660000000000014</v>
          </cell>
          <cell r="O1318">
            <v>0</v>
          </cell>
        </row>
        <row r="1319">
          <cell r="N1319">
            <v>0</v>
          </cell>
          <cell r="O1319">
            <v>0</v>
          </cell>
        </row>
        <row r="1320">
          <cell r="N1320">
            <v>0</v>
          </cell>
          <cell r="O1320">
            <v>0</v>
          </cell>
        </row>
        <row r="1321">
          <cell r="N1321">
            <v>47.194400000000009</v>
          </cell>
          <cell r="O1321">
            <v>0</v>
          </cell>
        </row>
        <row r="1322">
          <cell r="N1322">
            <v>2.5370400000000006</v>
          </cell>
          <cell r="O1322">
            <v>0</v>
          </cell>
        </row>
        <row r="1323">
          <cell r="N1323">
            <v>77.286900000000003</v>
          </cell>
          <cell r="O1323">
            <v>0</v>
          </cell>
        </row>
        <row r="1324">
          <cell r="N1324">
            <v>12.2728</v>
          </cell>
          <cell r="O1324">
            <v>0</v>
          </cell>
        </row>
        <row r="1325">
          <cell r="N1325">
            <v>4.1829999999999998</v>
          </cell>
          <cell r="O1325">
            <v>0</v>
          </cell>
        </row>
        <row r="1326">
          <cell r="N1326">
            <v>20.541840000000001</v>
          </cell>
          <cell r="O1326">
            <v>0</v>
          </cell>
        </row>
        <row r="1327">
          <cell r="N1327">
            <v>20.541840000000001</v>
          </cell>
          <cell r="O1327">
            <v>0</v>
          </cell>
        </row>
        <row r="1328">
          <cell r="N1328">
            <v>19.467199999999998</v>
          </cell>
          <cell r="O1328">
            <v>0</v>
          </cell>
        </row>
        <row r="1329">
          <cell r="N1329">
            <v>13.1928</v>
          </cell>
          <cell r="O1329">
            <v>0</v>
          </cell>
        </row>
        <row r="1330">
          <cell r="N1330">
            <v>11.048400000000001</v>
          </cell>
          <cell r="O1330">
            <v>0</v>
          </cell>
        </row>
        <row r="1331">
          <cell r="N1331">
            <v>13.912700000000001</v>
          </cell>
          <cell r="O1331">
            <v>0</v>
          </cell>
        </row>
        <row r="1332">
          <cell r="N1332">
            <v>5.8186</v>
          </cell>
          <cell r="O1332">
            <v>0</v>
          </cell>
        </row>
        <row r="1333">
          <cell r="N1333">
            <v>22.093199999999996</v>
          </cell>
          <cell r="O1333">
            <v>31.548599999999997</v>
          </cell>
        </row>
        <row r="1334">
          <cell r="N1334">
            <v>5.1983999999999995</v>
          </cell>
          <cell r="O1334">
            <v>7.4231999999999996</v>
          </cell>
        </row>
        <row r="1335">
          <cell r="N1335">
            <v>5.1983999999999995</v>
          </cell>
          <cell r="O1335">
            <v>7.4231999999999996</v>
          </cell>
        </row>
        <row r="1336">
          <cell r="N1336">
            <v>11.696400000000001</v>
          </cell>
          <cell r="O1336">
            <v>16.702200000000001</v>
          </cell>
        </row>
        <row r="1337">
          <cell r="N1337">
            <v>4.7652000000000001</v>
          </cell>
          <cell r="O1337">
            <v>6.8046000000000006</v>
          </cell>
        </row>
        <row r="1338">
          <cell r="N1338">
            <v>18.627599999999997</v>
          </cell>
          <cell r="O1338">
            <v>26.599799999999998</v>
          </cell>
        </row>
        <row r="1339">
          <cell r="N1339">
            <v>5.1983999999999995</v>
          </cell>
          <cell r="O1339">
            <v>7.4231999999999996</v>
          </cell>
        </row>
        <row r="1340">
          <cell r="N1340">
            <v>5.1983999999999995</v>
          </cell>
          <cell r="O1340">
            <v>7.4231999999999996</v>
          </cell>
        </row>
        <row r="1341">
          <cell r="N1341">
            <v>9.5304000000000002</v>
          </cell>
          <cell r="O1341">
            <v>13.609200000000001</v>
          </cell>
        </row>
        <row r="1342">
          <cell r="N1342">
            <v>4.7652000000000001</v>
          </cell>
          <cell r="O1342">
            <v>6.8046000000000006</v>
          </cell>
        </row>
        <row r="1343">
          <cell r="N1343">
            <v>20.884799999999998</v>
          </cell>
          <cell r="O1343">
            <v>0</v>
          </cell>
        </row>
        <row r="1344">
          <cell r="N1344">
            <v>24.5456</v>
          </cell>
          <cell r="O1344">
            <v>0</v>
          </cell>
        </row>
        <row r="1345">
          <cell r="N1345">
            <v>13.0016</v>
          </cell>
          <cell r="O1345">
            <v>0</v>
          </cell>
        </row>
        <row r="1346">
          <cell r="N1346">
            <v>53.667300000000004</v>
          </cell>
          <cell r="O1346">
            <v>0</v>
          </cell>
        </row>
        <row r="1347">
          <cell r="N1347">
            <v>7.1439999999999992</v>
          </cell>
          <cell r="O1347">
            <v>0</v>
          </cell>
        </row>
        <row r="1348">
          <cell r="N1348">
            <v>68.131800000000013</v>
          </cell>
          <cell r="O1348">
            <v>0</v>
          </cell>
        </row>
        <row r="1349">
          <cell r="N1349">
            <v>10.366400000000001</v>
          </cell>
          <cell r="O1349">
            <v>0</v>
          </cell>
        </row>
        <row r="1350">
          <cell r="N1350">
            <v>15.922900000000002</v>
          </cell>
          <cell r="O1350">
            <v>0</v>
          </cell>
        </row>
        <row r="1351">
          <cell r="N1351">
            <v>15.678399999999998</v>
          </cell>
          <cell r="O1351">
            <v>0</v>
          </cell>
        </row>
        <row r="1352">
          <cell r="N1352">
            <v>15.678399999999998</v>
          </cell>
          <cell r="O1352">
            <v>0</v>
          </cell>
        </row>
        <row r="1353">
          <cell r="N1353">
            <v>15.678399999999998</v>
          </cell>
          <cell r="O1353">
            <v>0</v>
          </cell>
        </row>
        <row r="1354">
          <cell r="N1354">
            <v>15.678399999999998</v>
          </cell>
          <cell r="O1354">
            <v>0</v>
          </cell>
        </row>
        <row r="1355">
          <cell r="N1355">
            <v>21.223199999999999</v>
          </cell>
          <cell r="O1355">
            <v>0</v>
          </cell>
        </row>
        <row r="1356">
          <cell r="N1356">
            <v>23.521999999999998</v>
          </cell>
          <cell r="O1356">
            <v>0</v>
          </cell>
        </row>
        <row r="1357">
          <cell r="N1357">
            <v>15.076500000000001</v>
          </cell>
          <cell r="O1357">
            <v>0</v>
          </cell>
        </row>
        <row r="1358">
          <cell r="N1358">
            <v>14.913599999999999</v>
          </cell>
          <cell r="O1358">
            <v>0</v>
          </cell>
        </row>
        <row r="1359">
          <cell r="N1359">
            <v>15.773999999999999</v>
          </cell>
          <cell r="O1359">
            <v>0</v>
          </cell>
        </row>
        <row r="1360">
          <cell r="N1360">
            <v>10.061400000000001</v>
          </cell>
          <cell r="O1360">
            <v>0</v>
          </cell>
        </row>
        <row r="1361">
          <cell r="N1361">
            <v>26.921500000000002</v>
          </cell>
          <cell r="O1361">
            <v>0</v>
          </cell>
        </row>
        <row r="1362">
          <cell r="N1362">
            <v>15.295999999999999</v>
          </cell>
          <cell r="O1362">
            <v>0</v>
          </cell>
        </row>
        <row r="1363">
          <cell r="N1363">
            <v>0.89570000000000005</v>
          </cell>
          <cell r="O1363">
            <v>0</v>
          </cell>
        </row>
        <row r="1364">
          <cell r="N1364">
            <v>21.069000000000003</v>
          </cell>
          <cell r="O1364">
            <v>0</v>
          </cell>
        </row>
        <row r="1365">
          <cell r="N1365">
            <v>0</v>
          </cell>
          <cell r="O1365">
            <v>0</v>
          </cell>
        </row>
        <row r="1366">
          <cell r="N1366">
            <v>0</v>
          </cell>
          <cell r="O1366">
            <v>0</v>
          </cell>
        </row>
        <row r="1367">
          <cell r="N1367">
            <v>18.260000000000002</v>
          </cell>
          <cell r="O1367">
            <v>0</v>
          </cell>
        </row>
        <row r="1368">
          <cell r="N1368">
            <v>13.288399999999999</v>
          </cell>
          <cell r="O1368">
            <v>0</v>
          </cell>
        </row>
        <row r="1369">
          <cell r="N1369">
            <v>34.320399999999999</v>
          </cell>
          <cell r="O1369">
            <v>0</v>
          </cell>
        </row>
        <row r="1370">
          <cell r="N1370">
            <v>6.0647999999999991</v>
          </cell>
          <cell r="O1370">
            <v>8.6603999999999992</v>
          </cell>
        </row>
        <row r="1371">
          <cell r="N1371">
            <v>14.531199999999998</v>
          </cell>
          <cell r="O1371">
            <v>0</v>
          </cell>
        </row>
        <row r="1372">
          <cell r="N1372">
            <v>24.473600000000001</v>
          </cell>
          <cell r="O1372">
            <v>0</v>
          </cell>
        </row>
        <row r="1373">
          <cell r="N1373">
            <v>13.766399999999999</v>
          </cell>
          <cell r="O1373">
            <v>0</v>
          </cell>
        </row>
        <row r="1374">
          <cell r="N1374">
            <v>8.6639999999999997</v>
          </cell>
          <cell r="O1374">
            <v>12.372</v>
          </cell>
        </row>
        <row r="1375">
          <cell r="N1375">
            <v>24.378</v>
          </cell>
          <cell r="O1375">
            <v>0</v>
          </cell>
        </row>
        <row r="1376">
          <cell r="N1376">
            <v>9.4116000000000017</v>
          </cell>
          <cell r="O1376">
            <v>0</v>
          </cell>
        </row>
        <row r="1377">
          <cell r="N1377">
            <v>7.9112</v>
          </cell>
          <cell r="O1377">
            <v>0</v>
          </cell>
        </row>
        <row r="1378">
          <cell r="N1378">
            <v>10.639200000000001</v>
          </cell>
          <cell r="O1378">
            <v>0</v>
          </cell>
        </row>
        <row r="1379">
          <cell r="N1379">
            <v>22.779199999999999</v>
          </cell>
          <cell r="O1379">
            <v>0</v>
          </cell>
        </row>
        <row r="1380">
          <cell r="N1380">
            <v>6.7518000000000011</v>
          </cell>
          <cell r="O1380">
            <v>0</v>
          </cell>
        </row>
        <row r="1381">
          <cell r="N1381">
            <v>20.050799999999999</v>
          </cell>
          <cell r="O1381">
            <v>0</v>
          </cell>
        </row>
        <row r="1382">
          <cell r="N1382">
            <v>15.678399999999998</v>
          </cell>
          <cell r="O1382">
            <v>0</v>
          </cell>
        </row>
        <row r="1383">
          <cell r="N1383">
            <v>15.678399999999998</v>
          </cell>
          <cell r="O1383">
            <v>0</v>
          </cell>
        </row>
        <row r="1384">
          <cell r="N1384">
            <v>15.678399999999998</v>
          </cell>
          <cell r="O1384">
            <v>0</v>
          </cell>
        </row>
        <row r="1385">
          <cell r="N1385">
            <v>15.678399999999998</v>
          </cell>
          <cell r="O1385">
            <v>0</v>
          </cell>
        </row>
        <row r="1386">
          <cell r="N1386">
            <v>4.4739200000000006</v>
          </cell>
          <cell r="O1386">
            <v>0</v>
          </cell>
        </row>
        <row r="1387">
          <cell r="N1387">
            <v>7.7079999999999993</v>
          </cell>
          <cell r="O1387">
            <v>0</v>
          </cell>
        </row>
        <row r="1388">
          <cell r="N1388">
            <v>0.3211</v>
          </cell>
          <cell r="O1388">
            <v>0</v>
          </cell>
        </row>
        <row r="1389">
          <cell r="N1389">
            <v>7.3643999999999998</v>
          </cell>
          <cell r="O1389">
            <v>10.5162</v>
          </cell>
        </row>
        <row r="1390">
          <cell r="N1390">
            <v>9.0972000000000008</v>
          </cell>
          <cell r="O1390">
            <v>12.990600000000001</v>
          </cell>
        </row>
        <row r="1391">
          <cell r="N1391">
            <v>3.6009600000000002</v>
          </cell>
          <cell r="O1391">
            <v>0</v>
          </cell>
        </row>
        <row r="1392">
          <cell r="N1392">
            <v>12.27</v>
          </cell>
          <cell r="O1392">
            <v>0</v>
          </cell>
        </row>
        <row r="1393">
          <cell r="N1393">
            <v>6.9089999999999989</v>
          </cell>
          <cell r="O1393">
            <v>0</v>
          </cell>
        </row>
        <row r="1394">
          <cell r="N1394">
            <v>4.0101600000000008</v>
          </cell>
          <cell r="O1394">
            <v>0</v>
          </cell>
        </row>
        <row r="1395">
          <cell r="N1395">
            <v>7.2379999999999995</v>
          </cell>
          <cell r="O1395">
            <v>0</v>
          </cell>
        </row>
        <row r="1396">
          <cell r="N1396">
            <v>19.3248</v>
          </cell>
          <cell r="O1396">
            <v>0</v>
          </cell>
        </row>
        <row r="1397">
          <cell r="N1397">
            <v>0</v>
          </cell>
          <cell r="O1397">
            <v>0</v>
          </cell>
        </row>
        <row r="1398">
          <cell r="N1398">
            <v>5</v>
          </cell>
          <cell r="O1398">
            <v>0</v>
          </cell>
        </row>
        <row r="1399">
          <cell r="N1399">
            <v>10.133599999999999</v>
          </cell>
          <cell r="O1399">
            <v>0</v>
          </cell>
        </row>
        <row r="1400">
          <cell r="N1400">
            <v>10.133599999999999</v>
          </cell>
          <cell r="O1400">
            <v>0</v>
          </cell>
        </row>
        <row r="1401">
          <cell r="N1401">
            <v>15.487199999999998</v>
          </cell>
          <cell r="O1401">
            <v>0</v>
          </cell>
        </row>
        <row r="1402">
          <cell r="N1402">
            <v>20.745199999999997</v>
          </cell>
          <cell r="O1402">
            <v>0</v>
          </cell>
        </row>
        <row r="1403">
          <cell r="N1403">
            <v>14.526600000000002</v>
          </cell>
          <cell r="O1403">
            <v>0</v>
          </cell>
        </row>
        <row r="1404">
          <cell r="N1404">
            <v>0</v>
          </cell>
          <cell r="O1404">
            <v>0</v>
          </cell>
        </row>
        <row r="1405">
          <cell r="N1405">
            <v>0</v>
          </cell>
          <cell r="O1405">
            <v>0</v>
          </cell>
        </row>
        <row r="1406">
          <cell r="N1406">
            <v>23.326399999999996</v>
          </cell>
          <cell r="O1406">
            <v>0</v>
          </cell>
        </row>
        <row r="1407">
          <cell r="N1407">
            <v>18.277600000000003</v>
          </cell>
          <cell r="O1407">
            <v>0</v>
          </cell>
        </row>
        <row r="1408">
          <cell r="N1408">
            <v>14.244400000000001</v>
          </cell>
          <cell r="O1408">
            <v>0</v>
          </cell>
        </row>
        <row r="1409">
          <cell r="N1409">
            <v>12.3324</v>
          </cell>
          <cell r="O1409">
            <v>0</v>
          </cell>
        </row>
        <row r="1410">
          <cell r="N1410">
            <v>12.3324</v>
          </cell>
          <cell r="O1410">
            <v>0</v>
          </cell>
        </row>
        <row r="1411">
          <cell r="N1411">
            <v>29.941400000000002</v>
          </cell>
          <cell r="O1411">
            <v>0</v>
          </cell>
        </row>
        <row r="1412">
          <cell r="N1412">
            <v>21.794800000000002</v>
          </cell>
          <cell r="O1412">
            <v>0</v>
          </cell>
        </row>
        <row r="1413">
          <cell r="N1413">
            <v>5.2371000000000008</v>
          </cell>
          <cell r="O1413">
            <v>0</v>
          </cell>
        </row>
        <row r="1414">
          <cell r="N1414">
            <v>6.0647999999999991</v>
          </cell>
          <cell r="O1414">
            <v>8.6603999999999992</v>
          </cell>
        </row>
        <row r="1415">
          <cell r="N1415">
            <v>5.6315999999999997</v>
          </cell>
          <cell r="O1415">
            <v>8.0418000000000003</v>
          </cell>
        </row>
        <row r="1416">
          <cell r="N1416">
            <v>8.6639999999999997</v>
          </cell>
          <cell r="O1416">
            <v>12.372</v>
          </cell>
        </row>
        <row r="1417">
          <cell r="N1417">
            <v>5.1983999999999995</v>
          </cell>
          <cell r="O1417">
            <v>7.4231999999999996</v>
          </cell>
        </row>
        <row r="1418">
          <cell r="N1418">
            <v>10.229199999999999</v>
          </cell>
          <cell r="O1418">
            <v>0</v>
          </cell>
        </row>
        <row r="1419">
          <cell r="N1419">
            <v>0</v>
          </cell>
          <cell r="O1419">
            <v>0</v>
          </cell>
        </row>
        <row r="1420">
          <cell r="N1420">
            <v>0</v>
          </cell>
          <cell r="O1420">
            <v>0</v>
          </cell>
        </row>
        <row r="1421">
          <cell r="N1421">
            <v>0</v>
          </cell>
          <cell r="O1421">
            <v>0</v>
          </cell>
        </row>
        <row r="1422">
          <cell r="N1422">
            <v>0</v>
          </cell>
          <cell r="O1422">
            <v>0</v>
          </cell>
        </row>
        <row r="1423">
          <cell r="N1423">
            <v>0</v>
          </cell>
          <cell r="O1423">
            <v>0</v>
          </cell>
        </row>
        <row r="1424">
          <cell r="N1424">
            <v>0</v>
          </cell>
          <cell r="O1424">
            <v>0</v>
          </cell>
        </row>
        <row r="1425">
          <cell r="N1425">
            <v>0</v>
          </cell>
          <cell r="O1425">
            <v>0</v>
          </cell>
        </row>
        <row r="1426">
          <cell r="N1426">
            <v>0</v>
          </cell>
          <cell r="O1426">
            <v>0</v>
          </cell>
        </row>
        <row r="1427">
          <cell r="N1427">
            <v>0</v>
          </cell>
          <cell r="O1427">
            <v>0</v>
          </cell>
        </row>
        <row r="1428">
          <cell r="N1428">
            <v>0</v>
          </cell>
          <cell r="O1428">
            <v>0</v>
          </cell>
        </row>
        <row r="1429">
          <cell r="N1429">
            <v>0</v>
          </cell>
          <cell r="O1429">
            <v>0</v>
          </cell>
        </row>
        <row r="1430">
          <cell r="N1430">
            <v>0</v>
          </cell>
          <cell r="O1430">
            <v>0</v>
          </cell>
        </row>
        <row r="1431">
          <cell r="N1431">
            <v>0</v>
          </cell>
          <cell r="O1431">
            <v>0</v>
          </cell>
        </row>
        <row r="1432">
          <cell r="N1432">
            <v>0</v>
          </cell>
          <cell r="O1432">
            <v>0</v>
          </cell>
        </row>
        <row r="1433">
          <cell r="N1433">
            <v>0</v>
          </cell>
          <cell r="O1433">
            <v>0</v>
          </cell>
        </row>
        <row r="1434">
          <cell r="N1434">
            <v>0</v>
          </cell>
          <cell r="O1434">
            <v>0</v>
          </cell>
        </row>
        <row r="1435">
          <cell r="N1435">
            <v>0</v>
          </cell>
          <cell r="O1435">
            <v>0</v>
          </cell>
        </row>
        <row r="1436">
          <cell r="N1436">
            <v>0</v>
          </cell>
          <cell r="O1436">
            <v>0</v>
          </cell>
        </row>
        <row r="1437">
          <cell r="N1437">
            <v>0</v>
          </cell>
          <cell r="O1437">
            <v>0</v>
          </cell>
        </row>
        <row r="1438">
          <cell r="N1438">
            <v>0</v>
          </cell>
          <cell r="O1438">
            <v>0</v>
          </cell>
        </row>
        <row r="1439">
          <cell r="N1439">
            <v>0</v>
          </cell>
          <cell r="O1439">
            <v>0</v>
          </cell>
        </row>
        <row r="1440">
          <cell r="N1440">
            <v>0</v>
          </cell>
          <cell r="O1440">
            <v>0</v>
          </cell>
        </row>
        <row r="1441">
          <cell r="N1441">
            <v>20.884799999999998</v>
          </cell>
          <cell r="O1441">
            <v>0</v>
          </cell>
        </row>
        <row r="1442">
          <cell r="N1442">
            <v>0</v>
          </cell>
          <cell r="O1442">
            <v>0</v>
          </cell>
        </row>
        <row r="1443">
          <cell r="N1443">
            <v>0</v>
          </cell>
          <cell r="O1443">
            <v>0</v>
          </cell>
        </row>
        <row r="1444">
          <cell r="N1444">
            <v>0</v>
          </cell>
          <cell r="O1444">
            <v>0</v>
          </cell>
        </row>
        <row r="1445">
          <cell r="N1445">
            <v>15.777600000000001</v>
          </cell>
          <cell r="O1445">
            <v>0</v>
          </cell>
        </row>
        <row r="1446">
          <cell r="N1446">
            <v>0</v>
          </cell>
          <cell r="O1446">
            <v>0</v>
          </cell>
        </row>
        <row r="1447">
          <cell r="N1447">
            <v>0</v>
          </cell>
          <cell r="O1447">
            <v>0</v>
          </cell>
        </row>
        <row r="1448">
          <cell r="N1448">
            <v>0</v>
          </cell>
          <cell r="O1448">
            <v>0</v>
          </cell>
        </row>
        <row r="1449">
          <cell r="N1449">
            <v>20.884799999999998</v>
          </cell>
          <cell r="O1449">
            <v>0</v>
          </cell>
        </row>
        <row r="1450">
          <cell r="N1450">
            <v>0</v>
          </cell>
          <cell r="O1450">
            <v>0</v>
          </cell>
        </row>
        <row r="1451">
          <cell r="N1451">
            <v>0</v>
          </cell>
          <cell r="O1451">
            <v>0</v>
          </cell>
        </row>
        <row r="1452">
          <cell r="N1452">
            <v>0</v>
          </cell>
          <cell r="O1452">
            <v>0</v>
          </cell>
        </row>
        <row r="1453">
          <cell r="N1453">
            <v>0</v>
          </cell>
          <cell r="O1453">
            <v>0</v>
          </cell>
        </row>
        <row r="1454">
          <cell r="N1454">
            <v>0</v>
          </cell>
          <cell r="O1454">
            <v>0</v>
          </cell>
        </row>
        <row r="1455">
          <cell r="N1455">
            <v>0</v>
          </cell>
          <cell r="O1455">
            <v>0</v>
          </cell>
        </row>
        <row r="1456">
          <cell r="N1456">
            <v>0</v>
          </cell>
          <cell r="O1456">
            <v>0</v>
          </cell>
        </row>
        <row r="1457">
          <cell r="N1457">
            <v>0</v>
          </cell>
          <cell r="O1457">
            <v>0</v>
          </cell>
        </row>
        <row r="1458">
          <cell r="N1458">
            <v>0</v>
          </cell>
          <cell r="O1458">
            <v>0</v>
          </cell>
        </row>
        <row r="1459">
          <cell r="N1459">
            <v>39.675000000000004</v>
          </cell>
          <cell r="O1459">
            <v>0</v>
          </cell>
        </row>
        <row r="1460">
          <cell r="N1460">
            <v>9.7584</v>
          </cell>
          <cell r="O1460">
            <v>0</v>
          </cell>
        </row>
        <row r="1461">
          <cell r="N1461">
            <v>21.530300000000004</v>
          </cell>
          <cell r="O1461">
            <v>0</v>
          </cell>
        </row>
        <row r="1462">
          <cell r="N1462">
            <v>5.3</v>
          </cell>
          <cell r="O1462">
            <v>0</v>
          </cell>
        </row>
        <row r="1463">
          <cell r="N1463">
            <v>0</v>
          </cell>
          <cell r="O1463">
            <v>0</v>
          </cell>
        </row>
        <row r="1464">
          <cell r="N1464">
            <v>12.995999999999999</v>
          </cell>
          <cell r="O1464">
            <v>18.558</v>
          </cell>
        </row>
        <row r="1465">
          <cell r="N1465">
            <v>13.4292</v>
          </cell>
          <cell r="O1465">
            <v>19.176600000000001</v>
          </cell>
        </row>
        <row r="1466">
          <cell r="N1466">
            <v>0</v>
          </cell>
          <cell r="O1466">
            <v>0</v>
          </cell>
        </row>
        <row r="1467">
          <cell r="N1467">
            <v>0</v>
          </cell>
          <cell r="O1467">
            <v>0</v>
          </cell>
        </row>
        <row r="1468">
          <cell r="N1468">
            <v>0</v>
          </cell>
          <cell r="O1468">
            <v>0</v>
          </cell>
        </row>
        <row r="1469">
          <cell r="N1469">
            <v>26.5029</v>
          </cell>
          <cell r="O1469">
            <v>0</v>
          </cell>
        </row>
        <row r="1470">
          <cell r="N1470">
            <v>22.218</v>
          </cell>
          <cell r="O1470">
            <v>0</v>
          </cell>
        </row>
        <row r="1471">
          <cell r="N1471">
            <v>0</v>
          </cell>
          <cell r="O1471">
            <v>0</v>
          </cell>
        </row>
        <row r="1472">
          <cell r="N1472">
            <v>0</v>
          </cell>
          <cell r="O1472">
            <v>0</v>
          </cell>
        </row>
        <row r="1473">
          <cell r="N1473">
            <v>0</v>
          </cell>
          <cell r="O1473">
            <v>0</v>
          </cell>
        </row>
        <row r="1474">
          <cell r="N1474">
            <v>0</v>
          </cell>
          <cell r="O1474">
            <v>0</v>
          </cell>
        </row>
        <row r="1475">
          <cell r="N1475">
            <v>0</v>
          </cell>
          <cell r="O1475">
            <v>0</v>
          </cell>
        </row>
        <row r="1476">
          <cell r="N1476">
            <v>0</v>
          </cell>
          <cell r="O1476">
            <v>0</v>
          </cell>
        </row>
        <row r="1477">
          <cell r="N1477">
            <v>0</v>
          </cell>
          <cell r="O1477">
            <v>0</v>
          </cell>
        </row>
        <row r="1478">
          <cell r="N1478">
            <v>0</v>
          </cell>
          <cell r="O1478">
            <v>0</v>
          </cell>
        </row>
        <row r="1479">
          <cell r="N1479">
            <v>0</v>
          </cell>
          <cell r="O1479">
            <v>0</v>
          </cell>
        </row>
        <row r="1480">
          <cell r="N1480">
            <v>0</v>
          </cell>
          <cell r="O1480">
            <v>0</v>
          </cell>
        </row>
        <row r="1481">
          <cell r="N1481">
            <v>0</v>
          </cell>
          <cell r="O1481">
            <v>0</v>
          </cell>
        </row>
        <row r="1482">
          <cell r="N1482">
            <v>5.9</v>
          </cell>
          <cell r="O1482">
            <v>0</v>
          </cell>
        </row>
        <row r="1483">
          <cell r="N1483">
            <v>3</v>
          </cell>
          <cell r="O1483">
            <v>0</v>
          </cell>
        </row>
        <row r="1484">
          <cell r="N1484">
            <v>13.588800000000001</v>
          </cell>
          <cell r="O1484">
            <v>0</v>
          </cell>
        </row>
        <row r="1485">
          <cell r="N1485">
            <v>29.994300000000003</v>
          </cell>
          <cell r="O1485">
            <v>0</v>
          </cell>
        </row>
        <row r="1486">
          <cell r="N1486">
            <v>11.003200000000001</v>
          </cell>
          <cell r="O1486">
            <v>0</v>
          </cell>
        </row>
        <row r="1487">
          <cell r="N1487">
            <v>34.279200000000003</v>
          </cell>
          <cell r="O1487">
            <v>0</v>
          </cell>
        </row>
        <row r="1488">
          <cell r="N1488">
            <v>2.5392000000000001</v>
          </cell>
          <cell r="O1488">
            <v>0</v>
          </cell>
        </row>
        <row r="1489">
          <cell r="N1489">
            <v>11.955400000000001</v>
          </cell>
          <cell r="O1489">
            <v>0</v>
          </cell>
        </row>
        <row r="1490">
          <cell r="N1490">
            <v>18.376999999999999</v>
          </cell>
          <cell r="O1490">
            <v>0</v>
          </cell>
        </row>
        <row r="1491">
          <cell r="N1491">
            <v>5.5651200000000003</v>
          </cell>
          <cell r="O1491">
            <v>0</v>
          </cell>
        </row>
        <row r="1492">
          <cell r="N1492">
            <v>60.643439999999998</v>
          </cell>
          <cell r="O1492">
            <v>0</v>
          </cell>
        </row>
        <row r="1493">
          <cell r="N1493">
            <v>3.6555200000000005</v>
          </cell>
          <cell r="O1493">
            <v>0</v>
          </cell>
        </row>
        <row r="1494">
          <cell r="N1494">
            <v>3.5736800000000004</v>
          </cell>
          <cell r="O1494">
            <v>0</v>
          </cell>
        </row>
        <row r="1495">
          <cell r="N1495">
            <v>23.372800000000002</v>
          </cell>
          <cell r="O1495">
            <v>0</v>
          </cell>
        </row>
        <row r="1496">
          <cell r="N1496">
            <v>3.7100800000000005</v>
          </cell>
          <cell r="O1496">
            <v>0</v>
          </cell>
        </row>
        <row r="1497">
          <cell r="N1497">
            <v>1.7914000000000001</v>
          </cell>
          <cell r="O1497">
            <v>0</v>
          </cell>
        </row>
        <row r="1498">
          <cell r="N1498">
            <v>4.0920000000000005</v>
          </cell>
          <cell r="O1498">
            <v>0</v>
          </cell>
        </row>
        <row r="1499">
          <cell r="N1499">
            <v>4.14656</v>
          </cell>
          <cell r="O1499">
            <v>0</v>
          </cell>
        </row>
        <row r="1500">
          <cell r="N1500">
            <v>4.5557600000000003</v>
          </cell>
          <cell r="O1500">
            <v>0</v>
          </cell>
        </row>
        <row r="1501">
          <cell r="N1501">
            <v>3.9283200000000007</v>
          </cell>
          <cell r="O1501">
            <v>0</v>
          </cell>
        </row>
        <row r="1502">
          <cell r="N1502">
            <v>34.433280000000003</v>
          </cell>
          <cell r="O1502">
            <v>0</v>
          </cell>
        </row>
        <row r="1503">
          <cell r="N1503">
            <v>4.6771199999999995</v>
          </cell>
          <cell r="O1503">
            <v>0</v>
          </cell>
        </row>
        <row r="1504">
          <cell r="N1504">
            <v>7.8624000000000001</v>
          </cell>
          <cell r="O1504">
            <v>0</v>
          </cell>
        </row>
        <row r="1505">
          <cell r="N1505">
            <v>4.9190399999999999</v>
          </cell>
          <cell r="O1505">
            <v>0</v>
          </cell>
        </row>
        <row r="1506">
          <cell r="N1506">
            <v>2.6208</v>
          </cell>
          <cell r="O1506">
            <v>0</v>
          </cell>
        </row>
        <row r="1507">
          <cell r="N1507">
            <v>4.3142399999999999</v>
          </cell>
          <cell r="O1507">
            <v>0</v>
          </cell>
        </row>
        <row r="1508">
          <cell r="N1508">
            <v>6.2899199999999995</v>
          </cell>
          <cell r="O1508">
            <v>0</v>
          </cell>
        </row>
        <row r="1509">
          <cell r="N1509">
            <v>50.263999999999996</v>
          </cell>
          <cell r="O1509">
            <v>0</v>
          </cell>
        </row>
        <row r="1510">
          <cell r="N1510">
            <v>100.74504</v>
          </cell>
          <cell r="O1510">
            <v>0</v>
          </cell>
        </row>
        <row r="1511">
          <cell r="N1511">
            <v>207.13704000000001</v>
          </cell>
          <cell r="O1511">
            <v>0</v>
          </cell>
        </row>
        <row r="1512">
          <cell r="N1512">
            <v>5.2650400000000008</v>
          </cell>
          <cell r="O1512">
            <v>0</v>
          </cell>
        </row>
        <row r="1513">
          <cell r="N1513">
            <v>10.387</v>
          </cell>
          <cell r="O1513">
            <v>0</v>
          </cell>
        </row>
        <row r="1514">
          <cell r="N1514">
            <v>8.675040000000001</v>
          </cell>
          <cell r="O1514">
            <v>0</v>
          </cell>
        </row>
        <row r="1515">
          <cell r="N1515">
            <v>5.2650400000000008</v>
          </cell>
          <cell r="O1515">
            <v>0</v>
          </cell>
        </row>
        <row r="1516">
          <cell r="N1516">
            <v>3.7373600000000002</v>
          </cell>
          <cell r="O1516">
            <v>0</v>
          </cell>
        </row>
        <row r="1517">
          <cell r="N1517">
            <v>4.14656</v>
          </cell>
          <cell r="O1517">
            <v>0</v>
          </cell>
        </row>
        <row r="1518">
          <cell r="N1518">
            <v>0</v>
          </cell>
          <cell r="O1518">
            <v>0</v>
          </cell>
        </row>
        <row r="1519">
          <cell r="N1519">
            <v>5.0740800000000013</v>
          </cell>
          <cell r="O1519">
            <v>0</v>
          </cell>
        </row>
        <row r="1520">
          <cell r="N1520">
            <v>0</v>
          </cell>
          <cell r="O1520">
            <v>0</v>
          </cell>
        </row>
        <row r="1521">
          <cell r="N1521">
            <v>0</v>
          </cell>
          <cell r="O1521">
            <v>0</v>
          </cell>
        </row>
        <row r="1522">
          <cell r="N1522">
            <v>0</v>
          </cell>
          <cell r="O1522">
            <v>0</v>
          </cell>
        </row>
        <row r="1523">
          <cell r="N1523">
            <v>6.2951000000000006</v>
          </cell>
          <cell r="O1523">
            <v>0</v>
          </cell>
        </row>
        <row r="1524">
          <cell r="N1524">
            <v>0</v>
          </cell>
          <cell r="O1524">
            <v>0</v>
          </cell>
        </row>
        <row r="1525">
          <cell r="N1525">
            <v>10.6982</v>
          </cell>
          <cell r="O1525">
            <v>0</v>
          </cell>
        </row>
        <row r="1526">
          <cell r="N1526">
            <v>0.90024000000000004</v>
          </cell>
          <cell r="O1526">
            <v>0</v>
          </cell>
        </row>
        <row r="1527">
          <cell r="N1527">
            <v>4.0101600000000008</v>
          </cell>
          <cell r="O1527">
            <v>0</v>
          </cell>
        </row>
        <row r="1528">
          <cell r="N1528">
            <v>3.6828000000000007</v>
          </cell>
          <cell r="O1528">
            <v>0</v>
          </cell>
        </row>
        <row r="1529">
          <cell r="N1529">
            <v>6.0647999999999991</v>
          </cell>
          <cell r="O1529">
            <v>0</v>
          </cell>
        </row>
        <row r="1530">
          <cell r="N1530">
            <v>3.3800000000000003</v>
          </cell>
          <cell r="O1530">
            <v>0</v>
          </cell>
        </row>
        <row r="1531">
          <cell r="N1531">
            <v>3.9039000000000006</v>
          </cell>
          <cell r="O1531">
            <v>0</v>
          </cell>
        </row>
        <row r="1532">
          <cell r="N1532">
            <v>8.1043200000000013</v>
          </cell>
          <cell r="O1532">
            <v>0</v>
          </cell>
        </row>
        <row r="1533">
          <cell r="N1533">
            <v>2.7378</v>
          </cell>
          <cell r="O1533">
            <v>0</v>
          </cell>
        </row>
        <row r="1534">
          <cell r="N1534">
            <v>2.8224</v>
          </cell>
          <cell r="O1534">
            <v>0</v>
          </cell>
        </row>
        <row r="1535">
          <cell r="N1535">
            <v>8.0236799999999988</v>
          </cell>
          <cell r="O1535">
            <v>0</v>
          </cell>
        </row>
        <row r="1536">
          <cell r="N1536">
            <v>0</v>
          </cell>
          <cell r="O1536">
            <v>0</v>
          </cell>
        </row>
        <row r="1537">
          <cell r="N1537">
            <v>40.347119999999997</v>
          </cell>
          <cell r="O1537">
            <v>0</v>
          </cell>
        </row>
        <row r="1538">
          <cell r="N1538">
            <v>13.14432</v>
          </cell>
          <cell r="O1538">
            <v>0</v>
          </cell>
        </row>
        <row r="1539">
          <cell r="N1539">
            <v>2.2579199999999999</v>
          </cell>
          <cell r="O1539">
            <v>0</v>
          </cell>
        </row>
        <row r="1540">
          <cell r="N1540">
            <v>6.9298999999999999</v>
          </cell>
          <cell r="O1540">
            <v>0</v>
          </cell>
        </row>
        <row r="1541">
          <cell r="N1541">
            <v>6.9350399999999999</v>
          </cell>
          <cell r="O1541">
            <v>0</v>
          </cell>
        </row>
        <row r="1542">
          <cell r="N1542">
            <v>2.8037000000000001</v>
          </cell>
          <cell r="O1542">
            <v>0</v>
          </cell>
        </row>
        <row r="1543">
          <cell r="N1543">
            <v>3.9513600000000002</v>
          </cell>
          <cell r="O1543">
            <v>0</v>
          </cell>
        </row>
        <row r="1544">
          <cell r="N1544">
            <v>6.3705600000000002</v>
          </cell>
          <cell r="O1544">
            <v>0</v>
          </cell>
        </row>
        <row r="1545">
          <cell r="N1545">
            <v>3.1449599999999998</v>
          </cell>
          <cell r="O1545">
            <v>0</v>
          </cell>
        </row>
        <row r="1546">
          <cell r="N1546">
            <v>5.5105600000000008</v>
          </cell>
          <cell r="O1546">
            <v>0</v>
          </cell>
        </row>
        <row r="1547">
          <cell r="N1547">
            <v>0.9971000000000001</v>
          </cell>
          <cell r="O1547">
            <v>0</v>
          </cell>
        </row>
        <row r="1548">
          <cell r="N1548">
            <v>0</v>
          </cell>
          <cell r="O1548">
            <v>0</v>
          </cell>
        </row>
        <row r="1549">
          <cell r="N1549">
            <v>40.592640000000003</v>
          </cell>
          <cell r="O1549">
            <v>0</v>
          </cell>
        </row>
        <row r="1550">
          <cell r="N1550">
            <v>1.2696000000000001</v>
          </cell>
          <cell r="O1550">
            <v>0</v>
          </cell>
        </row>
        <row r="1551">
          <cell r="N1551">
            <v>23.392800000000001</v>
          </cell>
          <cell r="O1551">
            <v>33.404400000000003</v>
          </cell>
        </row>
        <row r="1552">
          <cell r="N1552">
            <v>20.869199999999999</v>
          </cell>
          <cell r="O1552">
            <v>0</v>
          </cell>
        </row>
        <row r="1553">
          <cell r="N1553">
            <v>9.0023999999999997</v>
          </cell>
          <cell r="O1553">
            <v>0</v>
          </cell>
        </row>
        <row r="1554">
          <cell r="N1554">
            <v>4.5494000000000003</v>
          </cell>
          <cell r="O1554">
            <v>0</v>
          </cell>
        </row>
        <row r="1555">
          <cell r="N1555">
            <v>0</v>
          </cell>
          <cell r="O1555">
            <v>0</v>
          </cell>
        </row>
        <row r="1556">
          <cell r="N1556">
            <v>0</v>
          </cell>
          <cell r="O1556">
            <v>0</v>
          </cell>
        </row>
        <row r="1557">
          <cell r="N1557">
            <v>0</v>
          </cell>
          <cell r="O1557">
            <v>0</v>
          </cell>
        </row>
        <row r="1558">
          <cell r="N1558">
            <v>0</v>
          </cell>
          <cell r="O1558">
            <v>0</v>
          </cell>
        </row>
        <row r="1559">
          <cell r="N1559">
            <v>0</v>
          </cell>
          <cell r="O1559">
            <v>0</v>
          </cell>
        </row>
        <row r="1560">
          <cell r="N1560">
            <v>0</v>
          </cell>
          <cell r="O1560">
            <v>0</v>
          </cell>
        </row>
        <row r="1561">
          <cell r="N1561">
            <v>0</v>
          </cell>
          <cell r="O1561">
            <v>0</v>
          </cell>
        </row>
        <row r="1562">
          <cell r="N1562">
            <v>3.8988</v>
          </cell>
          <cell r="O1562">
            <v>5.5674000000000001</v>
          </cell>
        </row>
        <row r="1563">
          <cell r="N1563">
            <v>4.75</v>
          </cell>
          <cell r="O1563">
            <v>0</v>
          </cell>
        </row>
        <row r="1564">
          <cell r="N1564">
            <v>0</v>
          </cell>
          <cell r="O1564">
            <v>0</v>
          </cell>
        </row>
        <row r="1565">
          <cell r="N1565">
            <v>3.25</v>
          </cell>
          <cell r="O1565">
            <v>0</v>
          </cell>
        </row>
        <row r="1566">
          <cell r="N1566">
            <v>7.3643999999999998</v>
          </cell>
          <cell r="O1566">
            <v>10.5162</v>
          </cell>
        </row>
        <row r="1567">
          <cell r="N1567">
            <v>4.7652000000000001</v>
          </cell>
          <cell r="O1567">
            <v>6.8046000000000006</v>
          </cell>
        </row>
        <row r="1568">
          <cell r="N1568">
            <v>4.7652000000000001</v>
          </cell>
          <cell r="O1568">
            <v>6.8046000000000006</v>
          </cell>
        </row>
        <row r="1569">
          <cell r="N1569">
            <v>4.7652000000000001</v>
          </cell>
          <cell r="O1569">
            <v>6.8046000000000006</v>
          </cell>
        </row>
        <row r="1570">
          <cell r="N1570">
            <v>5.5</v>
          </cell>
          <cell r="O1570">
            <v>0</v>
          </cell>
        </row>
        <row r="1571">
          <cell r="N1571">
            <v>5.3</v>
          </cell>
          <cell r="O1571">
            <v>0</v>
          </cell>
        </row>
        <row r="1572">
          <cell r="N1572">
            <v>5.6315999999999997</v>
          </cell>
          <cell r="O1572">
            <v>8.0418000000000003</v>
          </cell>
        </row>
        <row r="1573">
          <cell r="N1573">
            <v>5.6315999999999997</v>
          </cell>
          <cell r="O1573">
            <v>8.0418000000000003</v>
          </cell>
        </row>
        <row r="1574">
          <cell r="N1574">
            <v>7.3643999999999998</v>
          </cell>
          <cell r="O1574">
            <v>10.5162</v>
          </cell>
        </row>
        <row r="1575">
          <cell r="N1575">
            <v>2.016</v>
          </cell>
          <cell r="O1575">
            <v>0</v>
          </cell>
        </row>
        <row r="1576">
          <cell r="N1576">
            <v>0</v>
          </cell>
          <cell r="O1576">
            <v>0</v>
          </cell>
        </row>
        <row r="1577">
          <cell r="N1577">
            <v>12.6768</v>
          </cell>
          <cell r="O1577">
            <v>0</v>
          </cell>
        </row>
        <row r="1578">
          <cell r="N1578">
            <v>335.82229999999998</v>
          </cell>
          <cell r="O1578">
            <v>0</v>
          </cell>
        </row>
        <row r="1579">
          <cell r="N1579">
            <v>0</v>
          </cell>
          <cell r="O1579">
            <v>0</v>
          </cell>
        </row>
        <row r="1580">
          <cell r="N1580">
            <v>0</v>
          </cell>
          <cell r="O1580">
            <v>0</v>
          </cell>
        </row>
        <row r="1581">
          <cell r="N1581">
            <v>0</v>
          </cell>
          <cell r="O1581">
            <v>0</v>
          </cell>
        </row>
        <row r="1582">
          <cell r="N1582">
            <v>0</v>
          </cell>
          <cell r="O1582">
            <v>0</v>
          </cell>
        </row>
        <row r="1583">
          <cell r="N1583">
            <v>51.983999999999995</v>
          </cell>
          <cell r="O1583">
            <v>74.231999999999999</v>
          </cell>
        </row>
        <row r="1584">
          <cell r="N1584">
            <v>51.117600000000003</v>
          </cell>
          <cell r="O1584">
            <v>72.994799999999998</v>
          </cell>
        </row>
        <row r="1585">
          <cell r="N1585">
            <v>0</v>
          </cell>
          <cell r="O1585">
            <v>0</v>
          </cell>
        </row>
        <row r="1586">
          <cell r="N1586">
            <v>30.757199999999997</v>
          </cell>
          <cell r="O1586">
            <v>43.9206</v>
          </cell>
        </row>
        <row r="1587">
          <cell r="N1587">
            <v>3.1740000000000004</v>
          </cell>
          <cell r="O1587">
            <v>0</v>
          </cell>
        </row>
        <row r="1588">
          <cell r="N1588">
            <v>7.5118</v>
          </cell>
          <cell r="O1588">
            <v>0</v>
          </cell>
        </row>
        <row r="1589">
          <cell r="N1589">
            <v>0</v>
          </cell>
          <cell r="O1589">
            <v>0</v>
          </cell>
        </row>
        <row r="1590">
          <cell r="N1590">
            <v>33.835999999999999</v>
          </cell>
          <cell r="O1590">
            <v>0</v>
          </cell>
        </row>
        <row r="1591">
          <cell r="N1591">
            <v>56.060100000000006</v>
          </cell>
          <cell r="O1591">
            <v>0</v>
          </cell>
        </row>
        <row r="1592">
          <cell r="N1592">
            <v>37.664800000000007</v>
          </cell>
          <cell r="O1592">
            <v>0</v>
          </cell>
        </row>
        <row r="1593">
          <cell r="N1593">
            <v>0</v>
          </cell>
          <cell r="O1593">
            <v>0</v>
          </cell>
        </row>
        <row r="1594">
          <cell r="N1594">
            <v>0</v>
          </cell>
          <cell r="O1594">
            <v>0</v>
          </cell>
        </row>
        <row r="1595">
          <cell r="N1595">
            <v>0</v>
          </cell>
          <cell r="O1595">
            <v>0</v>
          </cell>
        </row>
        <row r="1596">
          <cell r="N1596">
            <v>0</v>
          </cell>
          <cell r="O1596">
            <v>0</v>
          </cell>
        </row>
        <row r="1597">
          <cell r="N1597">
            <v>0</v>
          </cell>
          <cell r="O1597">
            <v>0</v>
          </cell>
        </row>
        <row r="1598">
          <cell r="N1598">
            <v>0</v>
          </cell>
          <cell r="O1598">
            <v>0</v>
          </cell>
        </row>
        <row r="1599">
          <cell r="N1599">
            <v>0</v>
          </cell>
          <cell r="O1599">
            <v>0</v>
          </cell>
        </row>
        <row r="1600">
          <cell r="N1600">
            <v>0</v>
          </cell>
          <cell r="O1600">
            <v>0</v>
          </cell>
        </row>
        <row r="1601">
          <cell r="N1601">
            <v>0</v>
          </cell>
          <cell r="O1601">
            <v>0</v>
          </cell>
        </row>
        <row r="1602">
          <cell r="N1602">
            <v>13.132800000000001</v>
          </cell>
          <cell r="O1602">
            <v>0</v>
          </cell>
        </row>
        <row r="1603">
          <cell r="N1603">
            <v>20.313600000000001</v>
          </cell>
          <cell r="O1603">
            <v>0</v>
          </cell>
        </row>
        <row r="1604">
          <cell r="N1604">
            <v>8.1995000000000005</v>
          </cell>
          <cell r="O1604">
            <v>0</v>
          </cell>
        </row>
        <row r="1605">
          <cell r="N1605">
            <v>5.1312999999999995</v>
          </cell>
          <cell r="O1605">
            <v>0</v>
          </cell>
        </row>
        <row r="1606">
          <cell r="N1606">
            <v>90.440000000000012</v>
          </cell>
          <cell r="O1606">
            <v>0</v>
          </cell>
        </row>
        <row r="1607">
          <cell r="N1607">
            <v>16.504799999999999</v>
          </cell>
          <cell r="O1607">
            <v>0</v>
          </cell>
        </row>
        <row r="1608">
          <cell r="N1608">
            <v>0</v>
          </cell>
          <cell r="O1608">
            <v>0</v>
          </cell>
        </row>
        <row r="1609">
          <cell r="N1609">
            <v>0</v>
          </cell>
          <cell r="O1609">
            <v>0</v>
          </cell>
        </row>
        <row r="1610">
          <cell r="N1610">
            <v>0</v>
          </cell>
          <cell r="O1610">
            <v>0</v>
          </cell>
        </row>
        <row r="1611">
          <cell r="N1611">
            <v>121.7962</v>
          </cell>
          <cell r="O1611">
            <v>0</v>
          </cell>
        </row>
        <row r="1612">
          <cell r="N1612">
            <v>0</v>
          </cell>
          <cell r="O1612">
            <v>0</v>
          </cell>
        </row>
        <row r="1613">
          <cell r="N1613">
            <v>0</v>
          </cell>
          <cell r="O1613">
            <v>0</v>
          </cell>
        </row>
        <row r="1614">
          <cell r="N1614">
            <v>6.7381600000000006</v>
          </cell>
          <cell r="O1614">
            <v>0</v>
          </cell>
        </row>
        <row r="1615">
          <cell r="N1615">
            <v>7.3002000000000011</v>
          </cell>
          <cell r="O1615">
            <v>0</v>
          </cell>
        </row>
        <row r="1616">
          <cell r="N1616">
            <v>12.078999999999999</v>
          </cell>
          <cell r="O1616">
            <v>0</v>
          </cell>
        </row>
        <row r="1617">
          <cell r="N1617">
            <v>4.1192800000000007</v>
          </cell>
          <cell r="O1617">
            <v>0</v>
          </cell>
        </row>
        <row r="1618">
          <cell r="N1618">
            <v>10.762999999999998</v>
          </cell>
          <cell r="O1618">
            <v>0</v>
          </cell>
        </row>
        <row r="1619">
          <cell r="N1619">
            <v>8.3749600000000015</v>
          </cell>
          <cell r="O1619">
            <v>0</v>
          </cell>
        </row>
        <row r="1620">
          <cell r="N1620">
            <v>4.2011200000000004</v>
          </cell>
          <cell r="O1620">
            <v>0</v>
          </cell>
        </row>
        <row r="1621">
          <cell r="N1621">
            <v>4.2011200000000004</v>
          </cell>
          <cell r="O1621">
            <v>0</v>
          </cell>
        </row>
        <row r="1622">
          <cell r="N1622">
            <v>9.0972000000000008</v>
          </cell>
          <cell r="O1622">
            <v>12.990600000000001</v>
          </cell>
        </row>
        <row r="1623">
          <cell r="N1623">
            <v>5.7015200000000004</v>
          </cell>
          <cell r="O1623">
            <v>0</v>
          </cell>
        </row>
        <row r="1624">
          <cell r="N1624">
            <v>31.820800000000002</v>
          </cell>
          <cell r="O1624">
            <v>0</v>
          </cell>
        </row>
        <row r="1625">
          <cell r="N1625">
            <v>9.4467999999999996</v>
          </cell>
          <cell r="O1625">
            <v>0</v>
          </cell>
        </row>
        <row r="1626">
          <cell r="N1626">
            <v>236.35392000000002</v>
          </cell>
          <cell r="O1626">
            <v>0</v>
          </cell>
        </row>
        <row r="1627">
          <cell r="N1627">
            <v>4.9726000000000008</v>
          </cell>
          <cell r="O1627">
            <v>0</v>
          </cell>
        </row>
        <row r="1628">
          <cell r="N1628">
            <v>9.5237999999999996</v>
          </cell>
          <cell r="O1628">
            <v>0</v>
          </cell>
        </row>
        <row r="1629">
          <cell r="N1629">
            <v>6.3289600000000004</v>
          </cell>
          <cell r="O1629">
            <v>0</v>
          </cell>
        </row>
        <row r="1630">
          <cell r="N1630">
            <v>3.7373600000000002</v>
          </cell>
          <cell r="O1630">
            <v>0</v>
          </cell>
        </row>
        <row r="1631">
          <cell r="N1631">
            <v>0</v>
          </cell>
          <cell r="O1631">
            <v>0</v>
          </cell>
        </row>
        <row r="1632">
          <cell r="N1632">
            <v>2.8392000000000004</v>
          </cell>
          <cell r="O1632">
            <v>0</v>
          </cell>
        </row>
        <row r="1633">
          <cell r="N1633">
            <v>4.6103200000000006</v>
          </cell>
          <cell r="O1633">
            <v>0</v>
          </cell>
        </row>
        <row r="1634">
          <cell r="N1634">
            <v>4.7740000000000009</v>
          </cell>
          <cell r="O1634">
            <v>0</v>
          </cell>
        </row>
        <row r="1635">
          <cell r="N1635">
            <v>12.4124</v>
          </cell>
          <cell r="O1635">
            <v>0</v>
          </cell>
        </row>
        <row r="1636">
          <cell r="N1636">
            <v>4.8558400000000006</v>
          </cell>
          <cell r="O1636">
            <v>0</v>
          </cell>
        </row>
        <row r="1637">
          <cell r="N1637">
            <v>3.6555200000000005</v>
          </cell>
          <cell r="O1637">
            <v>0</v>
          </cell>
        </row>
        <row r="1638">
          <cell r="N1638">
            <v>4.4739200000000006</v>
          </cell>
          <cell r="O1638">
            <v>0</v>
          </cell>
        </row>
        <row r="1639">
          <cell r="N1639">
            <v>3.2190400000000006</v>
          </cell>
          <cell r="O1639">
            <v>0</v>
          </cell>
        </row>
        <row r="1640">
          <cell r="N1640">
            <v>7.9794</v>
          </cell>
          <cell r="O1640">
            <v>0</v>
          </cell>
        </row>
        <row r="1641">
          <cell r="N1641">
            <v>9.7935200000000009</v>
          </cell>
          <cell r="O1641">
            <v>0</v>
          </cell>
        </row>
        <row r="1642">
          <cell r="N1642">
            <v>0</v>
          </cell>
          <cell r="O1642">
            <v>0</v>
          </cell>
        </row>
        <row r="1643">
          <cell r="N1643">
            <v>4.3319999999999999</v>
          </cell>
          <cell r="O1643">
            <v>6.1859999999999999</v>
          </cell>
        </row>
        <row r="1644">
          <cell r="N1644">
            <v>4.3319999999999999</v>
          </cell>
          <cell r="O1644">
            <v>6.1859999999999999</v>
          </cell>
        </row>
        <row r="1645">
          <cell r="N1645">
            <v>4.3319999999999999</v>
          </cell>
          <cell r="O1645">
            <v>6.1859999999999999</v>
          </cell>
        </row>
        <row r="1646">
          <cell r="N1646">
            <v>4.3319999999999999</v>
          </cell>
          <cell r="O1646">
            <v>6.1859999999999999</v>
          </cell>
        </row>
        <row r="1647">
          <cell r="N1647">
            <v>4.3319999999999999</v>
          </cell>
          <cell r="O1647">
            <v>6.1859999999999999</v>
          </cell>
        </row>
        <row r="1648">
          <cell r="N1648">
            <v>4.3319999999999999</v>
          </cell>
          <cell r="O1648">
            <v>6.1859999999999999</v>
          </cell>
        </row>
        <row r="1649">
          <cell r="N1649">
            <v>4.3319999999999999</v>
          </cell>
          <cell r="O1649">
            <v>6.1859999999999999</v>
          </cell>
        </row>
        <row r="1650">
          <cell r="N1650">
            <v>4.3319999999999999</v>
          </cell>
          <cell r="O1650">
            <v>6.1859999999999999</v>
          </cell>
        </row>
        <row r="1651">
          <cell r="N1651">
            <v>0</v>
          </cell>
          <cell r="O1651">
            <v>0</v>
          </cell>
        </row>
        <row r="1652">
          <cell r="N1652">
            <v>7.2473000000000001</v>
          </cell>
          <cell r="O1652">
            <v>0</v>
          </cell>
        </row>
        <row r="1653">
          <cell r="N1653">
            <v>0</v>
          </cell>
          <cell r="O1653">
            <v>0</v>
          </cell>
        </row>
        <row r="1654">
          <cell r="N1654">
            <v>1.0051000000000001</v>
          </cell>
          <cell r="O1654">
            <v>0</v>
          </cell>
        </row>
        <row r="1655">
          <cell r="N1655">
            <v>0</v>
          </cell>
          <cell r="O1655">
            <v>0</v>
          </cell>
        </row>
        <row r="1656">
          <cell r="N1656">
            <v>8.8343000000000007</v>
          </cell>
          <cell r="O1656">
            <v>0</v>
          </cell>
        </row>
        <row r="1657">
          <cell r="N1657">
            <v>2.2747000000000002</v>
          </cell>
          <cell r="O1657">
            <v>0</v>
          </cell>
        </row>
        <row r="1658">
          <cell r="N1658">
            <v>0</v>
          </cell>
          <cell r="O1658">
            <v>0</v>
          </cell>
        </row>
        <row r="1659">
          <cell r="N1659">
            <v>6.0647999999999991</v>
          </cell>
          <cell r="O1659">
            <v>8.6603999999999992</v>
          </cell>
        </row>
        <row r="1660">
          <cell r="N1660">
            <v>0</v>
          </cell>
          <cell r="O1660">
            <v>0</v>
          </cell>
        </row>
        <row r="1661">
          <cell r="N1661">
            <v>36.501000000000005</v>
          </cell>
          <cell r="O1661">
            <v>0</v>
          </cell>
        </row>
        <row r="1662">
          <cell r="N1662">
            <v>14.136000000000001</v>
          </cell>
          <cell r="O1662">
            <v>0</v>
          </cell>
        </row>
        <row r="1663">
          <cell r="N1663">
            <v>0</v>
          </cell>
          <cell r="O1663">
            <v>0</v>
          </cell>
        </row>
        <row r="1664">
          <cell r="N1664">
            <v>0</v>
          </cell>
          <cell r="O1664">
            <v>0</v>
          </cell>
        </row>
        <row r="1665">
          <cell r="N1665">
            <v>0</v>
          </cell>
          <cell r="O1665">
            <v>0</v>
          </cell>
        </row>
        <row r="1666">
          <cell r="N1666">
            <v>0</v>
          </cell>
          <cell r="O1666">
            <v>0</v>
          </cell>
        </row>
        <row r="1667">
          <cell r="N1667">
            <v>0</v>
          </cell>
          <cell r="O1667">
            <v>0</v>
          </cell>
        </row>
        <row r="1668">
          <cell r="N1668">
            <v>29.890800000000002</v>
          </cell>
          <cell r="O1668">
            <v>21.341699999999999</v>
          </cell>
        </row>
        <row r="1669">
          <cell r="N1669">
            <v>20.793599999999998</v>
          </cell>
          <cell r="O1669">
            <v>14.846399999999999</v>
          </cell>
        </row>
        <row r="1670">
          <cell r="N1670">
            <v>12.312000000000001</v>
          </cell>
          <cell r="O1670">
            <v>0</v>
          </cell>
        </row>
        <row r="1671">
          <cell r="N1671">
            <v>50.995600000000003</v>
          </cell>
          <cell r="O1671">
            <v>0</v>
          </cell>
        </row>
        <row r="1672">
          <cell r="N1672">
            <v>15.868799999999998</v>
          </cell>
          <cell r="O1672">
            <v>0</v>
          </cell>
        </row>
        <row r="1673">
          <cell r="N1673">
            <v>10.6858</v>
          </cell>
          <cell r="O1673">
            <v>0</v>
          </cell>
        </row>
        <row r="1674">
          <cell r="N1674">
            <v>5.8608000000000002</v>
          </cell>
          <cell r="O1674">
            <v>0</v>
          </cell>
        </row>
        <row r="1675">
          <cell r="N1675">
            <v>65.54310000000001</v>
          </cell>
          <cell r="O1675">
            <v>0</v>
          </cell>
        </row>
        <row r="1676">
          <cell r="N1676">
            <v>18.604800000000001</v>
          </cell>
          <cell r="O1676">
            <v>0</v>
          </cell>
        </row>
        <row r="1677">
          <cell r="N1677">
            <v>16.3461</v>
          </cell>
          <cell r="O1677">
            <v>0</v>
          </cell>
        </row>
        <row r="1678">
          <cell r="N1678">
            <v>0</v>
          </cell>
          <cell r="O1678">
            <v>0</v>
          </cell>
        </row>
        <row r="1679">
          <cell r="N1679">
            <v>0</v>
          </cell>
          <cell r="O1679">
            <v>0</v>
          </cell>
        </row>
        <row r="1680">
          <cell r="N1680">
            <v>0</v>
          </cell>
          <cell r="O1680">
            <v>0</v>
          </cell>
        </row>
        <row r="1681">
          <cell r="N1681">
            <v>0</v>
          </cell>
          <cell r="O1681">
            <v>0</v>
          </cell>
        </row>
        <row r="1682">
          <cell r="N1682">
            <v>2.1688999999999998</v>
          </cell>
          <cell r="O1682">
            <v>0</v>
          </cell>
        </row>
        <row r="1683">
          <cell r="N1683">
            <v>0</v>
          </cell>
          <cell r="O1683">
            <v>0</v>
          </cell>
        </row>
        <row r="1684">
          <cell r="N1684">
            <v>0</v>
          </cell>
          <cell r="O1684">
            <v>0</v>
          </cell>
        </row>
        <row r="1685">
          <cell r="N1685">
            <v>0</v>
          </cell>
          <cell r="O1685">
            <v>0</v>
          </cell>
        </row>
        <row r="1686">
          <cell r="N1686">
            <v>24.259199999999996</v>
          </cell>
          <cell r="O1686">
            <v>17.320799999999998</v>
          </cell>
        </row>
        <row r="1687">
          <cell r="N1687">
            <v>43.32</v>
          </cell>
          <cell r="O1687">
            <v>30.93</v>
          </cell>
        </row>
        <row r="1688">
          <cell r="N1688">
            <v>8.5698000000000008</v>
          </cell>
          <cell r="O1688">
            <v>0</v>
          </cell>
        </row>
        <row r="1689">
          <cell r="N1689">
            <v>8.2523999999999997</v>
          </cell>
          <cell r="O1689">
            <v>0</v>
          </cell>
        </row>
        <row r="1690">
          <cell r="N1690">
            <v>47.504199999999997</v>
          </cell>
          <cell r="O1690">
            <v>0</v>
          </cell>
        </row>
        <row r="1691">
          <cell r="N1691">
            <v>0</v>
          </cell>
          <cell r="O1691">
            <v>0</v>
          </cell>
        </row>
        <row r="1692">
          <cell r="N1692">
            <v>0</v>
          </cell>
          <cell r="O1692">
            <v>0</v>
          </cell>
        </row>
        <row r="1693">
          <cell r="N1693">
            <v>0</v>
          </cell>
          <cell r="O1693">
            <v>0</v>
          </cell>
        </row>
        <row r="1694">
          <cell r="N1694">
            <v>0</v>
          </cell>
          <cell r="O1694">
            <v>0</v>
          </cell>
        </row>
        <row r="1695">
          <cell r="N1695">
            <v>0</v>
          </cell>
          <cell r="O1695">
            <v>0</v>
          </cell>
        </row>
        <row r="1696">
          <cell r="N1696">
            <v>0</v>
          </cell>
          <cell r="O1696">
            <v>0</v>
          </cell>
        </row>
        <row r="1697">
          <cell r="N1697">
            <v>0</v>
          </cell>
          <cell r="O1697">
            <v>0</v>
          </cell>
        </row>
        <row r="1698">
          <cell r="N1698">
            <v>0</v>
          </cell>
          <cell r="O1698">
            <v>0</v>
          </cell>
        </row>
        <row r="1699">
          <cell r="N1699">
            <v>0</v>
          </cell>
          <cell r="O1699">
            <v>0</v>
          </cell>
        </row>
        <row r="1700">
          <cell r="N1700">
            <v>0</v>
          </cell>
          <cell r="O1700">
            <v>0</v>
          </cell>
        </row>
        <row r="1701">
          <cell r="N1701">
            <v>13.132800000000001</v>
          </cell>
          <cell r="O1701">
            <v>0</v>
          </cell>
        </row>
        <row r="1702">
          <cell r="N1702">
            <v>13.7011</v>
          </cell>
          <cell r="O1702">
            <v>0</v>
          </cell>
        </row>
        <row r="1703">
          <cell r="N1703">
            <v>12.696000000000002</v>
          </cell>
          <cell r="O1703">
            <v>0</v>
          </cell>
        </row>
        <row r="1704">
          <cell r="N1704">
            <v>12.4315</v>
          </cell>
          <cell r="O1704">
            <v>0</v>
          </cell>
        </row>
        <row r="1705">
          <cell r="N1705">
            <v>9.2045999999999992</v>
          </cell>
          <cell r="O1705">
            <v>0</v>
          </cell>
        </row>
        <row r="1706">
          <cell r="N1706">
            <v>9.8394000000000013</v>
          </cell>
          <cell r="O1706">
            <v>0</v>
          </cell>
        </row>
        <row r="1707">
          <cell r="N1707">
            <v>2.8916800000000005</v>
          </cell>
          <cell r="O1707">
            <v>0</v>
          </cell>
        </row>
        <row r="1708">
          <cell r="N1708">
            <v>7.2849999999999993</v>
          </cell>
          <cell r="O1708">
            <v>0</v>
          </cell>
        </row>
        <row r="1709">
          <cell r="N1709">
            <v>10.34</v>
          </cell>
          <cell r="O1709">
            <v>0</v>
          </cell>
        </row>
        <row r="1710">
          <cell r="N1710">
            <v>0</v>
          </cell>
          <cell r="O1710">
            <v>0</v>
          </cell>
        </row>
        <row r="1711">
          <cell r="N1711">
            <v>31.301999999999996</v>
          </cell>
          <cell r="O1711">
            <v>0</v>
          </cell>
        </row>
        <row r="1712">
          <cell r="N1712">
            <v>14.569999999999999</v>
          </cell>
          <cell r="O1712">
            <v>0</v>
          </cell>
        </row>
        <row r="1713">
          <cell r="N1713">
            <v>11.092000000000001</v>
          </cell>
          <cell r="O1713">
            <v>0</v>
          </cell>
        </row>
        <row r="1714">
          <cell r="N1714">
            <v>28.288000000000004</v>
          </cell>
          <cell r="O1714">
            <v>0</v>
          </cell>
        </row>
        <row r="1715">
          <cell r="N1715">
            <v>5.5651200000000003</v>
          </cell>
          <cell r="O1715">
            <v>0</v>
          </cell>
        </row>
        <row r="1716">
          <cell r="N1716">
            <v>4.3102400000000012</v>
          </cell>
          <cell r="O1716">
            <v>0</v>
          </cell>
        </row>
        <row r="1717">
          <cell r="N1717">
            <v>8.7889999999999997</v>
          </cell>
          <cell r="O1717">
            <v>0</v>
          </cell>
        </row>
        <row r="1718">
          <cell r="N1718">
            <v>4.3102400000000012</v>
          </cell>
          <cell r="O1718">
            <v>0</v>
          </cell>
        </row>
        <row r="1719">
          <cell r="N1719">
            <v>5.7015200000000004</v>
          </cell>
          <cell r="O1719">
            <v>0</v>
          </cell>
        </row>
        <row r="1720">
          <cell r="N1720">
            <v>7.4260000000000002</v>
          </cell>
          <cell r="O1720">
            <v>0</v>
          </cell>
        </row>
        <row r="1721">
          <cell r="N1721">
            <v>14.2857</v>
          </cell>
          <cell r="O1721">
            <v>0</v>
          </cell>
        </row>
        <row r="1722">
          <cell r="N1722">
            <v>7.4260000000000002</v>
          </cell>
          <cell r="O1722">
            <v>0</v>
          </cell>
        </row>
        <row r="1723">
          <cell r="N1723">
            <v>16.590999999999998</v>
          </cell>
          <cell r="O1723">
            <v>0</v>
          </cell>
        </row>
        <row r="1724">
          <cell r="N1724">
            <v>7.4260000000000002</v>
          </cell>
          <cell r="O1724">
            <v>0</v>
          </cell>
        </row>
        <row r="1725">
          <cell r="N1725">
            <v>0.9971000000000001</v>
          </cell>
          <cell r="O1725">
            <v>0</v>
          </cell>
        </row>
        <row r="1726">
          <cell r="N1726">
            <v>0</v>
          </cell>
          <cell r="O1726">
            <v>0</v>
          </cell>
        </row>
        <row r="1727">
          <cell r="N1727">
            <v>7.4260000000000002</v>
          </cell>
          <cell r="O1727">
            <v>0</v>
          </cell>
        </row>
        <row r="1728">
          <cell r="N1728">
            <v>27.608000000000004</v>
          </cell>
          <cell r="O1728">
            <v>0</v>
          </cell>
        </row>
        <row r="1729">
          <cell r="N1729">
            <v>7.2849999999999993</v>
          </cell>
          <cell r="O1729">
            <v>0</v>
          </cell>
        </row>
        <row r="1730">
          <cell r="N1730">
            <v>7.2849999999999993</v>
          </cell>
          <cell r="O1730">
            <v>0</v>
          </cell>
        </row>
        <row r="1731">
          <cell r="N1731">
            <v>7.2849999999999993</v>
          </cell>
          <cell r="O1731">
            <v>0</v>
          </cell>
        </row>
        <row r="1732">
          <cell r="N1732">
            <v>14.946</v>
          </cell>
          <cell r="O1732">
            <v>0</v>
          </cell>
        </row>
        <row r="1733">
          <cell r="N1733">
            <v>7.4260000000000002</v>
          </cell>
          <cell r="O1733">
            <v>0</v>
          </cell>
        </row>
        <row r="1734">
          <cell r="N1734">
            <v>7.4260000000000002</v>
          </cell>
          <cell r="O1734">
            <v>0</v>
          </cell>
        </row>
        <row r="1735">
          <cell r="N1735">
            <v>7.4260000000000002</v>
          </cell>
          <cell r="O1735">
            <v>0</v>
          </cell>
        </row>
        <row r="1736">
          <cell r="N1736">
            <v>7.7279999999999998</v>
          </cell>
          <cell r="O1736">
            <v>0</v>
          </cell>
        </row>
        <row r="1737">
          <cell r="N1737">
            <v>12.313999999999998</v>
          </cell>
          <cell r="O1737">
            <v>0</v>
          </cell>
        </row>
        <row r="1738">
          <cell r="N1738">
            <v>5.6196800000000016</v>
          </cell>
          <cell r="O1738">
            <v>0</v>
          </cell>
        </row>
        <row r="1739">
          <cell r="N1739">
            <v>3.6282400000000008</v>
          </cell>
          <cell r="O1739">
            <v>0</v>
          </cell>
        </row>
        <row r="1740">
          <cell r="N1740">
            <v>3.0553600000000003</v>
          </cell>
          <cell r="O1740">
            <v>0</v>
          </cell>
        </row>
        <row r="1741">
          <cell r="N1741">
            <v>3.4918400000000007</v>
          </cell>
          <cell r="O1741">
            <v>0</v>
          </cell>
        </row>
        <row r="1742">
          <cell r="N1742">
            <v>55.216000000000008</v>
          </cell>
          <cell r="O1742">
            <v>0</v>
          </cell>
        </row>
        <row r="1743">
          <cell r="N1743">
            <v>26.656000000000002</v>
          </cell>
          <cell r="O1743">
            <v>0</v>
          </cell>
        </row>
        <row r="1744">
          <cell r="N1744">
            <v>3.7646400000000009</v>
          </cell>
          <cell r="O1744">
            <v>0</v>
          </cell>
        </row>
        <row r="1745">
          <cell r="N1745">
            <v>31.008000000000003</v>
          </cell>
          <cell r="O1745">
            <v>0</v>
          </cell>
        </row>
        <row r="1746">
          <cell r="N1746">
            <v>73.847999999999999</v>
          </cell>
          <cell r="O1746">
            <v>0</v>
          </cell>
        </row>
        <row r="1747">
          <cell r="N1747">
            <v>57.596000000000004</v>
          </cell>
          <cell r="O1747">
            <v>0</v>
          </cell>
        </row>
        <row r="1748">
          <cell r="N1748">
            <v>22.178640000000001</v>
          </cell>
          <cell r="O1748">
            <v>0</v>
          </cell>
        </row>
        <row r="1749">
          <cell r="N1749">
            <v>46.97616</v>
          </cell>
          <cell r="O1749">
            <v>0</v>
          </cell>
        </row>
        <row r="1750">
          <cell r="N1750">
            <v>47.467199999999998</v>
          </cell>
          <cell r="O1750">
            <v>0</v>
          </cell>
        </row>
        <row r="1751">
          <cell r="N1751">
            <v>1.8421000000000003</v>
          </cell>
          <cell r="O1751">
            <v>0</v>
          </cell>
        </row>
        <row r="1752">
          <cell r="N1752">
            <v>13.5036</v>
          </cell>
          <cell r="O1752">
            <v>0</v>
          </cell>
        </row>
        <row r="1753">
          <cell r="N1753">
            <v>63.344160000000009</v>
          </cell>
          <cell r="O1753">
            <v>0</v>
          </cell>
        </row>
        <row r="1754">
          <cell r="N1754">
            <v>32.08128</v>
          </cell>
          <cell r="O1754">
            <v>0</v>
          </cell>
        </row>
        <row r="1755">
          <cell r="N1755">
            <v>32.408639999999998</v>
          </cell>
          <cell r="O1755">
            <v>0</v>
          </cell>
        </row>
        <row r="1756">
          <cell r="N1756">
            <v>4.4193600000000002</v>
          </cell>
          <cell r="O1756">
            <v>0</v>
          </cell>
        </row>
        <row r="1757">
          <cell r="N1757">
            <v>33.636240000000001</v>
          </cell>
          <cell r="O1757">
            <v>0</v>
          </cell>
        </row>
        <row r="1758">
          <cell r="N1758">
            <v>16.531680000000001</v>
          </cell>
          <cell r="O1758">
            <v>0</v>
          </cell>
        </row>
        <row r="1759">
          <cell r="N1759">
            <v>49.267680000000006</v>
          </cell>
          <cell r="O1759">
            <v>0</v>
          </cell>
        </row>
        <row r="1760">
          <cell r="N1760">
            <v>7.1200799999999997</v>
          </cell>
          <cell r="O1760">
            <v>0</v>
          </cell>
        </row>
        <row r="1761">
          <cell r="N1761">
            <v>33.554400000000001</v>
          </cell>
          <cell r="O1761">
            <v>0</v>
          </cell>
        </row>
        <row r="1762">
          <cell r="N1762">
            <v>15.38592</v>
          </cell>
          <cell r="O1762">
            <v>0</v>
          </cell>
        </row>
        <row r="1763">
          <cell r="N1763">
            <v>16.531680000000001</v>
          </cell>
          <cell r="O1763">
            <v>0</v>
          </cell>
        </row>
        <row r="1764">
          <cell r="N1764">
            <v>11.78496</v>
          </cell>
          <cell r="O1764">
            <v>0</v>
          </cell>
        </row>
        <row r="1765">
          <cell r="N1765">
            <v>3.2269000000000001</v>
          </cell>
          <cell r="O1765">
            <v>0</v>
          </cell>
        </row>
        <row r="1766">
          <cell r="N1766">
            <v>11.37576</v>
          </cell>
          <cell r="O1766">
            <v>0</v>
          </cell>
        </row>
        <row r="1767">
          <cell r="N1767">
            <v>34.045439999999999</v>
          </cell>
          <cell r="O1767">
            <v>0</v>
          </cell>
        </row>
        <row r="1768">
          <cell r="N1768">
            <v>16.531680000000001</v>
          </cell>
          <cell r="O1768">
            <v>0</v>
          </cell>
        </row>
        <row r="1769">
          <cell r="N1769">
            <v>2.0111000000000003</v>
          </cell>
          <cell r="O1769">
            <v>0</v>
          </cell>
        </row>
        <row r="1770">
          <cell r="N1770">
            <v>31.344719999999999</v>
          </cell>
          <cell r="O1770">
            <v>0</v>
          </cell>
        </row>
        <row r="1771">
          <cell r="N1771">
            <v>10.557360000000001</v>
          </cell>
          <cell r="O1771">
            <v>0</v>
          </cell>
        </row>
        <row r="1772">
          <cell r="N1772">
            <v>79.957680000000011</v>
          </cell>
          <cell r="O1772">
            <v>0</v>
          </cell>
        </row>
        <row r="1773">
          <cell r="N1773">
            <v>4.7652000000000001</v>
          </cell>
          <cell r="O1773">
            <v>3.4023000000000003</v>
          </cell>
        </row>
        <row r="1774">
          <cell r="N1774">
            <v>4.3319999999999999</v>
          </cell>
          <cell r="O1774">
            <v>3.093</v>
          </cell>
        </row>
        <row r="1775">
          <cell r="N1775">
            <v>4.3319999999999999</v>
          </cell>
          <cell r="O1775">
            <v>3.093</v>
          </cell>
        </row>
        <row r="1776">
          <cell r="N1776">
            <v>3.8988</v>
          </cell>
          <cell r="O1776">
            <v>2.7837000000000001</v>
          </cell>
        </row>
        <row r="1777">
          <cell r="N1777">
            <v>4.3319999999999999</v>
          </cell>
          <cell r="O1777">
            <v>3.093</v>
          </cell>
        </row>
        <row r="1778">
          <cell r="N1778">
            <v>4.3319999999999999</v>
          </cell>
          <cell r="O1778">
            <v>3.093</v>
          </cell>
        </row>
        <row r="1779">
          <cell r="N1779">
            <v>4.3319999999999999</v>
          </cell>
          <cell r="O1779">
            <v>3.093</v>
          </cell>
        </row>
        <row r="1780">
          <cell r="N1780">
            <v>4.3319999999999999</v>
          </cell>
          <cell r="O1780">
            <v>3.093</v>
          </cell>
        </row>
        <row r="1781">
          <cell r="N1781">
            <v>4.3319999999999999</v>
          </cell>
          <cell r="O1781">
            <v>3.093</v>
          </cell>
        </row>
        <row r="1782">
          <cell r="N1782">
            <v>4.7652000000000001</v>
          </cell>
          <cell r="O1782">
            <v>3.4023000000000003</v>
          </cell>
        </row>
        <row r="1783">
          <cell r="N1783">
            <v>0</v>
          </cell>
          <cell r="O1783">
            <v>0</v>
          </cell>
        </row>
        <row r="1784">
          <cell r="N1784">
            <v>0</v>
          </cell>
          <cell r="O1784">
            <v>0</v>
          </cell>
        </row>
        <row r="1785">
          <cell r="N1785">
            <v>0</v>
          </cell>
          <cell r="O1785">
            <v>0</v>
          </cell>
        </row>
        <row r="1786">
          <cell r="N1786">
            <v>0</v>
          </cell>
          <cell r="O1786">
            <v>0</v>
          </cell>
        </row>
        <row r="1787">
          <cell r="N1787">
            <v>31.052300000000002</v>
          </cell>
          <cell r="O1787">
            <v>0</v>
          </cell>
        </row>
        <row r="1788">
          <cell r="N1788">
            <v>14.136000000000001</v>
          </cell>
          <cell r="O1788">
            <v>0</v>
          </cell>
        </row>
        <row r="1789">
          <cell r="N1789">
            <v>0</v>
          </cell>
          <cell r="O1789">
            <v>0</v>
          </cell>
        </row>
        <row r="1790">
          <cell r="N1790">
            <v>0</v>
          </cell>
          <cell r="O1790">
            <v>0</v>
          </cell>
        </row>
        <row r="1791">
          <cell r="N1791">
            <v>0</v>
          </cell>
          <cell r="O1791">
            <v>0</v>
          </cell>
        </row>
        <row r="1792">
          <cell r="N1792">
            <v>0</v>
          </cell>
          <cell r="O1792">
            <v>0</v>
          </cell>
        </row>
        <row r="1793">
          <cell r="N1793">
            <v>0</v>
          </cell>
          <cell r="O1793">
            <v>0</v>
          </cell>
        </row>
        <row r="1794">
          <cell r="N1794">
            <v>29.457599999999999</v>
          </cell>
          <cell r="O1794">
            <v>21.032399999999999</v>
          </cell>
        </row>
        <row r="1795">
          <cell r="N1795">
            <v>20.793599999999998</v>
          </cell>
          <cell r="O1795">
            <v>14.846399999999999</v>
          </cell>
        </row>
        <row r="1796">
          <cell r="N1796">
            <v>12.312000000000001</v>
          </cell>
          <cell r="O1796">
            <v>0</v>
          </cell>
        </row>
        <row r="1797">
          <cell r="N1797">
            <v>42.478700000000003</v>
          </cell>
          <cell r="O1797">
            <v>0</v>
          </cell>
        </row>
        <row r="1798">
          <cell r="N1798">
            <v>10.9503</v>
          </cell>
          <cell r="O1798">
            <v>0</v>
          </cell>
        </row>
        <row r="1799">
          <cell r="N1799">
            <v>54.010899999999999</v>
          </cell>
          <cell r="O1799">
            <v>0</v>
          </cell>
        </row>
        <row r="1800">
          <cell r="N1800">
            <v>18.787200000000002</v>
          </cell>
          <cell r="O1800">
            <v>0</v>
          </cell>
        </row>
        <row r="1801">
          <cell r="N1801">
            <v>16.663499999999999</v>
          </cell>
          <cell r="O1801">
            <v>0</v>
          </cell>
        </row>
        <row r="1802">
          <cell r="N1802">
            <v>2.5921000000000003</v>
          </cell>
          <cell r="O1802">
            <v>0</v>
          </cell>
        </row>
        <row r="1803">
          <cell r="N1803">
            <v>0</v>
          </cell>
          <cell r="O1803">
            <v>0</v>
          </cell>
        </row>
        <row r="1804">
          <cell r="N1804">
            <v>0</v>
          </cell>
          <cell r="O1804">
            <v>0</v>
          </cell>
        </row>
        <row r="1805">
          <cell r="N1805">
            <v>0</v>
          </cell>
          <cell r="O1805">
            <v>0</v>
          </cell>
        </row>
        <row r="1806">
          <cell r="N1806">
            <v>0</v>
          </cell>
          <cell r="O1806">
            <v>0</v>
          </cell>
        </row>
        <row r="1807">
          <cell r="N1807">
            <v>2.1688999999999998</v>
          </cell>
          <cell r="O1807">
            <v>0</v>
          </cell>
        </row>
        <row r="1808">
          <cell r="N1808">
            <v>0</v>
          </cell>
          <cell r="O1808">
            <v>0</v>
          </cell>
        </row>
        <row r="1809">
          <cell r="N1809">
            <v>0</v>
          </cell>
          <cell r="O1809">
            <v>0</v>
          </cell>
        </row>
        <row r="1810">
          <cell r="N1810">
            <v>0</v>
          </cell>
          <cell r="O1810">
            <v>0</v>
          </cell>
        </row>
        <row r="1811">
          <cell r="N1811">
            <v>24.259199999999996</v>
          </cell>
          <cell r="O1811">
            <v>17.320799999999998</v>
          </cell>
        </row>
        <row r="1812">
          <cell r="N1812">
            <v>43.32</v>
          </cell>
          <cell r="O1812">
            <v>30.93</v>
          </cell>
        </row>
        <row r="1813">
          <cell r="N1813">
            <v>10.8445</v>
          </cell>
          <cell r="O1813">
            <v>0</v>
          </cell>
        </row>
        <row r="1814">
          <cell r="N1814">
            <v>8.1466000000000012</v>
          </cell>
          <cell r="O1814">
            <v>0</v>
          </cell>
        </row>
        <row r="1815">
          <cell r="N1815">
            <v>8.3053000000000008</v>
          </cell>
          <cell r="O1815">
            <v>0</v>
          </cell>
        </row>
        <row r="1816">
          <cell r="N1816">
            <v>47.768700000000003</v>
          </cell>
          <cell r="O1816">
            <v>0</v>
          </cell>
        </row>
        <row r="1817">
          <cell r="N1817">
            <v>0</v>
          </cell>
          <cell r="O1817">
            <v>0</v>
          </cell>
        </row>
        <row r="1818">
          <cell r="N1818">
            <v>0</v>
          </cell>
          <cell r="O1818">
            <v>0</v>
          </cell>
        </row>
        <row r="1819">
          <cell r="N1819">
            <v>0</v>
          </cell>
          <cell r="O1819">
            <v>0</v>
          </cell>
        </row>
        <row r="1820">
          <cell r="N1820">
            <v>0</v>
          </cell>
          <cell r="O1820">
            <v>0</v>
          </cell>
        </row>
        <row r="1821">
          <cell r="N1821">
            <v>0</v>
          </cell>
          <cell r="O1821">
            <v>0</v>
          </cell>
        </row>
        <row r="1822">
          <cell r="N1822">
            <v>0</v>
          </cell>
          <cell r="O1822">
            <v>0</v>
          </cell>
        </row>
        <row r="1823">
          <cell r="N1823">
            <v>0</v>
          </cell>
          <cell r="O1823">
            <v>0</v>
          </cell>
        </row>
        <row r="1824">
          <cell r="N1824">
            <v>0</v>
          </cell>
          <cell r="O1824">
            <v>0</v>
          </cell>
        </row>
        <row r="1825">
          <cell r="N1825">
            <v>0</v>
          </cell>
          <cell r="O1825">
            <v>0</v>
          </cell>
        </row>
        <row r="1826">
          <cell r="N1826">
            <v>13.132800000000001</v>
          </cell>
          <cell r="O1826">
            <v>0</v>
          </cell>
        </row>
        <row r="1827">
          <cell r="N1827">
            <v>0</v>
          </cell>
          <cell r="O1827">
            <v>0</v>
          </cell>
        </row>
        <row r="1828">
          <cell r="N1828">
            <v>13.7011</v>
          </cell>
          <cell r="O1828">
            <v>0</v>
          </cell>
        </row>
        <row r="1829">
          <cell r="N1829">
            <v>9.6807000000000016</v>
          </cell>
          <cell r="O1829">
            <v>0</v>
          </cell>
        </row>
        <row r="1830">
          <cell r="N1830">
            <v>8.8343000000000007</v>
          </cell>
          <cell r="O1830">
            <v>0</v>
          </cell>
        </row>
        <row r="1831">
          <cell r="N1831">
            <v>12.6431</v>
          </cell>
          <cell r="O1831">
            <v>0</v>
          </cell>
        </row>
        <row r="1832">
          <cell r="N1832">
            <v>13.1721</v>
          </cell>
          <cell r="O1832">
            <v>0</v>
          </cell>
        </row>
        <row r="1833">
          <cell r="N1833">
            <v>0</v>
          </cell>
          <cell r="O1833">
            <v>0</v>
          </cell>
        </row>
        <row r="1834">
          <cell r="N1834">
            <v>0</v>
          </cell>
          <cell r="O1834">
            <v>0</v>
          </cell>
        </row>
        <row r="1835">
          <cell r="N1835">
            <v>36.312000000000005</v>
          </cell>
          <cell r="O1835">
            <v>0</v>
          </cell>
        </row>
        <row r="1836">
          <cell r="N1836">
            <v>6.0834999999999999</v>
          </cell>
          <cell r="O1836">
            <v>0</v>
          </cell>
        </row>
        <row r="1837">
          <cell r="N1837">
            <v>2.5643200000000004</v>
          </cell>
          <cell r="O1837">
            <v>0</v>
          </cell>
        </row>
        <row r="1838">
          <cell r="N1838">
            <v>2.1551200000000006</v>
          </cell>
          <cell r="O1838">
            <v>0</v>
          </cell>
        </row>
        <row r="1839">
          <cell r="N1839">
            <v>7.2849999999999993</v>
          </cell>
          <cell r="O1839">
            <v>0</v>
          </cell>
        </row>
        <row r="1840">
          <cell r="N1840">
            <v>57.052000000000007</v>
          </cell>
          <cell r="O1840">
            <v>0</v>
          </cell>
        </row>
        <row r="1841">
          <cell r="N1841">
            <v>28.288000000000004</v>
          </cell>
          <cell r="O1841">
            <v>0</v>
          </cell>
        </row>
        <row r="1842">
          <cell r="N1842">
            <v>7.4260000000000002</v>
          </cell>
          <cell r="O1842">
            <v>0</v>
          </cell>
        </row>
        <row r="1843">
          <cell r="N1843">
            <v>57.664000000000001</v>
          </cell>
          <cell r="O1843">
            <v>0</v>
          </cell>
        </row>
        <row r="1844">
          <cell r="N1844">
            <v>4.3102400000000012</v>
          </cell>
          <cell r="O1844">
            <v>0</v>
          </cell>
        </row>
        <row r="1845">
          <cell r="N1845">
            <v>4.3102400000000012</v>
          </cell>
          <cell r="O1845">
            <v>0</v>
          </cell>
        </row>
        <row r="1846">
          <cell r="N1846">
            <v>7.4260000000000002</v>
          </cell>
          <cell r="O1846">
            <v>0</v>
          </cell>
        </row>
        <row r="1847">
          <cell r="N1847">
            <v>4.3102400000000012</v>
          </cell>
          <cell r="O1847">
            <v>0</v>
          </cell>
        </row>
        <row r="1848">
          <cell r="N1848">
            <v>1.014</v>
          </cell>
          <cell r="O1848">
            <v>0</v>
          </cell>
        </row>
        <row r="1849">
          <cell r="N1849">
            <v>7.7549999999999999</v>
          </cell>
          <cell r="O1849">
            <v>0</v>
          </cell>
        </row>
        <row r="1850">
          <cell r="N1850">
            <v>5.1286400000000008</v>
          </cell>
          <cell r="O1850">
            <v>0</v>
          </cell>
        </row>
        <row r="1851">
          <cell r="N1851">
            <v>2.8644000000000003</v>
          </cell>
          <cell r="O1851">
            <v>0</v>
          </cell>
        </row>
        <row r="1852">
          <cell r="N1852">
            <v>6.0016000000000007</v>
          </cell>
          <cell r="O1852">
            <v>0</v>
          </cell>
        </row>
        <row r="1853">
          <cell r="N1853">
            <v>4.2284000000000006</v>
          </cell>
          <cell r="O1853">
            <v>0</v>
          </cell>
        </row>
        <row r="1854">
          <cell r="N1854">
            <v>7.2849999999999993</v>
          </cell>
          <cell r="O1854">
            <v>0</v>
          </cell>
        </row>
        <row r="1855">
          <cell r="N1855">
            <v>9.9639999999999986</v>
          </cell>
          <cell r="O1855">
            <v>0</v>
          </cell>
        </row>
        <row r="1856">
          <cell r="N1856">
            <v>7.2849999999999993</v>
          </cell>
          <cell r="O1856">
            <v>0</v>
          </cell>
        </row>
        <row r="1857">
          <cell r="N1857">
            <v>4.2284000000000006</v>
          </cell>
          <cell r="O1857">
            <v>0</v>
          </cell>
        </row>
        <row r="1858">
          <cell r="N1858">
            <v>4.3102400000000012</v>
          </cell>
          <cell r="O1858">
            <v>0</v>
          </cell>
        </row>
        <row r="1859">
          <cell r="N1859">
            <v>4.3102400000000012</v>
          </cell>
          <cell r="O1859">
            <v>0</v>
          </cell>
        </row>
        <row r="1860">
          <cell r="N1860">
            <v>4.3102400000000012</v>
          </cell>
          <cell r="O1860">
            <v>0</v>
          </cell>
        </row>
        <row r="1861">
          <cell r="N1861">
            <v>4.3102400000000012</v>
          </cell>
          <cell r="O1861">
            <v>0</v>
          </cell>
        </row>
        <row r="1862">
          <cell r="N1862">
            <v>19.504999999999999</v>
          </cell>
          <cell r="O1862">
            <v>0</v>
          </cell>
        </row>
        <row r="1863">
          <cell r="N1863">
            <v>4.2284000000000006</v>
          </cell>
          <cell r="O1863">
            <v>0</v>
          </cell>
        </row>
        <row r="1864">
          <cell r="N1864">
            <v>2.8098400000000008</v>
          </cell>
          <cell r="O1864">
            <v>0</v>
          </cell>
        </row>
        <row r="1865">
          <cell r="N1865">
            <v>5.9219999999999997</v>
          </cell>
          <cell r="O1865">
            <v>0</v>
          </cell>
        </row>
        <row r="1866">
          <cell r="N1866">
            <v>27.106200000000001</v>
          </cell>
          <cell r="O1866">
            <v>0</v>
          </cell>
        </row>
        <row r="1867">
          <cell r="N1867">
            <v>5.6469600000000009</v>
          </cell>
          <cell r="O1867">
            <v>0</v>
          </cell>
        </row>
        <row r="1868">
          <cell r="N1868">
            <v>3.5191200000000005</v>
          </cell>
          <cell r="O1868">
            <v>0</v>
          </cell>
        </row>
        <row r="1869">
          <cell r="N1869">
            <v>3.0826400000000005</v>
          </cell>
          <cell r="O1869">
            <v>0</v>
          </cell>
        </row>
        <row r="1870">
          <cell r="N1870">
            <v>3.4918400000000007</v>
          </cell>
          <cell r="O1870">
            <v>0</v>
          </cell>
        </row>
        <row r="1871">
          <cell r="N1871">
            <v>55.080000000000005</v>
          </cell>
          <cell r="O1871">
            <v>0</v>
          </cell>
        </row>
        <row r="1872">
          <cell r="N1872">
            <v>9.5410000000000004</v>
          </cell>
          <cell r="O1872">
            <v>0</v>
          </cell>
        </row>
        <row r="1873">
          <cell r="N1873">
            <v>5.01952</v>
          </cell>
          <cell r="O1873">
            <v>0</v>
          </cell>
        </row>
        <row r="1874">
          <cell r="N1874">
            <v>6.016</v>
          </cell>
          <cell r="O1874">
            <v>0</v>
          </cell>
        </row>
        <row r="1875">
          <cell r="N1875">
            <v>6.016</v>
          </cell>
          <cell r="O1875">
            <v>0</v>
          </cell>
        </row>
        <row r="1876">
          <cell r="N1876">
            <v>3.4918400000000007</v>
          </cell>
          <cell r="O1876">
            <v>0</v>
          </cell>
        </row>
        <row r="1877">
          <cell r="N1877">
            <v>9.4939999999999998</v>
          </cell>
          <cell r="O1877">
            <v>0</v>
          </cell>
        </row>
        <row r="1878">
          <cell r="N1878">
            <v>13.582999999999998</v>
          </cell>
          <cell r="O1878">
            <v>0</v>
          </cell>
        </row>
        <row r="1879">
          <cell r="N1879">
            <v>6.3449999999999998</v>
          </cell>
          <cell r="O1879">
            <v>0</v>
          </cell>
        </row>
        <row r="1880">
          <cell r="N1880">
            <v>3.7100800000000005</v>
          </cell>
          <cell r="O1880">
            <v>0</v>
          </cell>
        </row>
        <row r="1881">
          <cell r="N1881">
            <v>6.9559999999999995</v>
          </cell>
          <cell r="O1881">
            <v>0</v>
          </cell>
        </row>
        <row r="1882">
          <cell r="N1882">
            <v>9.6820000000000004</v>
          </cell>
          <cell r="O1882">
            <v>0</v>
          </cell>
        </row>
        <row r="1883">
          <cell r="N1883">
            <v>8.1310000000000002</v>
          </cell>
          <cell r="O1883">
            <v>0</v>
          </cell>
        </row>
        <row r="1884">
          <cell r="N1884">
            <v>6.3919999999999995</v>
          </cell>
          <cell r="O1884">
            <v>0</v>
          </cell>
        </row>
        <row r="1885">
          <cell r="N1885">
            <v>6.3919999999999995</v>
          </cell>
          <cell r="O1885">
            <v>0</v>
          </cell>
        </row>
        <row r="1886">
          <cell r="N1886">
            <v>3.9828800000000006</v>
          </cell>
          <cell r="O1886">
            <v>0</v>
          </cell>
        </row>
        <row r="1887">
          <cell r="N1887">
            <v>5.7560800000000016</v>
          </cell>
          <cell r="O1887">
            <v>0</v>
          </cell>
        </row>
        <row r="1888">
          <cell r="N1888">
            <v>49.02216</v>
          </cell>
          <cell r="O1888">
            <v>0</v>
          </cell>
        </row>
        <row r="1889">
          <cell r="N1889">
            <v>59.579520000000002</v>
          </cell>
          <cell r="O1889">
            <v>0</v>
          </cell>
        </row>
        <row r="1890">
          <cell r="N1890">
            <v>4.3771000000000004</v>
          </cell>
          <cell r="O1890">
            <v>0</v>
          </cell>
        </row>
        <row r="1891">
          <cell r="N1891">
            <v>68.009039999999999</v>
          </cell>
          <cell r="O1891">
            <v>0</v>
          </cell>
        </row>
        <row r="1892">
          <cell r="N1892">
            <v>8.92056</v>
          </cell>
          <cell r="O1892">
            <v>0</v>
          </cell>
        </row>
        <row r="1893">
          <cell r="N1893">
            <v>28.889519999999997</v>
          </cell>
          <cell r="O1893">
            <v>0</v>
          </cell>
        </row>
        <row r="1894">
          <cell r="N1894">
            <v>50.495280000000001</v>
          </cell>
          <cell r="O1894">
            <v>0</v>
          </cell>
        </row>
        <row r="1895">
          <cell r="N1895">
            <v>6.3016800000000002</v>
          </cell>
          <cell r="O1895">
            <v>0</v>
          </cell>
        </row>
        <row r="1896">
          <cell r="N1896">
            <v>28.889519999999997</v>
          </cell>
          <cell r="O1896">
            <v>0</v>
          </cell>
        </row>
        <row r="1897">
          <cell r="N1897">
            <v>0.91260000000000008</v>
          </cell>
          <cell r="O1897">
            <v>0</v>
          </cell>
        </row>
        <row r="1898">
          <cell r="N1898">
            <v>49.267680000000006</v>
          </cell>
          <cell r="O1898">
            <v>0</v>
          </cell>
        </row>
        <row r="1899">
          <cell r="N1899">
            <v>7.1200799999999997</v>
          </cell>
          <cell r="O1899">
            <v>0</v>
          </cell>
        </row>
        <row r="1900">
          <cell r="N1900">
            <v>16.531680000000001</v>
          </cell>
          <cell r="O1900">
            <v>0</v>
          </cell>
        </row>
        <row r="1901">
          <cell r="N1901">
            <v>8.5931999999999995</v>
          </cell>
          <cell r="O1901">
            <v>0</v>
          </cell>
        </row>
        <row r="1902">
          <cell r="N1902">
            <v>33.554400000000001</v>
          </cell>
          <cell r="O1902">
            <v>0</v>
          </cell>
        </row>
        <row r="1903">
          <cell r="N1903">
            <v>3.2269000000000001</v>
          </cell>
          <cell r="O1903">
            <v>0</v>
          </cell>
        </row>
        <row r="1904">
          <cell r="N1904">
            <v>7.6111200000000006</v>
          </cell>
          <cell r="O1904">
            <v>0</v>
          </cell>
        </row>
        <row r="1905">
          <cell r="N1905">
            <v>86.750399999999999</v>
          </cell>
          <cell r="O1905">
            <v>0</v>
          </cell>
        </row>
        <row r="1906">
          <cell r="N1906">
            <v>12.930720000000001</v>
          </cell>
          <cell r="O1906">
            <v>0</v>
          </cell>
        </row>
        <row r="1907">
          <cell r="N1907">
            <v>23.40624</v>
          </cell>
          <cell r="O1907">
            <v>0</v>
          </cell>
        </row>
        <row r="1908">
          <cell r="N1908">
            <v>21.032879999999999</v>
          </cell>
          <cell r="O1908">
            <v>0</v>
          </cell>
        </row>
        <row r="1909">
          <cell r="N1909">
            <v>43.702559999999998</v>
          </cell>
          <cell r="O1909">
            <v>0</v>
          </cell>
        </row>
        <row r="1910">
          <cell r="N1910">
            <v>4.2556799999999999</v>
          </cell>
          <cell r="O1910">
            <v>0</v>
          </cell>
        </row>
        <row r="1911">
          <cell r="N1911">
            <v>10.557360000000001</v>
          </cell>
          <cell r="O1911">
            <v>0</v>
          </cell>
        </row>
        <row r="1912">
          <cell r="N1912">
            <v>0</v>
          </cell>
          <cell r="O1912">
            <v>0</v>
          </cell>
        </row>
        <row r="1913">
          <cell r="N1913">
            <v>0</v>
          </cell>
          <cell r="O1913">
            <v>0</v>
          </cell>
        </row>
        <row r="1914">
          <cell r="N1914">
            <v>0</v>
          </cell>
          <cell r="O1914">
            <v>0</v>
          </cell>
        </row>
        <row r="1915">
          <cell r="N1915">
            <v>0</v>
          </cell>
          <cell r="O1915">
            <v>0</v>
          </cell>
        </row>
        <row r="1916">
          <cell r="N1916">
            <v>4.3319999999999999</v>
          </cell>
          <cell r="O1916">
            <v>3.093</v>
          </cell>
        </row>
        <row r="1917">
          <cell r="N1917">
            <v>4.3319999999999999</v>
          </cell>
          <cell r="O1917">
            <v>3.093</v>
          </cell>
        </row>
        <row r="1918">
          <cell r="N1918">
            <v>4.3319999999999999</v>
          </cell>
          <cell r="O1918">
            <v>3.093</v>
          </cell>
        </row>
        <row r="1919">
          <cell r="N1919">
            <v>4.3319999999999999</v>
          </cell>
          <cell r="O1919">
            <v>3.093</v>
          </cell>
        </row>
        <row r="1920">
          <cell r="N1920">
            <v>4.7652000000000001</v>
          </cell>
          <cell r="O1920">
            <v>3.4023000000000003</v>
          </cell>
        </row>
        <row r="1921">
          <cell r="N1921">
            <v>0</v>
          </cell>
          <cell r="O1921">
            <v>0</v>
          </cell>
        </row>
        <row r="1922">
          <cell r="N1922">
            <v>2.4863000000000004</v>
          </cell>
          <cell r="O1922">
            <v>0</v>
          </cell>
        </row>
        <row r="1923">
          <cell r="N1923">
            <v>20.940799999999999</v>
          </cell>
          <cell r="O1923">
            <v>0</v>
          </cell>
        </row>
        <row r="1924">
          <cell r="N1924">
            <v>4.7652000000000001</v>
          </cell>
          <cell r="O1924">
            <v>3.4023000000000003</v>
          </cell>
        </row>
        <row r="1925">
          <cell r="N1925">
            <v>4.7652000000000001</v>
          </cell>
          <cell r="O1925">
            <v>3.4023000000000003</v>
          </cell>
        </row>
        <row r="1926">
          <cell r="N1926">
            <v>4.7652000000000001</v>
          </cell>
          <cell r="O1926">
            <v>3.4023000000000003</v>
          </cell>
        </row>
        <row r="1927">
          <cell r="N1927">
            <v>3.8988</v>
          </cell>
          <cell r="O1927">
            <v>2.7837000000000001</v>
          </cell>
        </row>
        <row r="1928">
          <cell r="N1928">
            <v>4.3319999999999999</v>
          </cell>
          <cell r="O1928">
            <v>3.093</v>
          </cell>
        </row>
        <row r="1929">
          <cell r="N1929">
            <v>4.8285600000000004</v>
          </cell>
          <cell r="O1929">
            <v>0</v>
          </cell>
        </row>
        <row r="1930">
          <cell r="N1930">
            <v>31.052300000000002</v>
          </cell>
          <cell r="O1930">
            <v>0</v>
          </cell>
        </row>
        <row r="1931">
          <cell r="N1931">
            <v>14.136000000000001</v>
          </cell>
          <cell r="O1931">
            <v>0</v>
          </cell>
        </row>
        <row r="1932">
          <cell r="N1932">
            <v>0</v>
          </cell>
          <cell r="O1932">
            <v>0</v>
          </cell>
        </row>
        <row r="1933">
          <cell r="N1933">
            <v>0</v>
          </cell>
          <cell r="O1933">
            <v>0</v>
          </cell>
        </row>
        <row r="1934">
          <cell r="N1934">
            <v>0</v>
          </cell>
          <cell r="O1934">
            <v>0</v>
          </cell>
        </row>
        <row r="1935">
          <cell r="N1935">
            <v>0</v>
          </cell>
          <cell r="O1935">
            <v>0</v>
          </cell>
        </row>
        <row r="1936">
          <cell r="N1936">
            <v>0</v>
          </cell>
          <cell r="O1936">
            <v>0</v>
          </cell>
        </row>
        <row r="1937">
          <cell r="N1937">
            <v>29.457599999999999</v>
          </cell>
          <cell r="O1937">
            <v>21.032399999999999</v>
          </cell>
        </row>
        <row r="1938">
          <cell r="N1938">
            <v>20.793599999999998</v>
          </cell>
          <cell r="O1938">
            <v>14.846399999999999</v>
          </cell>
        </row>
        <row r="1939">
          <cell r="N1939">
            <v>12.312000000000001</v>
          </cell>
          <cell r="O1939">
            <v>0</v>
          </cell>
        </row>
        <row r="1940">
          <cell r="N1940">
            <v>46.657800000000002</v>
          </cell>
          <cell r="O1940">
            <v>0</v>
          </cell>
        </row>
        <row r="1941">
          <cell r="N1941">
            <v>10.9503</v>
          </cell>
          <cell r="O1941">
            <v>0</v>
          </cell>
        </row>
        <row r="1942">
          <cell r="N1942">
            <v>16.504799999999999</v>
          </cell>
          <cell r="O1942">
            <v>0</v>
          </cell>
        </row>
        <row r="1943">
          <cell r="N1943">
            <v>48.350600000000007</v>
          </cell>
          <cell r="O1943">
            <v>0</v>
          </cell>
        </row>
        <row r="1944">
          <cell r="N1944">
            <v>18.787200000000002</v>
          </cell>
          <cell r="O1944">
            <v>0</v>
          </cell>
        </row>
        <row r="1945">
          <cell r="N1945">
            <v>0.82810000000000017</v>
          </cell>
          <cell r="O1945">
            <v>0</v>
          </cell>
        </row>
        <row r="1946">
          <cell r="N1946">
            <v>0</v>
          </cell>
          <cell r="O1946">
            <v>0</v>
          </cell>
        </row>
        <row r="1947">
          <cell r="N1947">
            <v>0</v>
          </cell>
          <cell r="O1947">
            <v>0</v>
          </cell>
        </row>
        <row r="1948">
          <cell r="N1948">
            <v>0</v>
          </cell>
          <cell r="O1948">
            <v>0</v>
          </cell>
        </row>
        <row r="1949">
          <cell r="N1949">
            <v>0</v>
          </cell>
          <cell r="O1949">
            <v>0</v>
          </cell>
        </row>
        <row r="1950">
          <cell r="N1950">
            <v>2.1688999999999998</v>
          </cell>
          <cell r="O1950">
            <v>0</v>
          </cell>
        </row>
        <row r="1951">
          <cell r="N1951">
            <v>0</v>
          </cell>
          <cell r="O1951">
            <v>0</v>
          </cell>
        </row>
        <row r="1952">
          <cell r="N1952">
            <v>0</v>
          </cell>
          <cell r="O1952">
            <v>0</v>
          </cell>
        </row>
        <row r="1953">
          <cell r="N1953">
            <v>0</v>
          </cell>
          <cell r="O1953">
            <v>0</v>
          </cell>
        </row>
        <row r="1954">
          <cell r="N1954">
            <v>24.259199999999996</v>
          </cell>
          <cell r="O1954">
            <v>17.320799999999998</v>
          </cell>
        </row>
        <row r="1955">
          <cell r="N1955">
            <v>43.32</v>
          </cell>
          <cell r="O1955">
            <v>30.93</v>
          </cell>
        </row>
        <row r="1956">
          <cell r="N1956">
            <v>17.351199999999999</v>
          </cell>
          <cell r="O1956">
            <v>0</v>
          </cell>
        </row>
        <row r="1957">
          <cell r="N1957">
            <v>8.5698000000000008</v>
          </cell>
          <cell r="O1957">
            <v>0</v>
          </cell>
        </row>
        <row r="1958">
          <cell r="N1958">
            <v>9.0988000000000007</v>
          </cell>
          <cell r="O1958">
            <v>0</v>
          </cell>
        </row>
        <row r="1959">
          <cell r="N1959">
            <v>8.9400999999999993</v>
          </cell>
          <cell r="O1959">
            <v>0</v>
          </cell>
        </row>
        <row r="1960">
          <cell r="N1960">
            <v>28.089900000000004</v>
          </cell>
          <cell r="O1960">
            <v>0</v>
          </cell>
        </row>
        <row r="1961">
          <cell r="N1961">
            <v>17.298300000000001</v>
          </cell>
          <cell r="O1961">
            <v>0</v>
          </cell>
        </row>
        <row r="1962">
          <cell r="N1962">
            <v>0</v>
          </cell>
          <cell r="O1962">
            <v>0</v>
          </cell>
        </row>
        <row r="1963">
          <cell r="N1963">
            <v>0</v>
          </cell>
          <cell r="O1963">
            <v>0</v>
          </cell>
        </row>
        <row r="1964">
          <cell r="N1964">
            <v>0</v>
          </cell>
          <cell r="O1964">
            <v>0</v>
          </cell>
        </row>
        <row r="1965">
          <cell r="N1965">
            <v>0</v>
          </cell>
          <cell r="O1965">
            <v>0</v>
          </cell>
        </row>
        <row r="1966">
          <cell r="N1966">
            <v>0</v>
          </cell>
          <cell r="O1966">
            <v>0</v>
          </cell>
        </row>
        <row r="1967">
          <cell r="N1967">
            <v>0</v>
          </cell>
          <cell r="O1967">
            <v>0</v>
          </cell>
        </row>
        <row r="1968">
          <cell r="N1968">
            <v>0</v>
          </cell>
          <cell r="O1968">
            <v>0</v>
          </cell>
        </row>
        <row r="1969">
          <cell r="N1969">
            <v>0</v>
          </cell>
          <cell r="O1969">
            <v>0</v>
          </cell>
        </row>
        <row r="1970">
          <cell r="N1970">
            <v>0</v>
          </cell>
          <cell r="O1970">
            <v>0</v>
          </cell>
        </row>
        <row r="1971">
          <cell r="N1971">
            <v>13.132800000000001</v>
          </cell>
          <cell r="O1971">
            <v>0</v>
          </cell>
        </row>
        <row r="1972">
          <cell r="N1972">
            <v>14.283000000000001</v>
          </cell>
          <cell r="O1972">
            <v>0</v>
          </cell>
        </row>
        <row r="1973">
          <cell r="N1973">
            <v>18.567900000000002</v>
          </cell>
          <cell r="O1973">
            <v>0</v>
          </cell>
        </row>
        <row r="1974">
          <cell r="N1974">
            <v>0</v>
          </cell>
          <cell r="O1974">
            <v>0</v>
          </cell>
        </row>
        <row r="1975">
          <cell r="N1975">
            <v>2.3460800000000002</v>
          </cell>
          <cell r="O1975">
            <v>0</v>
          </cell>
        </row>
        <row r="1976">
          <cell r="N1976">
            <v>4.5557600000000003</v>
          </cell>
          <cell r="O1976">
            <v>0</v>
          </cell>
        </row>
        <row r="1977">
          <cell r="N1977">
            <v>3.0008000000000004</v>
          </cell>
          <cell r="O1977">
            <v>0</v>
          </cell>
        </row>
        <row r="1978">
          <cell r="N1978">
            <v>36.336959999999998</v>
          </cell>
          <cell r="O1978">
            <v>0</v>
          </cell>
        </row>
        <row r="1979">
          <cell r="N1979">
            <v>7.9384799999999993</v>
          </cell>
          <cell r="O1979">
            <v>0</v>
          </cell>
        </row>
        <row r="1980">
          <cell r="N1980">
            <v>4.2284000000000006</v>
          </cell>
          <cell r="O1980">
            <v>0</v>
          </cell>
        </row>
        <row r="1981">
          <cell r="N1981">
            <v>4.2284000000000006</v>
          </cell>
          <cell r="O1981">
            <v>0</v>
          </cell>
        </row>
        <row r="1982">
          <cell r="N1982">
            <v>7.52928</v>
          </cell>
          <cell r="O1982">
            <v>0</v>
          </cell>
        </row>
        <row r="1983">
          <cell r="N1983">
            <v>20.5318</v>
          </cell>
          <cell r="O1983">
            <v>0</v>
          </cell>
        </row>
        <row r="1984">
          <cell r="N1984">
            <v>19.80528</v>
          </cell>
          <cell r="O1984">
            <v>0</v>
          </cell>
        </row>
        <row r="1985">
          <cell r="N1985">
            <v>19.068720000000003</v>
          </cell>
          <cell r="O1985">
            <v>0</v>
          </cell>
        </row>
        <row r="1986">
          <cell r="N1986">
            <v>4.3102400000000012</v>
          </cell>
          <cell r="O1986">
            <v>0</v>
          </cell>
        </row>
        <row r="1987">
          <cell r="N1987">
            <v>36.500640000000004</v>
          </cell>
          <cell r="O1987">
            <v>0</v>
          </cell>
        </row>
        <row r="1988">
          <cell r="N1988">
            <v>7.4260000000000002</v>
          </cell>
          <cell r="O1988">
            <v>0</v>
          </cell>
        </row>
        <row r="1989">
          <cell r="N1989">
            <v>4.3102400000000012</v>
          </cell>
          <cell r="O1989">
            <v>0</v>
          </cell>
        </row>
        <row r="1990">
          <cell r="N1990">
            <v>13.919400000000001</v>
          </cell>
          <cell r="O1990">
            <v>0</v>
          </cell>
        </row>
        <row r="1991">
          <cell r="N1991">
            <v>15.104800000000001</v>
          </cell>
          <cell r="O1991">
            <v>0</v>
          </cell>
        </row>
        <row r="1992">
          <cell r="N1992">
            <v>2.4279200000000003</v>
          </cell>
          <cell r="O1992">
            <v>0</v>
          </cell>
        </row>
        <row r="1993">
          <cell r="N1993">
            <v>1.7914000000000001</v>
          </cell>
          <cell r="O1993">
            <v>0</v>
          </cell>
        </row>
        <row r="1994">
          <cell r="N1994">
            <v>15.104800000000001</v>
          </cell>
          <cell r="O1994">
            <v>0</v>
          </cell>
        </row>
        <row r="1995">
          <cell r="N1995">
            <v>2.9624000000000001</v>
          </cell>
          <cell r="O1995">
            <v>0</v>
          </cell>
        </row>
        <row r="1996">
          <cell r="N1996">
            <v>13.862</v>
          </cell>
          <cell r="O1996">
            <v>0</v>
          </cell>
        </row>
        <row r="1997">
          <cell r="N1997">
            <v>2.8643999999999998</v>
          </cell>
          <cell r="O1997">
            <v>0</v>
          </cell>
        </row>
        <row r="1998">
          <cell r="N1998">
            <v>0</v>
          </cell>
          <cell r="O1998">
            <v>0</v>
          </cell>
        </row>
        <row r="1999">
          <cell r="N1999">
            <v>3.5736800000000004</v>
          </cell>
          <cell r="O1999">
            <v>0</v>
          </cell>
        </row>
        <row r="2000">
          <cell r="N2000">
            <v>32.148000000000003</v>
          </cell>
          <cell r="O2000">
            <v>0</v>
          </cell>
        </row>
        <row r="2001">
          <cell r="N2001">
            <v>9.5237999999999996</v>
          </cell>
          <cell r="O2001">
            <v>0</v>
          </cell>
        </row>
        <row r="2002">
          <cell r="N2002">
            <v>4.2284000000000006</v>
          </cell>
          <cell r="O2002">
            <v>0</v>
          </cell>
        </row>
        <row r="2003">
          <cell r="N2003">
            <v>4.2284000000000006</v>
          </cell>
          <cell r="O2003">
            <v>0</v>
          </cell>
        </row>
        <row r="2004">
          <cell r="N2004">
            <v>4.2284000000000006</v>
          </cell>
          <cell r="O2004">
            <v>0</v>
          </cell>
        </row>
        <row r="2005">
          <cell r="N2005">
            <v>4.2284000000000006</v>
          </cell>
          <cell r="O2005">
            <v>0</v>
          </cell>
        </row>
        <row r="2006">
          <cell r="N2006">
            <v>7.4260000000000002</v>
          </cell>
          <cell r="O2006">
            <v>0</v>
          </cell>
        </row>
        <row r="2007">
          <cell r="N2007">
            <v>15.51</v>
          </cell>
          <cell r="O2007">
            <v>0</v>
          </cell>
        </row>
        <row r="2008">
          <cell r="N2008">
            <v>7.7549999999999999</v>
          </cell>
          <cell r="O2008">
            <v>0</v>
          </cell>
        </row>
        <row r="2009">
          <cell r="N2009">
            <v>19.786999999999999</v>
          </cell>
          <cell r="O2009">
            <v>0</v>
          </cell>
        </row>
        <row r="2010">
          <cell r="N2010">
            <v>7.2849999999999993</v>
          </cell>
          <cell r="O2010">
            <v>0</v>
          </cell>
        </row>
        <row r="2011">
          <cell r="N2011">
            <v>2.8098400000000008</v>
          </cell>
          <cell r="O2011">
            <v>0</v>
          </cell>
        </row>
        <row r="2012">
          <cell r="N2012">
            <v>10.433999999999999</v>
          </cell>
          <cell r="O2012">
            <v>0</v>
          </cell>
        </row>
        <row r="2013">
          <cell r="N2013">
            <v>5.6469600000000009</v>
          </cell>
          <cell r="O2013">
            <v>0</v>
          </cell>
        </row>
        <row r="2014">
          <cell r="N2014">
            <v>3.8192000000000004</v>
          </cell>
          <cell r="O2014">
            <v>0</v>
          </cell>
        </row>
        <row r="2015">
          <cell r="N2015">
            <v>3.4645600000000005</v>
          </cell>
          <cell r="O2015">
            <v>0</v>
          </cell>
        </row>
        <row r="2016">
          <cell r="N2016">
            <v>6.016</v>
          </cell>
          <cell r="O2016">
            <v>0</v>
          </cell>
        </row>
        <row r="2017">
          <cell r="N2017">
            <v>9.2589999999999986</v>
          </cell>
          <cell r="O2017">
            <v>0</v>
          </cell>
        </row>
        <row r="2018">
          <cell r="N2018">
            <v>61.758999999999993</v>
          </cell>
          <cell r="O2018">
            <v>0</v>
          </cell>
        </row>
        <row r="2019">
          <cell r="N2019">
            <v>8.93</v>
          </cell>
          <cell r="O2019">
            <v>0</v>
          </cell>
        </row>
        <row r="2020">
          <cell r="N2020">
            <v>3.4918400000000007</v>
          </cell>
          <cell r="O2020">
            <v>0</v>
          </cell>
        </row>
        <row r="2021">
          <cell r="N2021">
            <v>3.4645600000000005</v>
          </cell>
          <cell r="O2021">
            <v>0</v>
          </cell>
        </row>
        <row r="2022">
          <cell r="N2022">
            <v>14.522999999999998</v>
          </cell>
          <cell r="O2022">
            <v>0</v>
          </cell>
        </row>
        <row r="2023">
          <cell r="N2023">
            <v>48.620000000000005</v>
          </cell>
          <cell r="O2023">
            <v>0</v>
          </cell>
        </row>
        <row r="2024">
          <cell r="N2024">
            <v>13.911999999999999</v>
          </cell>
          <cell r="O2024">
            <v>0</v>
          </cell>
        </row>
        <row r="2025">
          <cell r="N2025">
            <v>5.2923200000000001</v>
          </cell>
          <cell r="O2025">
            <v>0</v>
          </cell>
        </row>
        <row r="2026">
          <cell r="N2026">
            <v>5.2923200000000001</v>
          </cell>
          <cell r="O2026">
            <v>0</v>
          </cell>
        </row>
        <row r="2027">
          <cell r="N2027">
            <v>3.7100800000000005</v>
          </cell>
          <cell r="O2027">
            <v>0</v>
          </cell>
        </row>
        <row r="2028">
          <cell r="N2028">
            <v>3.7373600000000002</v>
          </cell>
          <cell r="O2028">
            <v>0</v>
          </cell>
        </row>
        <row r="2029">
          <cell r="N2029">
            <v>3.7373600000000002</v>
          </cell>
          <cell r="O2029">
            <v>0</v>
          </cell>
        </row>
        <row r="2030">
          <cell r="N2030">
            <v>9.2119999999999997</v>
          </cell>
          <cell r="O2030">
            <v>0</v>
          </cell>
        </row>
        <row r="2031">
          <cell r="N2031">
            <v>14.322000000000001</v>
          </cell>
          <cell r="O2031">
            <v>0</v>
          </cell>
        </row>
        <row r="2032">
          <cell r="N2032">
            <v>2.70072</v>
          </cell>
          <cell r="O2032">
            <v>0</v>
          </cell>
        </row>
        <row r="2033">
          <cell r="N2033">
            <v>73.574160000000006</v>
          </cell>
          <cell r="O2033">
            <v>0</v>
          </cell>
        </row>
        <row r="2034">
          <cell r="N2034">
            <v>21.196559999999998</v>
          </cell>
          <cell r="O2034">
            <v>0</v>
          </cell>
        </row>
        <row r="2035">
          <cell r="N2035">
            <v>16.531680000000001</v>
          </cell>
          <cell r="O2035">
            <v>0</v>
          </cell>
        </row>
        <row r="2036">
          <cell r="N2036">
            <v>0</v>
          </cell>
          <cell r="O2036">
            <v>0</v>
          </cell>
        </row>
        <row r="2037">
          <cell r="N2037">
            <v>16.531680000000001</v>
          </cell>
          <cell r="O2037">
            <v>0</v>
          </cell>
        </row>
        <row r="2038">
          <cell r="N2038">
            <v>8.92056</v>
          </cell>
          <cell r="O2038">
            <v>0</v>
          </cell>
        </row>
        <row r="2039">
          <cell r="N2039">
            <v>16.531680000000001</v>
          </cell>
          <cell r="O2039">
            <v>0</v>
          </cell>
        </row>
        <row r="2040">
          <cell r="N2040">
            <v>0</v>
          </cell>
          <cell r="O2040">
            <v>0</v>
          </cell>
        </row>
        <row r="2041">
          <cell r="N2041">
            <v>16.613520000000001</v>
          </cell>
          <cell r="O2041">
            <v>0</v>
          </cell>
        </row>
        <row r="2042">
          <cell r="N2042">
            <v>37.891919999999999</v>
          </cell>
          <cell r="O2042">
            <v>0</v>
          </cell>
        </row>
        <row r="2043">
          <cell r="N2043">
            <v>4.5830399999999996</v>
          </cell>
          <cell r="O2043">
            <v>0</v>
          </cell>
        </row>
        <row r="2044">
          <cell r="N2044">
            <v>6.0561600000000002</v>
          </cell>
          <cell r="O2044">
            <v>0</v>
          </cell>
        </row>
        <row r="2045">
          <cell r="N2045">
            <v>5.7287999999999997</v>
          </cell>
          <cell r="O2045">
            <v>0</v>
          </cell>
        </row>
        <row r="2046">
          <cell r="N2046">
            <v>16.531680000000001</v>
          </cell>
          <cell r="O2046">
            <v>0</v>
          </cell>
        </row>
        <row r="2047">
          <cell r="N2047">
            <v>4.0101599999999999</v>
          </cell>
          <cell r="O2047">
            <v>0</v>
          </cell>
        </row>
        <row r="2048">
          <cell r="N2048">
            <v>15.38592</v>
          </cell>
          <cell r="O2048">
            <v>0</v>
          </cell>
        </row>
        <row r="2049">
          <cell r="N2049">
            <v>0.20280000000000001</v>
          </cell>
          <cell r="O2049">
            <v>0</v>
          </cell>
        </row>
        <row r="2050">
          <cell r="N2050">
            <v>7.1200799999999997</v>
          </cell>
          <cell r="O2050">
            <v>0</v>
          </cell>
        </row>
        <row r="2051">
          <cell r="N2051">
            <v>16.531680000000001</v>
          </cell>
          <cell r="O2051">
            <v>0</v>
          </cell>
        </row>
        <row r="2052">
          <cell r="N2052">
            <v>16.531680000000001</v>
          </cell>
          <cell r="O2052">
            <v>0</v>
          </cell>
        </row>
        <row r="2053">
          <cell r="N2053">
            <v>5.7287999999999997</v>
          </cell>
          <cell r="O2053">
            <v>0</v>
          </cell>
        </row>
        <row r="2054">
          <cell r="N2054">
            <v>1.4365000000000001</v>
          </cell>
          <cell r="O2054">
            <v>0</v>
          </cell>
        </row>
        <row r="2055">
          <cell r="N2055">
            <v>16.531680000000001</v>
          </cell>
          <cell r="O2055">
            <v>0</v>
          </cell>
        </row>
        <row r="2056">
          <cell r="N2056">
            <v>10.557360000000001</v>
          </cell>
          <cell r="O2056">
            <v>0</v>
          </cell>
        </row>
        <row r="2057">
          <cell r="N2057">
            <v>30.935519999999997</v>
          </cell>
          <cell r="O2057">
            <v>0</v>
          </cell>
        </row>
        <row r="2058">
          <cell r="N2058">
            <v>15.304079999999999</v>
          </cell>
          <cell r="O2058">
            <v>0</v>
          </cell>
        </row>
        <row r="2059">
          <cell r="N2059">
            <v>0.20280000000000001</v>
          </cell>
          <cell r="O2059">
            <v>0</v>
          </cell>
        </row>
        <row r="2060">
          <cell r="N2060">
            <v>4.4193600000000002</v>
          </cell>
          <cell r="O2060">
            <v>0</v>
          </cell>
        </row>
        <row r="2061">
          <cell r="N2061">
            <v>2.6188800000000003</v>
          </cell>
          <cell r="O2061">
            <v>0</v>
          </cell>
        </row>
        <row r="2062">
          <cell r="N2062">
            <v>9.9026399999999999</v>
          </cell>
          <cell r="O2062">
            <v>0</v>
          </cell>
        </row>
        <row r="2063">
          <cell r="N2063">
            <v>9.8208000000000002</v>
          </cell>
          <cell r="O2063">
            <v>0</v>
          </cell>
        </row>
        <row r="2064">
          <cell r="N2064">
            <v>11.539440000000001</v>
          </cell>
          <cell r="O2064">
            <v>0</v>
          </cell>
        </row>
        <row r="2065">
          <cell r="N2065">
            <v>51.15</v>
          </cell>
          <cell r="O2065">
            <v>0</v>
          </cell>
        </row>
        <row r="2066">
          <cell r="N2066">
            <v>13.0944</v>
          </cell>
          <cell r="O2066">
            <v>0</v>
          </cell>
        </row>
        <row r="2067">
          <cell r="N2067">
            <v>24.060959999999998</v>
          </cell>
          <cell r="O2067">
            <v>0</v>
          </cell>
        </row>
        <row r="2068">
          <cell r="N2068">
            <v>5.7287999999999997</v>
          </cell>
          <cell r="O2068">
            <v>0</v>
          </cell>
        </row>
        <row r="2069">
          <cell r="N2069">
            <v>6.0647999999999991</v>
          </cell>
          <cell r="O2069">
            <v>4.3301999999999996</v>
          </cell>
        </row>
        <row r="2070">
          <cell r="N2070">
            <v>8.6750399999999992</v>
          </cell>
          <cell r="O2070">
            <v>0</v>
          </cell>
        </row>
        <row r="2071">
          <cell r="N2071">
            <v>6.9312000000000005</v>
          </cell>
          <cell r="O2071">
            <v>4.9488000000000003</v>
          </cell>
        </row>
        <row r="2072">
          <cell r="N2072">
            <v>5.1983999999999995</v>
          </cell>
          <cell r="O2072">
            <v>3.7115999999999998</v>
          </cell>
        </row>
        <row r="2073">
          <cell r="N2073">
            <v>6.9312000000000005</v>
          </cell>
          <cell r="O2073">
            <v>4.9488000000000003</v>
          </cell>
        </row>
        <row r="2074">
          <cell r="N2074">
            <v>6.0647999999999991</v>
          </cell>
          <cell r="O2074">
            <v>4.3301999999999996</v>
          </cell>
        </row>
        <row r="2075">
          <cell r="N2075">
            <v>2.7508000000000004</v>
          </cell>
          <cell r="O2075">
            <v>0</v>
          </cell>
        </row>
        <row r="2076">
          <cell r="N2076">
            <v>0</v>
          </cell>
          <cell r="O2076">
            <v>0</v>
          </cell>
        </row>
        <row r="2077">
          <cell r="N2077">
            <v>16.531680000000001</v>
          </cell>
          <cell r="O2077">
            <v>0</v>
          </cell>
        </row>
        <row r="2078">
          <cell r="N2078">
            <v>10.066320000000001</v>
          </cell>
          <cell r="O2078">
            <v>0</v>
          </cell>
        </row>
        <row r="2079">
          <cell r="N2079">
            <v>5.2377600000000006</v>
          </cell>
          <cell r="O2079">
            <v>0</v>
          </cell>
        </row>
        <row r="2080">
          <cell r="N2080">
            <v>16.531680000000001</v>
          </cell>
          <cell r="O2080">
            <v>0</v>
          </cell>
        </row>
        <row r="2081">
          <cell r="N2081">
            <v>17.75928</v>
          </cell>
          <cell r="O2081">
            <v>0</v>
          </cell>
        </row>
        <row r="2082">
          <cell r="N2082">
            <v>2.5688</v>
          </cell>
          <cell r="O2082">
            <v>0</v>
          </cell>
        </row>
        <row r="2083">
          <cell r="N2083">
            <v>4.7652000000000001</v>
          </cell>
          <cell r="O2083">
            <v>3.4023000000000003</v>
          </cell>
        </row>
        <row r="2084">
          <cell r="N2084">
            <v>4.7652000000000001</v>
          </cell>
          <cell r="O2084">
            <v>3.4023000000000003</v>
          </cell>
        </row>
        <row r="2085">
          <cell r="N2085">
            <v>4.7652000000000001</v>
          </cell>
          <cell r="O2085">
            <v>3.4023000000000003</v>
          </cell>
        </row>
        <row r="2086">
          <cell r="N2086">
            <v>3.8988</v>
          </cell>
          <cell r="O2086">
            <v>2.7837000000000001</v>
          </cell>
        </row>
        <row r="2087">
          <cell r="N2087">
            <v>4.3319999999999999</v>
          </cell>
          <cell r="O2087">
            <v>3.093</v>
          </cell>
        </row>
        <row r="2088">
          <cell r="N2088">
            <v>22.747</v>
          </cell>
          <cell r="O2088">
            <v>0</v>
          </cell>
        </row>
        <row r="2089">
          <cell r="N2089">
            <v>5.1983999999999995</v>
          </cell>
          <cell r="O2089">
            <v>3.7115999999999998</v>
          </cell>
        </row>
        <row r="2090">
          <cell r="N2090">
            <v>0</v>
          </cell>
          <cell r="O2090">
            <v>0</v>
          </cell>
        </row>
        <row r="2091">
          <cell r="N2091">
            <v>4.3319999999999999</v>
          </cell>
          <cell r="O2091">
            <v>3.093</v>
          </cell>
        </row>
        <row r="2092">
          <cell r="N2092">
            <v>4.3319999999999999</v>
          </cell>
          <cell r="O2092">
            <v>3.093</v>
          </cell>
        </row>
        <row r="2093">
          <cell r="N2093">
            <v>4.3319999999999999</v>
          </cell>
          <cell r="O2093">
            <v>3.093</v>
          </cell>
        </row>
        <row r="2094">
          <cell r="N2094">
            <v>4.3319999999999999</v>
          </cell>
          <cell r="O2094">
            <v>3.093</v>
          </cell>
        </row>
        <row r="2095">
          <cell r="N2095">
            <v>0</v>
          </cell>
          <cell r="O2095">
            <v>0</v>
          </cell>
        </row>
        <row r="2096">
          <cell r="N2096">
            <v>0</v>
          </cell>
          <cell r="O2096">
            <v>0</v>
          </cell>
        </row>
        <row r="2097">
          <cell r="N2097">
            <v>0</v>
          </cell>
          <cell r="O2097">
            <v>0</v>
          </cell>
        </row>
        <row r="2098">
          <cell r="N2098">
            <v>4.7652000000000001</v>
          </cell>
          <cell r="O2098">
            <v>3.4023000000000003</v>
          </cell>
        </row>
        <row r="2099">
          <cell r="N2099">
            <v>31.052300000000002</v>
          </cell>
          <cell r="O2099">
            <v>0</v>
          </cell>
        </row>
        <row r="2100">
          <cell r="N2100">
            <v>14.136000000000001</v>
          </cell>
          <cell r="O2100">
            <v>0</v>
          </cell>
        </row>
        <row r="2101">
          <cell r="N2101">
            <v>0</v>
          </cell>
          <cell r="O2101">
            <v>0</v>
          </cell>
        </row>
        <row r="2102">
          <cell r="N2102">
            <v>0</v>
          </cell>
          <cell r="O2102">
            <v>0</v>
          </cell>
        </row>
        <row r="2103">
          <cell r="N2103">
            <v>0</v>
          </cell>
          <cell r="O2103">
            <v>0</v>
          </cell>
        </row>
        <row r="2104">
          <cell r="N2104">
            <v>0</v>
          </cell>
          <cell r="O2104">
            <v>0</v>
          </cell>
        </row>
        <row r="2105">
          <cell r="N2105">
            <v>0</v>
          </cell>
          <cell r="O2105">
            <v>0</v>
          </cell>
        </row>
        <row r="2106">
          <cell r="N2106">
            <v>0</v>
          </cell>
          <cell r="O2106">
            <v>0</v>
          </cell>
        </row>
        <row r="2107">
          <cell r="N2107">
            <v>29.457599999999999</v>
          </cell>
          <cell r="O2107">
            <v>21.032399999999999</v>
          </cell>
        </row>
        <row r="2108">
          <cell r="N2108">
            <v>20.793599999999998</v>
          </cell>
          <cell r="O2108">
            <v>14.846399999999999</v>
          </cell>
        </row>
        <row r="2109">
          <cell r="N2109">
            <v>12.312000000000001</v>
          </cell>
          <cell r="O2109">
            <v>0</v>
          </cell>
        </row>
        <row r="2110">
          <cell r="N2110">
            <v>35.125600000000006</v>
          </cell>
          <cell r="O2110">
            <v>0</v>
          </cell>
        </row>
        <row r="2111">
          <cell r="N2111">
            <v>0</v>
          </cell>
          <cell r="O2111">
            <v>0</v>
          </cell>
        </row>
        <row r="2112">
          <cell r="N2112">
            <v>67.923600000000008</v>
          </cell>
          <cell r="O2112">
            <v>0</v>
          </cell>
        </row>
        <row r="2113">
          <cell r="N2113">
            <v>0</v>
          </cell>
          <cell r="O2113">
            <v>0</v>
          </cell>
        </row>
        <row r="2114">
          <cell r="N2114">
            <v>10.9503</v>
          </cell>
          <cell r="O2114">
            <v>0</v>
          </cell>
        </row>
        <row r="2115">
          <cell r="N2115">
            <v>18.787200000000002</v>
          </cell>
          <cell r="O2115">
            <v>0</v>
          </cell>
        </row>
        <row r="2116">
          <cell r="N2116">
            <v>16.504799999999999</v>
          </cell>
          <cell r="O2116">
            <v>0</v>
          </cell>
        </row>
        <row r="2117">
          <cell r="N2117">
            <v>5.9829000000000008</v>
          </cell>
          <cell r="O2117">
            <v>0</v>
          </cell>
        </row>
        <row r="2118">
          <cell r="N2118">
            <v>0</v>
          </cell>
          <cell r="O2118">
            <v>0</v>
          </cell>
        </row>
        <row r="2119">
          <cell r="N2119">
            <v>0</v>
          </cell>
          <cell r="O2119">
            <v>0</v>
          </cell>
        </row>
        <row r="2120">
          <cell r="N2120">
            <v>0</v>
          </cell>
          <cell r="O2120">
            <v>0</v>
          </cell>
        </row>
        <row r="2121">
          <cell r="N2121">
            <v>0</v>
          </cell>
          <cell r="O2121">
            <v>0</v>
          </cell>
        </row>
        <row r="2122">
          <cell r="N2122">
            <v>2.1688999999999998</v>
          </cell>
          <cell r="O2122">
            <v>0</v>
          </cell>
        </row>
        <row r="2123">
          <cell r="N2123">
            <v>0</v>
          </cell>
          <cell r="O2123">
            <v>0</v>
          </cell>
        </row>
        <row r="2124">
          <cell r="N2124">
            <v>0</v>
          </cell>
          <cell r="O2124">
            <v>0</v>
          </cell>
        </row>
        <row r="2125">
          <cell r="N2125">
            <v>24.259199999999996</v>
          </cell>
          <cell r="O2125">
            <v>17.320799999999998</v>
          </cell>
        </row>
        <row r="2126">
          <cell r="N2126">
            <v>43.32</v>
          </cell>
          <cell r="O2126">
            <v>30.93</v>
          </cell>
        </row>
        <row r="2127">
          <cell r="N2127">
            <v>0</v>
          </cell>
          <cell r="O2127">
            <v>0</v>
          </cell>
        </row>
        <row r="2128">
          <cell r="N2128">
            <v>8.4111000000000011</v>
          </cell>
          <cell r="O2128">
            <v>0</v>
          </cell>
        </row>
        <row r="2129">
          <cell r="N2129">
            <v>8.1995000000000005</v>
          </cell>
          <cell r="O2129">
            <v>0</v>
          </cell>
        </row>
        <row r="2130">
          <cell r="N2130">
            <v>21.953500000000002</v>
          </cell>
          <cell r="O2130">
            <v>0</v>
          </cell>
        </row>
        <row r="2131">
          <cell r="N2131">
            <v>0.5746</v>
          </cell>
          <cell r="O2131">
            <v>0</v>
          </cell>
        </row>
        <row r="2132">
          <cell r="N2132">
            <v>0</v>
          </cell>
          <cell r="O2132">
            <v>0</v>
          </cell>
        </row>
        <row r="2133">
          <cell r="N2133">
            <v>0</v>
          </cell>
          <cell r="O2133">
            <v>0</v>
          </cell>
        </row>
        <row r="2134">
          <cell r="N2134">
            <v>0</v>
          </cell>
          <cell r="O2134">
            <v>0</v>
          </cell>
        </row>
        <row r="2135">
          <cell r="N2135">
            <v>0</v>
          </cell>
          <cell r="O2135">
            <v>0</v>
          </cell>
        </row>
        <row r="2136">
          <cell r="N2136">
            <v>0</v>
          </cell>
          <cell r="O2136">
            <v>0</v>
          </cell>
        </row>
        <row r="2137">
          <cell r="N2137">
            <v>0</v>
          </cell>
          <cell r="O2137">
            <v>0</v>
          </cell>
        </row>
        <row r="2138">
          <cell r="N2138">
            <v>0</v>
          </cell>
          <cell r="O2138">
            <v>0</v>
          </cell>
        </row>
        <row r="2139">
          <cell r="N2139">
            <v>0</v>
          </cell>
          <cell r="O2139">
            <v>0</v>
          </cell>
        </row>
        <row r="2140">
          <cell r="N2140">
            <v>13.132800000000001</v>
          </cell>
          <cell r="O2140">
            <v>0</v>
          </cell>
        </row>
        <row r="2141">
          <cell r="N2141">
            <v>0</v>
          </cell>
          <cell r="O2141">
            <v>0</v>
          </cell>
        </row>
        <row r="2142">
          <cell r="N2142">
            <v>0</v>
          </cell>
          <cell r="O2142">
            <v>0</v>
          </cell>
        </row>
        <row r="2143">
          <cell r="N2143">
            <v>0</v>
          </cell>
          <cell r="O2143">
            <v>0</v>
          </cell>
        </row>
        <row r="2144">
          <cell r="N2144">
            <v>44.012800000000006</v>
          </cell>
          <cell r="O2144">
            <v>0</v>
          </cell>
        </row>
        <row r="2145">
          <cell r="N2145">
            <v>0</v>
          </cell>
          <cell r="O2145">
            <v>0</v>
          </cell>
        </row>
        <row r="2146">
          <cell r="N2146">
            <v>0</v>
          </cell>
          <cell r="O2146">
            <v>0</v>
          </cell>
        </row>
        <row r="2147">
          <cell r="N2147">
            <v>3.1740000000000004</v>
          </cell>
          <cell r="O2147">
            <v>0</v>
          </cell>
        </row>
        <row r="2148">
          <cell r="N2148">
            <v>23.4876</v>
          </cell>
          <cell r="O2148">
            <v>0</v>
          </cell>
        </row>
        <row r="2149">
          <cell r="N2149">
            <v>20.115999999999996</v>
          </cell>
          <cell r="O2149">
            <v>0</v>
          </cell>
        </row>
        <row r="2150">
          <cell r="N2150">
            <v>8.8387200000000004</v>
          </cell>
          <cell r="O2150">
            <v>0</v>
          </cell>
        </row>
        <row r="2151">
          <cell r="N2151">
            <v>54.4236</v>
          </cell>
          <cell r="O2151">
            <v>0</v>
          </cell>
        </row>
        <row r="2152">
          <cell r="N2152">
            <v>26.414000000000001</v>
          </cell>
          <cell r="O2152">
            <v>0</v>
          </cell>
        </row>
        <row r="2153">
          <cell r="N2153">
            <v>4.2284000000000006</v>
          </cell>
          <cell r="O2153">
            <v>0</v>
          </cell>
        </row>
        <row r="2154">
          <cell r="N2154">
            <v>11.797000000000001</v>
          </cell>
          <cell r="O2154">
            <v>0</v>
          </cell>
        </row>
        <row r="2155">
          <cell r="N2155">
            <v>7.4260000000000002</v>
          </cell>
          <cell r="O2155">
            <v>0</v>
          </cell>
        </row>
        <row r="2156">
          <cell r="N2156">
            <v>7.4260000000000002</v>
          </cell>
          <cell r="O2156">
            <v>0</v>
          </cell>
        </row>
        <row r="2157">
          <cell r="N2157">
            <v>4.3102400000000012</v>
          </cell>
          <cell r="O2157">
            <v>0</v>
          </cell>
        </row>
        <row r="2158">
          <cell r="N2158">
            <v>4.3102400000000012</v>
          </cell>
          <cell r="O2158">
            <v>0</v>
          </cell>
        </row>
        <row r="2159">
          <cell r="N2159">
            <v>15.129400000000002</v>
          </cell>
          <cell r="O2159">
            <v>0</v>
          </cell>
        </row>
        <row r="2160">
          <cell r="N2160">
            <v>4.3102400000000012</v>
          </cell>
          <cell r="O2160">
            <v>0</v>
          </cell>
        </row>
        <row r="2161">
          <cell r="N2161">
            <v>51.952000000000005</v>
          </cell>
          <cell r="O2161">
            <v>0</v>
          </cell>
        </row>
        <row r="2162">
          <cell r="N2162">
            <v>7.4260000000000002</v>
          </cell>
          <cell r="O2162">
            <v>0</v>
          </cell>
        </row>
        <row r="2163">
          <cell r="N2163">
            <v>1.8421000000000003</v>
          </cell>
          <cell r="O2163">
            <v>0</v>
          </cell>
        </row>
        <row r="2164">
          <cell r="N2164">
            <v>4.3102400000000012</v>
          </cell>
          <cell r="O2164">
            <v>0</v>
          </cell>
        </row>
        <row r="2165">
          <cell r="N2165">
            <v>7.2849999999999993</v>
          </cell>
          <cell r="O2165">
            <v>0</v>
          </cell>
        </row>
        <row r="2166">
          <cell r="N2166">
            <v>1.0985</v>
          </cell>
          <cell r="O2166">
            <v>0</v>
          </cell>
        </row>
        <row r="2167">
          <cell r="N2167">
            <v>7.2849999999999993</v>
          </cell>
          <cell r="O2167">
            <v>0</v>
          </cell>
        </row>
        <row r="2168">
          <cell r="N2168">
            <v>1.6007999999999998</v>
          </cell>
          <cell r="O2168">
            <v>0</v>
          </cell>
        </row>
        <row r="2169">
          <cell r="N2169">
            <v>4.2284000000000006</v>
          </cell>
          <cell r="O2169">
            <v>0</v>
          </cell>
        </row>
        <row r="2170">
          <cell r="N2170">
            <v>4.3102400000000012</v>
          </cell>
          <cell r="O2170">
            <v>0</v>
          </cell>
        </row>
        <row r="2171">
          <cell r="N2171">
            <v>7.4260000000000002</v>
          </cell>
          <cell r="O2171">
            <v>0</v>
          </cell>
        </row>
        <row r="2172">
          <cell r="N2172">
            <v>7.4260000000000002</v>
          </cell>
          <cell r="O2172">
            <v>0</v>
          </cell>
        </row>
        <row r="2173">
          <cell r="N2173">
            <v>4.3375200000000005</v>
          </cell>
          <cell r="O2173">
            <v>0</v>
          </cell>
        </row>
        <row r="2174">
          <cell r="N2174">
            <v>28.220000000000002</v>
          </cell>
          <cell r="O2174">
            <v>0</v>
          </cell>
        </row>
        <row r="2175">
          <cell r="N2175">
            <v>3.0153000000000003</v>
          </cell>
          <cell r="O2175">
            <v>0</v>
          </cell>
        </row>
        <row r="2176">
          <cell r="N2176">
            <v>4.2284000000000006</v>
          </cell>
          <cell r="O2176">
            <v>0</v>
          </cell>
        </row>
        <row r="2177">
          <cell r="N2177">
            <v>2.8098400000000008</v>
          </cell>
          <cell r="O2177">
            <v>0</v>
          </cell>
        </row>
        <row r="2178">
          <cell r="N2178">
            <v>10.433999999999999</v>
          </cell>
          <cell r="O2178">
            <v>0</v>
          </cell>
        </row>
        <row r="2179">
          <cell r="N2179">
            <v>7.6929600000000011</v>
          </cell>
          <cell r="O2179">
            <v>0</v>
          </cell>
        </row>
        <row r="2180">
          <cell r="N2180">
            <v>4.910400000000001</v>
          </cell>
          <cell r="O2180">
            <v>0</v>
          </cell>
        </row>
        <row r="2181">
          <cell r="N2181">
            <v>11.467999999999998</v>
          </cell>
          <cell r="O2181">
            <v>0</v>
          </cell>
        </row>
        <row r="2182">
          <cell r="N2182">
            <v>0</v>
          </cell>
          <cell r="O2182">
            <v>0</v>
          </cell>
        </row>
        <row r="2183">
          <cell r="N2183">
            <v>0</v>
          </cell>
          <cell r="O2183">
            <v>0</v>
          </cell>
        </row>
        <row r="2184">
          <cell r="N2184">
            <v>10.997999999999999</v>
          </cell>
          <cell r="O2184">
            <v>0</v>
          </cell>
        </row>
        <row r="2185">
          <cell r="N2185">
            <v>6.4108000000000009</v>
          </cell>
          <cell r="O2185">
            <v>0</v>
          </cell>
        </row>
        <row r="2186">
          <cell r="N2186">
            <v>4.8558400000000006</v>
          </cell>
          <cell r="O2186">
            <v>0</v>
          </cell>
        </row>
        <row r="2187">
          <cell r="N2187">
            <v>4.8012800000000011</v>
          </cell>
          <cell r="O2187">
            <v>0</v>
          </cell>
        </row>
        <row r="2188">
          <cell r="N2188">
            <v>16.0688</v>
          </cell>
          <cell r="O2188">
            <v>0</v>
          </cell>
        </row>
        <row r="2189">
          <cell r="N2189">
            <v>13.488999999999999</v>
          </cell>
          <cell r="O2189">
            <v>0</v>
          </cell>
        </row>
        <row r="2190">
          <cell r="N2190">
            <v>12.407999999999999</v>
          </cell>
          <cell r="O2190">
            <v>0</v>
          </cell>
        </row>
        <row r="2191">
          <cell r="N2191">
            <v>3.7373600000000002</v>
          </cell>
          <cell r="O2191">
            <v>0</v>
          </cell>
        </row>
        <row r="2192">
          <cell r="N2192">
            <v>11.045</v>
          </cell>
          <cell r="O2192">
            <v>0</v>
          </cell>
        </row>
        <row r="2193">
          <cell r="N2193">
            <v>8.3189999999999991</v>
          </cell>
          <cell r="O2193">
            <v>0</v>
          </cell>
        </row>
        <row r="2194">
          <cell r="N2194">
            <v>3.7373600000000002</v>
          </cell>
          <cell r="O2194">
            <v>0</v>
          </cell>
        </row>
        <row r="2195">
          <cell r="N2195">
            <v>3.7373600000000002</v>
          </cell>
          <cell r="O2195">
            <v>0</v>
          </cell>
        </row>
        <row r="2196">
          <cell r="N2196">
            <v>6.4859999999999998</v>
          </cell>
          <cell r="O2196">
            <v>0</v>
          </cell>
        </row>
        <row r="2197">
          <cell r="N2197">
            <v>5.7560800000000016</v>
          </cell>
          <cell r="O2197">
            <v>0</v>
          </cell>
        </row>
        <row r="2198">
          <cell r="N2198">
            <v>10.31184</v>
          </cell>
          <cell r="O2198">
            <v>0</v>
          </cell>
        </row>
        <row r="2199">
          <cell r="N2199">
            <v>5.8924799999999999</v>
          </cell>
          <cell r="O2199">
            <v>0</v>
          </cell>
        </row>
        <row r="2200">
          <cell r="N2200">
            <v>8.6750399999999992</v>
          </cell>
          <cell r="O2200">
            <v>0</v>
          </cell>
        </row>
        <row r="2201">
          <cell r="N2201">
            <v>4.3375199999999996</v>
          </cell>
          <cell r="O2201">
            <v>0</v>
          </cell>
        </row>
        <row r="2202">
          <cell r="N2202">
            <v>3.1099199999999998</v>
          </cell>
          <cell r="O2202">
            <v>0</v>
          </cell>
        </row>
        <row r="2203">
          <cell r="N2203">
            <v>11.130240000000001</v>
          </cell>
          <cell r="O2203">
            <v>0</v>
          </cell>
        </row>
        <row r="2204">
          <cell r="N2204">
            <v>3.0280800000000001</v>
          </cell>
          <cell r="O2204">
            <v>0</v>
          </cell>
        </row>
        <row r="2205">
          <cell r="N2205">
            <v>3.1099199999999998</v>
          </cell>
          <cell r="O2205">
            <v>0</v>
          </cell>
        </row>
        <row r="2206">
          <cell r="N2206">
            <v>7.6929600000000002</v>
          </cell>
          <cell r="O2206">
            <v>0</v>
          </cell>
        </row>
        <row r="2207">
          <cell r="N2207">
            <v>7.6929600000000002</v>
          </cell>
          <cell r="O2207">
            <v>0</v>
          </cell>
        </row>
        <row r="2208">
          <cell r="N2208">
            <v>3.3554399999999998</v>
          </cell>
          <cell r="O2208">
            <v>0</v>
          </cell>
        </row>
        <row r="2209">
          <cell r="N2209">
            <v>8.2658400000000007</v>
          </cell>
          <cell r="O2209">
            <v>0</v>
          </cell>
        </row>
        <row r="2210">
          <cell r="N2210">
            <v>8.92056</v>
          </cell>
          <cell r="O2210">
            <v>0</v>
          </cell>
        </row>
        <row r="2211">
          <cell r="N2211">
            <v>5.40144</v>
          </cell>
          <cell r="O2211">
            <v>0</v>
          </cell>
        </row>
        <row r="2212">
          <cell r="N2212">
            <v>5.4832800000000006</v>
          </cell>
          <cell r="O2212">
            <v>0</v>
          </cell>
        </row>
        <row r="2213">
          <cell r="N2213">
            <v>2.6188800000000003</v>
          </cell>
          <cell r="O2213">
            <v>0</v>
          </cell>
        </row>
        <row r="2214">
          <cell r="N2214">
            <v>12.930720000000001</v>
          </cell>
          <cell r="O2214">
            <v>0</v>
          </cell>
        </row>
        <row r="2215">
          <cell r="N2215">
            <v>5.4832800000000006</v>
          </cell>
          <cell r="O2215">
            <v>0</v>
          </cell>
        </row>
        <row r="2216">
          <cell r="N2216">
            <v>5.4832800000000006</v>
          </cell>
          <cell r="O2216">
            <v>0</v>
          </cell>
        </row>
        <row r="2217">
          <cell r="N2217">
            <v>5.1559200000000001</v>
          </cell>
          <cell r="O2217">
            <v>0</v>
          </cell>
        </row>
        <row r="2218">
          <cell r="N2218">
            <v>3.76464</v>
          </cell>
          <cell r="O2218">
            <v>0</v>
          </cell>
        </row>
        <row r="2219">
          <cell r="N2219">
            <v>5.5651200000000003</v>
          </cell>
          <cell r="O2219">
            <v>0</v>
          </cell>
        </row>
        <row r="2220">
          <cell r="N2220">
            <v>4.3375199999999996</v>
          </cell>
          <cell r="O2220">
            <v>0</v>
          </cell>
        </row>
        <row r="2221">
          <cell r="N2221">
            <v>12.439679999999999</v>
          </cell>
          <cell r="O2221">
            <v>0</v>
          </cell>
        </row>
        <row r="2222">
          <cell r="N2222">
            <v>0</v>
          </cell>
          <cell r="O2222">
            <v>0</v>
          </cell>
        </row>
        <row r="2223">
          <cell r="N2223">
            <v>0</v>
          </cell>
          <cell r="O2223">
            <v>0</v>
          </cell>
        </row>
        <row r="2224">
          <cell r="N2224">
            <v>0</v>
          </cell>
          <cell r="O2224">
            <v>0</v>
          </cell>
        </row>
        <row r="2225">
          <cell r="N2225">
            <v>0</v>
          </cell>
          <cell r="O2225">
            <v>0</v>
          </cell>
        </row>
        <row r="2226">
          <cell r="N2226">
            <v>0</v>
          </cell>
          <cell r="O2226">
            <v>0</v>
          </cell>
        </row>
        <row r="2227">
          <cell r="N2227">
            <v>0</v>
          </cell>
          <cell r="O2227">
            <v>0</v>
          </cell>
        </row>
        <row r="2228">
          <cell r="N2228">
            <v>0</v>
          </cell>
          <cell r="O2228">
            <v>0</v>
          </cell>
        </row>
        <row r="2229">
          <cell r="N2229">
            <v>0</v>
          </cell>
          <cell r="O2229">
            <v>0</v>
          </cell>
        </row>
        <row r="2230">
          <cell r="N2230">
            <v>0</v>
          </cell>
          <cell r="O2230">
            <v>0</v>
          </cell>
        </row>
        <row r="2231">
          <cell r="N2231">
            <v>0</v>
          </cell>
          <cell r="O2231">
            <v>0</v>
          </cell>
        </row>
        <row r="2232">
          <cell r="N2232">
            <v>0</v>
          </cell>
          <cell r="O2232">
            <v>0</v>
          </cell>
        </row>
        <row r="2233">
          <cell r="N2233">
            <v>0</v>
          </cell>
          <cell r="O2233">
            <v>0</v>
          </cell>
        </row>
        <row r="2234">
          <cell r="N2234">
            <v>0</v>
          </cell>
          <cell r="O2234">
            <v>0</v>
          </cell>
        </row>
        <row r="2235">
          <cell r="N2235">
            <v>0</v>
          </cell>
          <cell r="O2235">
            <v>0</v>
          </cell>
        </row>
        <row r="2236">
          <cell r="N2236">
            <v>0</v>
          </cell>
          <cell r="O2236">
            <v>0</v>
          </cell>
        </row>
        <row r="2237">
          <cell r="N2237">
            <v>0</v>
          </cell>
          <cell r="O2237">
            <v>0</v>
          </cell>
        </row>
        <row r="2238">
          <cell r="N2238">
            <v>0</v>
          </cell>
          <cell r="O2238">
            <v>0</v>
          </cell>
        </row>
        <row r="2239">
          <cell r="N2239">
            <v>0</v>
          </cell>
          <cell r="O2239">
            <v>0</v>
          </cell>
        </row>
        <row r="2240">
          <cell r="N2240">
            <v>4.6648800000000001</v>
          </cell>
          <cell r="O2240">
            <v>0</v>
          </cell>
        </row>
        <row r="2241">
          <cell r="N2241">
            <v>4.5830399999999996</v>
          </cell>
          <cell r="O2241">
            <v>0</v>
          </cell>
        </row>
        <row r="2242">
          <cell r="N2242">
            <v>1.8550400000000002</v>
          </cell>
          <cell r="O2242">
            <v>0</v>
          </cell>
        </row>
        <row r="2243">
          <cell r="N2243">
            <v>7.75</v>
          </cell>
          <cell r="O2243">
            <v>0</v>
          </cell>
        </row>
        <row r="2244">
          <cell r="N2244">
            <v>4.6648800000000001</v>
          </cell>
          <cell r="O2244">
            <v>0</v>
          </cell>
        </row>
        <row r="2245">
          <cell r="N2245">
            <v>5.40144</v>
          </cell>
          <cell r="O2245">
            <v>0</v>
          </cell>
        </row>
        <row r="2246">
          <cell r="N2246">
            <v>12.930720000000001</v>
          </cell>
          <cell r="O2246">
            <v>0</v>
          </cell>
        </row>
        <row r="2247">
          <cell r="N2247">
            <v>10.884720000000002</v>
          </cell>
          <cell r="O2247">
            <v>0</v>
          </cell>
        </row>
        <row r="2248">
          <cell r="N2248">
            <v>8.5931999999999995</v>
          </cell>
          <cell r="O2248">
            <v>0</v>
          </cell>
        </row>
        <row r="2249">
          <cell r="N2249">
            <v>5.40144</v>
          </cell>
          <cell r="O2249">
            <v>0</v>
          </cell>
        </row>
        <row r="2250">
          <cell r="N2250">
            <v>5.5651200000000003</v>
          </cell>
          <cell r="O2250">
            <v>0</v>
          </cell>
        </row>
        <row r="2251">
          <cell r="N2251">
            <v>16.695360000000001</v>
          </cell>
          <cell r="O2251">
            <v>0</v>
          </cell>
        </row>
        <row r="2252">
          <cell r="N2252">
            <v>4.3375199999999996</v>
          </cell>
          <cell r="O2252">
            <v>0</v>
          </cell>
        </row>
        <row r="2253">
          <cell r="N2253">
            <v>5.0740800000000004</v>
          </cell>
          <cell r="O2253">
            <v>0</v>
          </cell>
        </row>
        <row r="2254">
          <cell r="N2254">
            <v>24.633840000000003</v>
          </cell>
          <cell r="O2254">
            <v>0</v>
          </cell>
        </row>
        <row r="2255">
          <cell r="N2255">
            <v>4.3375199999999996</v>
          </cell>
          <cell r="O2255">
            <v>0</v>
          </cell>
        </row>
        <row r="2256">
          <cell r="N2256">
            <v>5.0740800000000004</v>
          </cell>
          <cell r="O2256">
            <v>0</v>
          </cell>
        </row>
        <row r="2257">
          <cell r="N2257">
            <v>60.561599999999999</v>
          </cell>
          <cell r="O2257">
            <v>0</v>
          </cell>
        </row>
        <row r="2258">
          <cell r="N2258">
            <v>11.21208</v>
          </cell>
          <cell r="O2258">
            <v>0</v>
          </cell>
        </row>
        <row r="2259">
          <cell r="N2259">
            <v>5.4832800000000006</v>
          </cell>
          <cell r="O2259">
            <v>0</v>
          </cell>
        </row>
        <row r="2260">
          <cell r="N2260">
            <v>5.5651200000000003</v>
          </cell>
          <cell r="O2260">
            <v>0</v>
          </cell>
        </row>
        <row r="2261">
          <cell r="N2261">
            <v>5.40144</v>
          </cell>
          <cell r="O2261">
            <v>0</v>
          </cell>
        </row>
        <row r="2262">
          <cell r="N2262">
            <v>5.5651200000000003</v>
          </cell>
          <cell r="O2262">
            <v>0</v>
          </cell>
        </row>
        <row r="2263">
          <cell r="N2263">
            <v>8.5931999999999995</v>
          </cell>
          <cell r="O2263">
            <v>0</v>
          </cell>
        </row>
        <row r="2264">
          <cell r="N2264">
            <v>5.40144</v>
          </cell>
          <cell r="O2264">
            <v>0</v>
          </cell>
        </row>
        <row r="2265">
          <cell r="N2265">
            <v>5.5651200000000003</v>
          </cell>
          <cell r="O2265">
            <v>0</v>
          </cell>
        </row>
        <row r="2266">
          <cell r="N2266">
            <v>2.3322000000000003</v>
          </cell>
          <cell r="O2266">
            <v>0</v>
          </cell>
        </row>
        <row r="2267">
          <cell r="N2267">
            <v>4.7652000000000001</v>
          </cell>
          <cell r="O2267">
            <v>3.4023000000000003</v>
          </cell>
        </row>
        <row r="2268">
          <cell r="N2268">
            <v>4.7652000000000001</v>
          </cell>
          <cell r="O2268">
            <v>3.4023000000000003</v>
          </cell>
        </row>
        <row r="2269">
          <cell r="N2269">
            <v>4.7652000000000001</v>
          </cell>
          <cell r="O2269">
            <v>3.4023000000000003</v>
          </cell>
        </row>
        <row r="2270">
          <cell r="N2270">
            <v>3.8988</v>
          </cell>
          <cell r="O2270">
            <v>2.7837000000000001</v>
          </cell>
        </row>
        <row r="2271">
          <cell r="N2271">
            <v>4.3319999999999999</v>
          </cell>
          <cell r="O2271">
            <v>3.093</v>
          </cell>
        </row>
        <row r="2272">
          <cell r="N2272">
            <v>4.3319999999999999</v>
          </cell>
          <cell r="O2272">
            <v>3.093</v>
          </cell>
        </row>
        <row r="2273">
          <cell r="N2273">
            <v>4.3319999999999999</v>
          </cell>
          <cell r="O2273">
            <v>3.093</v>
          </cell>
        </row>
        <row r="2274">
          <cell r="N2274">
            <v>4.3319999999999999</v>
          </cell>
          <cell r="O2274">
            <v>3.093</v>
          </cell>
        </row>
        <row r="2275">
          <cell r="N2275">
            <v>4.3319999999999999</v>
          </cell>
          <cell r="O2275">
            <v>3.093</v>
          </cell>
        </row>
        <row r="2276">
          <cell r="N2276">
            <v>4.7652000000000001</v>
          </cell>
          <cell r="O2276">
            <v>3.4023000000000003</v>
          </cell>
        </row>
        <row r="2277">
          <cell r="N2277">
            <v>0</v>
          </cell>
          <cell r="O2277">
            <v>0</v>
          </cell>
        </row>
        <row r="2278">
          <cell r="N2278">
            <v>0</v>
          </cell>
          <cell r="O2278">
            <v>0</v>
          </cell>
        </row>
        <row r="2279">
          <cell r="N2279">
            <v>0</v>
          </cell>
          <cell r="O2279">
            <v>0</v>
          </cell>
        </row>
        <row r="2280">
          <cell r="N2280">
            <v>0</v>
          </cell>
          <cell r="O2280">
            <v>0</v>
          </cell>
        </row>
        <row r="2281">
          <cell r="N2281">
            <v>0</v>
          </cell>
          <cell r="O2281">
            <v>0</v>
          </cell>
        </row>
        <row r="2282">
          <cell r="N2282">
            <v>20.209999999999997</v>
          </cell>
          <cell r="O2282">
            <v>0</v>
          </cell>
        </row>
        <row r="2283">
          <cell r="N2283">
            <v>7.9899999999999993</v>
          </cell>
          <cell r="O2283">
            <v>0</v>
          </cell>
        </row>
        <row r="2284">
          <cell r="N2284">
            <v>7.9899999999999993</v>
          </cell>
          <cell r="O2284">
            <v>0</v>
          </cell>
        </row>
        <row r="2285">
          <cell r="N2285">
            <v>21.337999999999997</v>
          </cell>
          <cell r="O2285">
            <v>0</v>
          </cell>
        </row>
        <row r="2286">
          <cell r="N2286">
            <v>9.8699999999999992</v>
          </cell>
          <cell r="O2286">
            <v>0</v>
          </cell>
        </row>
        <row r="2287">
          <cell r="N2287">
            <v>9.8699999999999992</v>
          </cell>
          <cell r="O2287">
            <v>0</v>
          </cell>
        </row>
        <row r="2288">
          <cell r="N2288">
            <v>9.9169999999999998</v>
          </cell>
          <cell r="O2288">
            <v>0</v>
          </cell>
        </row>
        <row r="2289">
          <cell r="N2289">
            <v>9.9169999999999998</v>
          </cell>
          <cell r="O2289">
            <v>0</v>
          </cell>
        </row>
        <row r="2290">
          <cell r="N2290">
            <v>9.9169999999999998</v>
          </cell>
          <cell r="O2290">
            <v>0</v>
          </cell>
        </row>
        <row r="2291">
          <cell r="N2291">
            <v>5.7560800000000016</v>
          </cell>
          <cell r="O2291">
            <v>0</v>
          </cell>
        </row>
        <row r="2292">
          <cell r="N2292">
            <v>5.7560800000000016</v>
          </cell>
          <cell r="O2292">
            <v>0</v>
          </cell>
        </row>
        <row r="2293">
          <cell r="N2293">
            <v>9.9169999999999998</v>
          </cell>
          <cell r="O2293">
            <v>0</v>
          </cell>
        </row>
        <row r="2294">
          <cell r="N2294">
            <v>9.9169999999999998</v>
          </cell>
          <cell r="O2294">
            <v>0</v>
          </cell>
        </row>
        <row r="2295">
          <cell r="N2295">
            <v>9.9169999999999998</v>
          </cell>
          <cell r="O2295">
            <v>0</v>
          </cell>
        </row>
        <row r="2296">
          <cell r="N2296">
            <v>9.9169999999999998</v>
          </cell>
          <cell r="O2296">
            <v>0</v>
          </cell>
        </row>
        <row r="2297">
          <cell r="N2297">
            <v>9.9169999999999998</v>
          </cell>
          <cell r="O2297">
            <v>0</v>
          </cell>
        </row>
        <row r="2298">
          <cell r="N2298">
            <v>20.115999999999996</v>
          </cell>
          <cell r="O2298">
            <v>0</v>
          </cell>
        </row>
        <row r="2299">
          <cell r="N2299">
            <v>22.324999999999999</v>
          </cell>
          <cell r="O2299">
            <v>0</v>
          </cell>
        </row>
        <row r="2300">
          <cell r="N2300">
            <v>22.959599999999998</v>
          </cell>
          <cell r="O2300">
            <v>32.785800000000002</v>
          </cell>
        </row>
        <row r="2301">
          <cell r="N2301">
            <v>13.132800000000001</v>
          </cell>
          <cell r="O2301">
            <v>0</v>
          </cell>
        </row>
        <row r="2302">
          <cell r="N2302">
            <v>16.074000000000002</v>
          </cell>
          <cell r="O2302">
            <v>0</v>
          </cell>
        </row>
        <row r="2303">
          <cell r="N2303">
            <v>4.5830400000000013</v>
          </cell>
          <cell r="O2303">
            <v>0</v>
          </cell>
        </row>
        <row r="2304">
          <cell r="N2304">
            <v>4.5830400000000013</v>
          </cell>
          <cell r="O2304">
            <v>0</v>
          </cell>
        </row>
        <row r="2305">
          <cell r="N2305">
            <v>4.5557600000000003</v>
          </cell>
          <cell r="O2305">
            <v>0</v>
          </cell>
        </row>
        <row r="2306">
          <cell r="N2306">
            <v>15.979999999999999</v>
          </cell>
          <cell r="O2306">
            <v>0</v>
          </cell>
        </row>
        <row r="2307">
          <cell r="N2307">
            <v>7.9899999999999993</v>
          </cell>
          <cell r="O2307">
            <v>0</v>
          </cell>
        </row>
        <row r="2308">
          <cell r="N2308">
            <v>4.6376000000000008</v>
          </cell>
          <cell r="O2308">
            <v>0</v>
          </cell>
        </row>
        <row r="2309">
          <cell r="N2309">
            <v>15.979999999999999</v>
          </cell>
          <cell r="O2309">
            <v>0</v>
          </cell>
        </row>
        <row r="2310">
          <cell r="N2310">
            <v>4.5830400000000013</v>
          </cell>
          <cell r="O2310">
            <v>0</v>
          </cell>
        </row>
        <row r="2311">
          <cell r="N2311">
            <v>4.5830400000000013</v>
          </cell>
          <cell r="O2311">
            <v>0</v>
          </cell>
        </row>
        <row r="2312">
          <cell r="N2312">
            <v>7.8959999999999999</v>
          </cell>
          <cell r="O2312">
            <v>0</v>
          </cell>
        </row>
        <row r="2313">
          <cell r="N2313">
            <v>7.8959999999999999</v>
          </cell>
          <cell r="O2313">
            <v>0</v>
          </cell>
        </row>
        <row r="2314">
          <cell r="N2314">
            <v>4.5830400000000013</v>
          </cell>
          <cell r="O2314">
            <v>0</v>
          </cell>
        </row>
        <row r="2315">
          <cell r="N2315">
            <v>2.3829000000000002</v>
          </cell>
          <cell r="O2315">
            <v>0</v>
          </cell>
        </row>
        <row r="2316">
          <cell r="N2316">
            <v>58.560300000000005</v>
          </cell>
          <cell r="O2316">
            <v>0</v>
          </cell>
        </row>
        <row r="2317">
          <cell r="N2317">
            <v>20.246400000000001</v>
          </cell>
          <cell r="O2317">
            <v>0</v>
          </cell>
        </row>
        <row r="2318">
          <cell r="N2318">
            <v>19.654400000000003</v>
          </cell>
          <cell r="O2318">
            <v>0</v>
          </cell>
        </row>
        <row r="2319">
          <cell r="N2319">
            <v>0</v>
          </cell>
          <cell r="O2319">
            <v>0</v>
          </cell>
        </row>
        <row r="2320">
          <cell r="N2320">
            <v>73.160700000000006</v>
          </cell>
          <cell r="O2320">
            <v>0</v>
          </cell>
        </row>
        <row r="2321">
          <cell r="N2321">
            <v>12.4032</v>
          </cell>
          <cell r="O2321">
            <v>0</v>
          </cell>
        </row>
        <row r="2322">
          <cell r="N2322">
            <v>1.0478000000000001</v>
          </cell>
          <cell r="O2322">
            <v>0</v>
          </cell>
        </row>
        <row r="2323">
          <cell r="N2323">
            <v>0</v>
          </cell>
          <cell r="O2323">
            <v>0</v>
          </cell>
        </row>
        <row r="2324">
          <cell r="N2324">
            <v>0</v>
          </cell>
          <cell r="O2324">
            <v>0</v>
          </cell>
        </row>
        <row r="2325">
          <cell r="N2325">
            <v>2.7825600000000001</v>
          </cell>
          <cell r="O2325">
            <v>0</v>
          </cell>
        </row>
        <row r="2326">
          <cell r="N2326">
            <v>0</v>
          </cell>
          <cell r="O2326">
            <v>0</v>
          </cell>
        </row>
        <row r="2327">
          <cell r="N2327">
            <v>0.74060000000000004</v>
          </cell>
          <cell r="O2327">
            <v>0</v>
          </cell>
        </row>
        <row r="2328">
          <cell r="N2328">
            <v>0</v>
          </cell>
          <cell r="O2328">
            <v>0</v>
          </cell>
        </row>
        <row r="2329">
          <cell r="N2329">
            <v>19.494</v>
          </cell>
          <cell r="O2329">
            <v>27.837</v>
          </cell>
        </row>
        <row r="2330">
          <cell r="N2330">
            <v>4.3319999999999999</v>
          </cell>
          <cell r="O2330">
            <v>6.1859999999999999</v>
          </cell>
        </row>
        <row r="2331">
          <cell r="N2331">
            <v>4.3319999999999999</v>
          </cell>
          <cell r="O2331">
            <v>6.1859999999999999</v>
          </cell>
        </row>
        <row r="2332">
          <cell r="N2332">
            <v>4.3319999999999999</v>
          </cell>
          <cell r="O2332">
            <v>6.1859999999999999</v>
          </cell>
        </row>
        <row r="2333">
          <cell r="N2333">
            <v>4.3319999999999999</v>
          </cell>
          <cell r="O2333">
            <v>6.1859999999999999</v>
          </cell>
        </row>
        <row r="2334">
          <cell r="N2334">
            <v>19.494</v>
          </cell>
          <cell r="O2334">
            <v>27.837</v>
          </cell>
        </row>
        <row r="2335">
          <cell r="N2335">
            <v>4.3956000000000008</v>
          </cell>
          <cell r="O2335">
            <v>0</v>
          </cell>
        </row>
        <row r="2336">
          <cell r="N2336">
            <v>0</v>
          </cell>
          <cell r="O2336">
            <v>0</v>
          </cell>
        </row>
        <row r="2337">
          <cell r="N2337">
            <v>0</v>
          </cell>
          <cell r="O2337">
            <v>0</v>
          </cell>
        </row>
        <row r="2338">
          <cell r="N2338">
            <v>0</v>
          </cell>
          <cell r="O2338">
            <v>0</v>
          </cell>
        </row>
        <row r="2339">
          <cell r="N2339">
            <v>0</v>
          </cell>
          <cell r="O2339">
            <v>0</v>
          </cell>
        </row>
        <row r="2340">
          <cell r="N2340">
            <v>0</v>
          </cell>
          <cell r="O2340">
            <v>0</v>
          </cell>
        </row>
        <row r="2341">
          <cell r="N2341">
            <v>0</v>
          </cell>
          <cell r="O2341">
            <v>0</v>
          </cell>
        </row>
        <row r="2342">
          <cell r="N2342">
            <v>0</v>
          </cell>
          <cell r="O2342">
            <v>0</v>
          </cell>
        </row>
        <row r="2343">
          <cell r="N2343">
            <v>6.792720000000001</v>
          </cell>
          <cell r="O2343">
            <v>0</v>
          </cell>
        </row>
        <row r="2344">
          <cell r="N2344">
            <v>7.9899999999999993</v>
          </cell>
          <cell r="O2344">
            <v>0</v>
          </cell>
        </row>
        <row r="2345">
          <cell r="N2345">
            <v>4.664880000000001</v>
          </cell>
          <cell r="O2345">
            <v>0</v>
          </cell>
        </row>
        <row r="2346">
          <cell r="N2346">
            <v>12.494240000000001</v>
          </cell>
          <cell r="O2346">
            <v>0</v>
          </cell>
        </row>
        <row r="2347">
          <cell r="N2347">
            <v>9.9639999999999986</v>
          </cell>
          <cell r="O2347">
            <v>0</v>
          </cell>
        </row>
        <row r="2348">
          <cell r="N2348">
            <v>5.7833600000000009</v>
          </cell>
          <cell r="O2348">
            <v>0</v>
          </cell>
        </row>
        <row r="2349">
          <cell r="N2349">
            <v>9.9639999999999986</v>
          </cell>
          <cell r="O2349">
            <v>0</v>
          </cell>
        </row>
        <row r="2350">
          <cell r="N2350">
            <v>5.7833600000000009</v>
          </cell>
          <cell r="O2350">
            <v>0</v>
          </cell>
        </row>
        <row r="2351">
          <cell r="N2351">
            <v>9.9639999999999986</v>
          </cell>
          <cell r="O2351">
            <v>0</v>
          </cell>
        </row>
        <row r="2352">
          <cell r="N2352">
            <v>5.7833600000000009</v>
          </cell>
          <cell r="O2352">
            <v>0</v>
          </cell>
        </row>
        <row r="2353">
          <cell r="N2353">
            <v>9.9639999999999986</v>
          </cell>
          <cell r="O2353">
            <v>0</v>
          </cell>
        </row>
        <row r="2354">
          <cell r="N2354">
            <v>9.9639999999999986</v>
          </cell>
          <cell r="O2354">
            <v>0</v>
          </cell>
        </row>
        <row r="2355">
          <cell r="N2355">
            <v>9.9639999999999986</v>
          </cell>
          <cell r="O2355">
            <v>0</v>
          </cell>
        </row>
        <row r="2356">
          <cell r="N2356">
            <v>9.9639999999999986</v>
          </cell>
          <cell r="O2356">
            <v>0</v>
          </cell>
        </row>
        <row r="2357">
          <cell r="N2357">
            <v>9.9639999999999986</v>
          </cell>
          <cell r="O2357">
            <v>0</v>
          </cell>
        </row>
        <row r="2358">
          <cell r="N2358">
            <v>9.9639999999999986</v>
          </cell>
          <cell r="O2358">
            <v>0</v>
          </cell>
        </row>
        <row r="2359">
          <cell r="N2359">
            <v>9.9639999999999986</v>
          </cell>
          <cell r="O2359">
            <v>0</v>
          </cell>
        </row>
        <row r="2360">
          <cell r="N2360">
            <v>46.41360000000001</v>
          </cell>
          <cell r="O2360">
            <v>0</v>
          </cell>
        </row>
        <row r="2361">
          <cell r="N2361">
            <v>0</v>
          </cell>
          <cell r="O2361">
            <v>0</v>
          </cell>
        </row>
        <row r="2362">
          <cell r="N2362">
            <v>4.3319999999999999</v>
          </cell>
          <cell r="O2362">
            <v>6.1859999999999999</v>
          </cell>
        </row>
        <row r="2363">
          <cell r="N2363">
            <v>2.4863000000000004</v>
          </cell>
          <cell r="O2363">
            <v>0</v>
          </cell>
        </row>
        <row r="2364">
          <cell r="N2364">
            <v>13.224</v>
          </cell>
          <cell r="O2364">
            <v>0</v>
          </cell>
        </row>
        <row r="2365">
          <cell r="N2365">
            <v>16.167999999999999</v>
          </cell>
          <cell r="O2365">
            <v>0</v>
          </cell>
        </row>
        <row r="2366">
          <cell r="N2366">
            <v>4.5830400000000013</v>
          </cell>
          <cell r="O2366">
            <v>0</v>
          </cell>
        </row>
        <row r="2367">
          <cell r="N2367">
            <v>4.5830400000000013</v>
          </cell>
          <cell r="O2367">
            <v>0</v>
          </cell>
        </row>
        <row r="2368">
          <cell r="N2368">
            <v>4.5830400000000013</v>
          </cell>
          <cell r="O2368">
            <v>0</v>
          </cell>
        </row>
        <row r="2369">
          <cell r="N2369">
            <v>4.5830400000000013</v>
          </cell>
          <cell r="O2369">
            <v>0</v>
          </cell>
        </row>
        <row r="2370">
          <cell r="N2370">
            <v>4.5830400000000013</v>
          </cell>
          <cell r="O2370">
            <v>0</v>
          </cell>
        </row>
        <row r="2371">
          <cell r="N2371">
            <v>4.5830400000000013</v>
          </cell>
          <cell r="O2371">
            <v>0</v>
          </cell>
        </row>
        <row r="2372">
          <cell r="N2372">
            <v>4.5830400000000013</v>
          </cell>
          <cell r="O2372">
            <v>0</v>
          </cell>
        </row>
        <row r="2373">
          <cell r="N2373">
            <v>4.5830400000000013</v>
          </cell>
          <cell r="O2373">
            <v>0</v>
          </cell>
        </row>
        <row r="2374">
          <cell r="N2374">
            <v>4.5830400000000013</v>
          </cell>
          <cell r="O2374">
            <v>0</v>
          </cell>
        </row>
        <row r="2375">
          <cell r="N2375">
            <v>4.5557600000000003</v>
          </cell>
          <cell r="O2375">
            <v>0</v>
          </cell>
        </row>
        <row r="2376">
          <cell r="N2376">
            <v>4.5557600000000003</v>
          </cell>
          <cell r="O2376">
            <v>0</v>
          </cell>
        </row>
        <row r="2377">
          <cell r="N2377">
            <v>4.5830400000000013</v>
          </cell>
          <cell r="O2377">
            <v>0</v>
          </cell>
        </row>
        <row r="2378">
          <cell r="N2378">
            <v>4.5557600000000003</v>
          </cell>
          <cell r="O2378">
            <v>0</v>
          </cell>
        </row>
        <row r="2379">
          <cell r="N2379">
            <v>4.5557600000000003</v>
          </cell>
          <cell r="O2379">
            <v>0</v>
          </cell>
        </row>
        <row r="2380">
          <cell r="N2380">
            <v>4.8012800000000011</v>
          </cell>
          <cell r="O2380">
            <v>0</v>
          </cell>
        </row>
        <row r="2381">
          <cell r="N2381">
            <v>38.193800000000003</v>
          </cell>
          <cell r="O2381">
            <v>0</v>
          </cell>
        </row>
        <row r="2382">
          <cell r="N2382">
            <v>14.409600000000001</v>
          </cell>
          <cell r="O2382">
            <v>0</v>
          </cell>
        </row>
        <row r="2383">
          <cell r="N2383">
            <v>8.3582000000000001</v>
          </cell>
          <cell r="O2383">
            <v>0</v>
          </cell>
        </row>
        <row r="2384">
          <cell r="N2384">
            <v>2.9095</v>
          </cell>
          <cell r="O2384">
            <v>0</v>
          </cell>
        </row>
        <row r="2385">
          <cell r="N2385">
            <v>10.491200000000001</v>
          </cell>
          <cell r="O2385">
            <v>0</v>
          </cell>
        </row>
        <row r="2386">
          <cell r="N2386">
            <v>38.4054</v>
          </cell>
          <cell r="O2386">
            <v>0</v>
          </cell>
        </row>
        <row r="2387">
          <cell r="N2387">
            <v>13.132800000000001</v>
          </cell>
          <cell r="O2387">
            <v>0</v>
          </cell>
        </row>
        <row r="2388">
          <cell r="N2388">
            <v>4.2320000000000002</v>
          </cell>
          <cell r="O2388">
            <v>0</v>
          </cell>
        </row>
        <row r="2389">
          <cell r="N2389">
            <v>0</v>
          </cell>
          <cell r="O2389">
            <v>0</v>
          </cell>
        </row>
        <row r="2390">
          <cell r="N2390">
            <v>6.1364000000000001</v>
          </cell>
          <cell r="O2390">
            <v>0</v>
          </cell>
        </row>
        <row r="2391">
          <cell r="N2391">
            <v>19.291800000000002</v>
          </cell>
          <cell r="O2391">
            <v>0</v>
          </cell>
        </row>
        <row r="2392">
          <cell r="N2392">
            <v>10.491200000000001</v>
          </cell>
          <cell r="O2392">
            <v>0</v>
          </cell>
        </row>
        <row r="2393">
          <cell r="N2393">
            <v>1.3225</v>
          </cell>
          <cell r="O2393">
            <v>0</v>
          </cell>
        </row>
        <row r="2394">
          <cell r="N2394">
            <v>16.8948</v>
          </cell>
          <cell r="O2394">
            <v>24.125399999999999</v>
          </cell>
        </row>
        <row r="2395">
          <cell r="N2395">
            <v>0</v>
          </cell>
          <cell r="O2395">
            <v>0</v>
          </cell>
        </row>
        <row r="2396">
          <cell r="N2396">
            <v>0</v>
          </cell>
          <cell r="O2396">
            <v>0</v>
          </cell>
        </row>
        <row r="2397">
          <cell r="N2397">
            <v>0</v>
          </cell>
          <cell r="O2397">
            <v>0</v>
          </cell>
        </row>
        <row r="2398">
          <cell r="N2398">
            <v>4.3319999999999999</v>
          </cell>
          <cell r="O2398">
            <v>6.1859999999999999</v>
          </cell>
        </row>
        <row r="2399">
          <cell r="N2399">
            <v>4.3319999999999999</v>
          </cell>
          <cell r="O2399">
            <v>6.1859999999999999</v>
          </cell>
        </row>
        <row r="2400">
          <cell r="N2400">
            <v>4.3319999999999999</v>
          </cell>
          <cell r="O2400">
            <v>6.1859999999999999</v>
          </cell>
        </row>
        <row r="2401">
          <cell r="N2401">
            <v>4.3319999999999999</v>
          </cell>
          <cell r="O2401">
            <v>6.1859999999999999</v>
          </cell>
        </row>
        <row r="2402">
          <cell r="N2402">
            <v>16.461599999999997</v>
          </cell>
          <cell r="O2402">
            <v>23.506799999999998</v>
          </cell>
        </row>
        <row r="2403">
          <cell r="N2403">
            <v>0</v>
          </cell>
          <cell r="O2403">
            <v>0</v>
          </cell>
        </row>
        <row r="2404">
          <cell r="N2404">
            <v>0</v>
          </cell>
          <cell r="O2404">
            <v>0</v>
          </cell>
        </row>
        <row r="2405">
          <cell r="N2405">
            <v>0</v>
          </cell>
          <cell r="O2405">
            <v>0</v>
          </cell>
        </row>
        <row r="2406">
          <cell r="N2406">
            <v>0</v>
          </cell>
          <cell r="O2406">
            <v>0</v>
          </cell>
        </row>
        <row r="2407">
          <cell r="N2407">
            <v>0</v>
          </cell>
          <cell r="O2407">
            <v>0</v>
          </cell>
        </row>
        <row r="2408">
          <cell r="N2408">
            <v>0</v>
          </cell>
          <cell r="O2408">
            <v>0</v>
          </cell>
        </row>
        <row r="2409">
          <cell r="N2409">
            <v>0</v>
          </cell>
          <cell r="O2409">
            <v>0</v>
          </cell>
        </row>
        <row r="2410">
          <cell r="N2410">
            <v>0</v>
          </cell>
          <cell r="O2410">
            <v>0</v>
          </cell>
        </row>
        <row r="2411">
          <cell r="N2411">
            <v>0</v>
          </cell>
          <cell r="O2411">
            <v>0</v>
          </cell>
        </row>
        <row r="2412">
          <cell r="N2412">
            <v>0</v>
          </cell>
          <cell r="O2412">
            <v>0</v>
          </cell>
        </row>
        <row r="2413">
          <cell r="N2413">
            <v>0</v>
          </cell>
          <cell r="O2413">
            <v>0</v>
          </cell>
        </row>
        <row r="2414">
          <cell r="N2414">
            <v>0</v>
          </cell>
          <cell r="O2414">
            <v>0</v>
          </cell>
        </row>
        <row r="2415">
          <cell r="N2415">
            <v>0</v>
          </cell>
          <cell r="O2415">
            <v>0</v>
          </cell>
        </row>
        <row r="2416">
          <cell r="N2416">
            <v>0</v>
          </cell>
          <cell r="O2416">
            <v>0</v>
          </cell>
        </row>
        <row r="2417">
          <cell r="N2417">
            <v>0</v>
          </cell>
          <cell r="O2417">
            <v>0</v>
          </cell>
        </row>
        <row r="2418">
          <cell r="N2418">
            <v>0</v>
          </cell>
          <cell r="O2418">
            <v>0</v>
          </cell>
        </row>
        <row r="2419">
          <cell r="N2419">
            <v>0</v>
          </cell>
          <cell r="O2419">
            <v>0</v>
          </cell>
        </row>
        <row r="2420">
          <cell r="N2420">
            <v>0</v>
          </cell>
          <cell r="O2420">
            <v>0</v>
          </cell>
        </row>
        <row r="2421">
          <cell r="N2421">
            <v>13.018999999999998</v>
          </cell>
          <cell r="O2421">
            <v>0</v>
          </cell>
        </row>
        <row r="2422">
          <cell r="N2422">
            <v>12.596</v>
          </cell>
          <cell r="O2422">
            <v>0</v>
          </cell>
        </row>
        <row r="2423">
          <cell r="N2423">
            <v>15.750900000000001</v>
          </cell>
          <cell r="O2423">
            <v>0</v>
          </cell>
        </row>
        <row r="2424">
          <cell r="N2424">
            <v>12.69</v>
          </cell>
          <cell r="O2424">
            <v>0</v>
          </cell>
        </row>
        <row r="2425">
          <cell r="N2425">
            <v>5.3109999999999999</v>
          </cell>
          <cell r="O2425">
            <v>0</v>
          </cell>
        </row>
        <row r="2426">
          <cell r="N2426">
            <v>9.1368000000000009</v>
          </cell>
          <cell r="O2426">
            <v>0</v>
          </cell>
        </row>
        <row r="2427">
          <cell r="N2427">
            <v>103.31370000000001</v>
          </cell>
          <cell r="O2427">
            <v>0</v>
          </cell>
        </row>
        <row r="2428">
          <cell r="N2428">
            <v>161.66240000000002</v>
          </cell>
          <cell r="O2428">
            <v>0</v>
          </cell>
        </row>
        <row r="2429">
          <cell r="N2429">
            <v>0</v>
          </cell>
          <cell r="O2429">
            <v>0</v>
          </cell>
        </row>
        <row r="2430">
          <cell r="N2430">
            <v>13.5</v>
          </cell>
          <cell r="O2430">
            <v>0</v>
          </cell>
        </row>
        <row r="2431">
          <cell r="N2431">
            <v>16.45</v>
          </cell>
          <cell r="O2431">
            <v>0</v>
          </cell>
        </row>
        <row r="2432">
          <cell r="N2432">
            <v>19.972799999999999</v>
          </cell>
          <cell r="O2432">
            <v>0</v>
          </cell>
        </row>
        <row r="2433">
          <cell r="N2433">
            <v>13.667280000000002</v>
          </cell>
          <cell r="O2433">
            <v>0</v>
          </cell>
        </row>
        <row r="2434">
          <cell r="N2434">
            <v>11.403040000000001</v>
          </cell>
          <cell r="O2434">
            <v>0</v>
          </cell>
        </row>
        <row r="2435">
          <cell r="N2435">
            <v>8.2992000000000008</v>
          </cell>
          <cell r="O2435">
            <v>0</v>
          </cell>
        </row>
        <row r="2436">
          <cell r="N2436">
            <v>15.2881</v>
          </cell>
          <cell r="O2436">
            <v>0</v>
          </cell>
        </row>
        <row r="2437">
          <cell r="N2437">
            <v>23.276</v>
          </cell>
          <cell r="O2437">
            <v>0</v>
          </cell>
        </row>
        <row r="2438">
          <cell r="N2438">
            <v>18.885300000000001</v>
          </cell>
          <cell r="O2438">
            <v>0</v>
          </cell>
        </row>
        <row r="2439">
          <cell r="N2439">
            <v>24.334</v>
          </cell>
          <cell r="O2439">
            <v>0</v>
          </cell>
        </row>
        <row r="2440">
          <cell r="N2440">
            <v>11.9472</v>
          </cell>
          <cell r="O2440">
            <v>0</v>
          </cell>
        </row>
        <row r="2441">
          <cell r="N2441">
            <v>7.6705000000000005</v>
          </cell>
          <cell r="O2441">
            <v>0</v>
          </cell>
        </row>
        <row r="2442">
          <cell r="N2442">
            <v>0</v>
          </cell>
          <cell r="O2442">
            <v>0</v>
          </cell>
        </row>
        <row r="2443">
          <cell r="N2443">
            <v>50.678200000000004</v>
          </cell>
          <cell r="O2443">
            <v>0</v>
          </cell>
        </row>
        <row r="2444">
          <cell r="N2444">
            <v>19.972799999999999</v>
          </cell>
          <cell r="O2444">
            <v>0</v>
          </cell>
        </row>
        <row r="2445">
          <cell r="N2445">
            <v>0</v>
          </cell>
          <cell r="O2445">
            <v>0</v>
          </cell>
        </row>
        <row r="2446">
          <cell r="N2446">
            <v>24.968800000000002</v>
          </cell>
          <cell r="O2446">
            <v>0</v>
          </cell>
        </row>
        <row r="2447">
          <cell r="N2447">
            <v>19.699200000000001</v>
          </cell>
          <cell r="O2447">
            <v>0</v>
          </cell>
        </row>
        <row r="2448">
          <cell r="N2448">
            <v>92.575000000000003</v>
          </cell>
          <cell r="O2448">
            <v>0</v>
          </cell>
        </row>
        <row r="2449">
          <cell r="N2449">
            <v>0</v>
          </cell>
          <cell r="O2449">
            <v>0</v>
          </cell>
        </row>
        <row r="2450">
          <cell r="N2450">
            <v>24.968800000000002</v>
          </cell>
          <cell r="O2450">
            <v>0</v>
          </cell>
        </row>
        <row r="2451">
          <cell r="N2451">
            <v>19.699200000000001</v>
          </cell>
          <cell r="O2451">
            <v>0</v>
          </cell>
        </row>
        <row r="2452">
          <cell r="N2452">
            <v>0</v>
          </cell>
          <cell r="O2452">
            <v>0</v>
          </cell>
        </row>
        <row r="2453">
          <cell r="N2453">
            <v>24.968800000000002</v>
          </cell>
          <cell r="O2453">
            <v>0</v>
          </cell>
        </row>
        <row r="2454">
          <cell r="N2454">
            <v>19.699200000000001</v>
          </cell>
          <cell r="O2454">
            <v>0</v>
          </cell>
        </row>
        <row r="2455">
          <cell r="N2455">
            <v>9.5657999999999994</v>
          </cell>
          <cell r="O2455">
            <v>0</v>
          </cell>
        </row>
        <row r="2456">
          <cell r="N2456">
            <v>8.2523999999999997</v>
          </cell>
          <cell r="O2456">
            <v>0</v>
          </cell>
        </row>
        <row r="2457">
          <cell r="N2457">
            <v>9.0972000000000008</v>
          </cell>
          <cell r="O2457">
            <v>0</v>
          </cell>
        </row>
        <row r="2458">
          <cell r="N2458">
            <v>19.0608</v>
          </cell>
          <cell r="O2458">
            <v>0</v>
          </cell>
        </row>
        <row r="2459">
          <cell r="N2459">
            <v>9.0972000000000008</v>
          </cell>
          <cell r="O2459">
            <v>0</v>
          </cell>
        </row>
        <row r="2460">
          <cell r="N2460">
            <v>1.9435000000000002</v>
          </cell>
          <cell r="O2460">
            <v>0</v>
          </cell>
        </row>
        <row r="2461">
          <cell r="N2461">
            <v>4.7081000000000008</v>
          </cell>
          <cell r="O2461">
            <v>0</v>
          </cell>
        </row>
        <row r="2462">
          <cell r="N2462">
            <v>0</v>
          </cell>
          <cell r="O2462">
            <v>0</v>
          </cell>
        </row>
        <row r="2463">
          <cell r="N2463">
            <v>0</v>
          </cell>
          <cell r="O2463">
            <v>0</v>
          </cell>
        </row>
        <row r="2464">
          <cell r="N2464">
            <v>5.7661000000000007</v>
          </cell>
          <cell r="O2464">
            <v>0</v>
          </cell>
        </row>
        <row r="2465">
          <cell r="N2465">
            <v>0</v>
          </cell>
          <cell r="O2465">
            <v>0</v>
          </cell>
        </row>
        <row r="2466">
          <cell r="N2466">
            <v>31.1904</v>
          </cell>
          <cell r="O2466">
            <v>0</v>
          </cell>
        </row>
        <row r="2467">
          <cell r="N2467">
            <v>6.9312000000000005</v>
          </cell>
          <cell r="O2467">
            <v>0</v>
          </cell>
        </row>
        <row r="2468">
          <cell r="N2468">
            <v>6.0647999999999991</v>
          </cell>
          <cell r="O2468">
            <v>0</v>
          </cell>
        </row>
        <row r="2469">
          <cell r="N2469">
            <v>6.9312000000000005</v>
          </cell>
          <cell r="O2469">
            <v>0</v>
          </cell>
        </row>
        <row r="2470">
          <cell r="N2470">
            <v>6.4979999999999993</v>
          </cell>
          <cell r="O2470">
            <v>0</v>
          </cell>
        </row>
        <row r="2471">
          <cell r="N2471">
            <v>0</v>
          </cell>
          <cell r="O2471">
            <v>0</v>
          </cell>
        </row>
        <row r="2472">
          <cell r="N2472">
            <v>1.7238</v>
          </cell>
          <cell r="O2472">
            <v>0</v>
          </cell>
        </row>
        <row r="2473">
          <cell r="N2473">
            <v>9.4116</v>
          </cell>
          <cell r="O2473">
            <v>0</v>
          </cell>
        </row>
        <row r="2474">
          <cell r="N2474">
            <v>7.9350000000000005</v>
          </cell>
          <cell r="O2474">
            <v>0</v>
          </cell>
        </row>
        <row r="2475">
          <cell r="N2475">
            <v>13.912700000000001</v>
          </cell>
          <cell r="O2475">
            <v>0</v>
          </cell>
        </row>
        <row r="2476">
          <cell r="N2476">
            <v>41.165520000000001</v>
          </cell>
          <cell r="O2476">
            <v>0</v>
          </cell>
        </row>
        <row r="2477">
          <cell r="N2477">
            <v>0</v>
          </cell>
          <cell r="O2477">
            <v>0</v>
          </cell>
        </row>
        <row r="2478">
          <cell r="N2478">
            <v>0</v>
          </cell>
          <cell r="O2478">
            <v>0</v>
          </cell>
        </row>
        <row r="2479">
          <cell r="N2479">
            <v>0</v>
          </cell>
          <cell r="O2479">
            <v>0</v>
          </cell>
        </row>
        <row r="2480">
          <cell r="N2480">
            <v>0</v>
          </cell>
          <cell r="O2480">
            <v>0</v>
          </cell>
        </row>
        <row r="2481">
          <cell r="N2481">
            <v>0</v>
          </cell>
          <cell r="O2481">
            <v>0</v>
          </cell>
        </row>
        <row r="2482">
          <cell r="N2482">
            <v>12.5373</v>
          </cell>
          <cell r="O2482">
            <v>0</v>
          </cell>
        </row>
        <row r="2483">
          <cell r="N2483">
            <v>0</v>
          </cell>
          <cell r="O2483">
            <v>0</v>
          </cell>
        </row>
        <row r="2484">
          <cell r="N2484">
            <v>1.6928000000000001</v>
          </cell>
          <cell r="O2484">
            <v>0</v>
          </cell>
        </row>
        <row r="2485">
          <cell r="N2485">
            <v>2.9624000000000001</v>
          </cell>
          <cell r="O2485">
            <v>0</v>
          </cell>
        </row>
        <row r="2486">
          <cell r="N2486">
            <v>10.557360000000001</v>
          </cell>
          <cell r="O2486">
            <v>0</v>
          </cell>
        </row>
        <row r="2487">
          <cell r="N2487">
            <v>3.5191200000000005</v>
          </cell>
          <cell r="O2487">
            <v>0</v>
          </cell>
        </row>
        <row r="2488">
          <cell r="N2488">
            <v>3.9634</v>
          </cell>
          <cell r="O2488">
            <v>0</v>
          </cell>
        </row>
        <row r="2489">
          <cell r="N2489">
            <v>0</v>
          </cell>
          <cell r="O2489">
            <v>0</v>
          </cell>
        </row>
        <row r="2490">
          <cell r="N2490">
            <v>5.9743199999999996</v>
          </cell>
          <cell r="O2490">
            <v>0</v>
          </cell>
        </row>
        <row r="2491">
          <cell r="N2491">
            <v>10.4213</v>
          </cell>
          <cell r="O2491">
            <v>0</v>
          </cell>
        </row>
        <row r="2492">
          <cell r="N2492">
            <v>2.8453040000000005</v>
          </cell>
          <cell r="O2492">
            <v>0</v>
          </cell>
        </row>
        <row r="2493">
          <cell r="N2493">
            <v>2.8453040000000005</v>
          </cell>
          <cell r="O2493">
            <v>0</v>
          </cell>
        </row>
        <row r="2494">
          <cell r="N2494">
            <v>30.3949</v>
          </cell>
          <cell r="O2494">
            <v>0</v>
          </cell>
        </row>
        <row r="2495">
          <cell r="N2495">
            <v>29.210499999999996</v>
          </cell>
          <cell r="O2495">
            <v>0</v>
          </cell>
        </row>
        <row r="2496">
          <cell r="N2496">
            <v>29.572399999999998</v>
          </cell>
          <cell r="O2496">
            <v>0</v>
          </cell>
        </row>
        <row r="2497">
          <cell r="N2497">
            <v>26.808799999999998</v>
          </cell>
          <cell r="O2497">
            <v>0</v>
          </cell>
        </row>
        <row r="2498">
          <cell r="N2498">
            <v>30.874299999999998</v>
          </cell>
          <cell r="O2498">
            <v>0</v>
          </cell>
        </row>
        <row r="2499">
          <cell r="N2499">
            <v>11.173888000000002</v>
          </cell>
          <cell r="O2499">
            <v>0</v>
          </cell>
        </row>
        <row r="2500">
          <cell r="N2500">
            <v>5.4996480000000005</v>
          </cell>
          <cell r="O2500">
            <v>0</v>
          </cell>
        </row>
        <row r="2501">
          <cell r="N2501">
            <v>10.86566</v>
          </cell>
          <cell r="O2501">
            <v>0</v>
          </cell>
        </row>
        <row r="2502">
          <cell r="N2502">
            <v>10.802180000000002</v>
          </cell>
          <cell r="O2502">
            <v>0</v>
          </cell>
        </row>
        <row r="2503">
          <cell r="N2503">
            <v>6.00732</v>
          </cell>
          <cell r="O2503">
            <v>0</v>
          </cell>
        </row>
        <row r="2504">
          <cell r="N2504">
            <v>1.5243800000000001</v>
          </cell>
          <cell r="O2504">
            <v>0</v>
          </cell>
        </row>
        <row r="2505">
          <cell r="N2505">
            <v>3.7100800000000005</v>
          </cell>
          <cell r="O2505">
            <v>0</v>
          </cell>
        </row>
        <row r="2506">
          <cell r="N2506">
            <v>30.662799999999997</v>
          </cell>
          <cell r="O2506">
            <v>0</v>
          </cell>
        </row>
        <row r="2507">
          <cell r="N2507">
            <v>5.0631680000000001</v>
          </cell>
          <cell r="O2507">
            <v>0</v>
          </cell>
        </row>
        <row r="2508">
          <cell r="N2508">
            <v>12.323840000000001</v>
          </cell>
          <cell r="O2508">
            <v>0</v>
          </cell>
        </row>
        <row r="2509">
          <cell r="N2509">
            <v>0</v>
          </cell>
          <cell r="O2509">
            <v>0</v>
          </cell>
        </row>
        <row r="2510">
          <cell r="N2510">
            <v>6.3480000000000008</v>
          </cell>
          <cell r="O2510">
            <v>0</v>
          </cell>
        </row>
        <row r="2511">
          <cell r="N2511">
            <v>0</v>
          </cell>
          <cell r="O2511">
            <v>0</v>
          </cell>
        </row>
        <row r="2512">
          <cell r="N2512">
            <v>0</v>
          </cell>
          <cell r="O2512">
            <v>0</v>
          </cell>
        </row>
        <row r="2513">
          <cell r="N2513">
            <v>0</v>
          </cell>
          <cell r="O2513">
            <v>0</v>
          </cell>
        </row>
        <row r="2514">
          <cell r="N2514">
            <v>0</v>
          </cell>
          <cell r="O2514">
            <v>0</v>
          </cell>
        </row>
        <row r="2515">
          <cell r="N2515">
            <v>0</v>
          </cell>
          <cell r="O2515">
            <v>0</v>
          </cell>
        </row>
        <row r="2516">
          <cell r="N2516">
            <v>0</v>
          </cell>
          <cell r="O2516">
            <v>0</v>
          </cell>
        </row>
        <row r="2517">
          <cell r="N2517">
            <v>0</v>
          </cell>
          <cell r="O2517">
            <v>0</v>
          </cell>
        </row>
        <row r="2518">
          <cell r="N2518">
            <v>0</v>
          </cell>
          <cell r="O2518">
            <v>0</v>
          </cell>
        </row>
        <row r="2519">
          <cell r="N2519">
            <v>0</v>
          </cell>
          <cell r="O2519">
            <v>0</v>
          </cell>
        </row>
        <row r="2520">
          <cell r="N2520">
            <v>17.248999999999999</v>
          </cell>
          <cell r="O2520">
            <v>0</v>
          </cell>
        </row>
        <row r="2521">
          <cell r="N2521">
            <v>4.3375200000000005</v>
          </cell>
          <cell r="O2521">
            <v>0</v>
          </cell>
        </row>
        <row r="2522">
          <cell r="N2522">
            <v>13.312640000000002</v>
          </cell>
          <cell r="O2522">
            <v>0</v>
          </cell>
        </row>
        <row r="2523">
          <cell r="N2523">
            <v>2.8054000000000006</v>
          </cell>
          <cell r="O2523">
            <v>0</v>
          </cell>
        </row>
        <row r="2524">
          <cell r="N2524">
            <v>1.7914000000000001</v>
          </cell>
          <cell r="O2524">
            <v>0</v>
          </cell>
        </row>
        <row r="2525">
          <cell r="N2525">
            <v>0</v>
          </cell>
          <cell r="O2525">
            <v>0</v>
          </cell>
        </row>
        <row r="2526">
          <cell r="N2526">
            <v>0</v>
          </cell>
          <cell r="O2526">
            <v>0</v>
          </cell>
        </row>
        <row r="2527">
          <cell r="N2527">
            <v>0</v>
          </cell>
          <cell r="O2527">
            <v>0</v>
          </cell>
        </row>
        <row r="2528">
          <cell r="N2528">
            <v>1.4310000000000003</v>
          </cell>
          <cell r="O2528">
            <v>0</v>
          </cell>
        </row>
        <row r="2529">
          <cell r="N2529">
            <v>3.1211000000000002</v>
          </cell>
          <cell r="O2529">
            <v>0</v>
          </cell>
        </row>
        <row r="2530">
          <cell r="N2530">
            <v>37.255199999999995</v>
          </cell>
          <cell r="O2530">
            <v>0</v>
          </cell>
        </row>
        <row r="2531">
          <cell r="N2531">
            <v>6.9312000000000005</v>
          </cell>
          <cell r="O2531">
            <v>0</v>
          </cell>
        </row>
        <row r="2532">
          <cell r="N2532">
            <v>6.9312000000000005</v>
          </cell>
          <cell r="O2532">
            <v>0</v>
          </cell>
        </row>
        <row r="2533">
          <cell r="N2533">
            <v>6.9312000000000005</v>
          </cell>
          <cell r="O2533">
            <v>0</v>
          </cell>
        </row>
        <row r="2534">
          <cell r="N2534">
            <v>6.9312000000000005</v>
          </cell>
          <cell r="O2534">
            <v>0</v>
          </cell>
        </row>
        <row r="2535">
          <cell r="N2535">
            <v>4.6921600000000003</v>
          </cell>
          <cell r="O2535">
            <v>0</v>
          </cell>
        </row>
        <row r="2536">
          <cell r="N2536">
            <v>23.733600000000003</v>
          </cell>
          <cell r="O2536">
            <v>0</v>
          </cell>
        </row>
        <row r="2537">
          <cell r="N2537">
            <v>0.42250000000000004</v>
          </cell>
          <cell r="O2537">
            <v>0</v>
          </cell>
        </row>
        <row r="2538">
          <cell r="N2538">
            <v>0.40560000000000002</v>
          </cell>
          <cell r="O2538">
            <v>0</v>
          </cell>
        </row>
        <row r="2539">
          <cell r="N2539">
            <v>3.5443000000000002</v>
          </cell>
          <cell r="O2539">
            <v>0</v>
          </cell>
        </row>
        <row r="2540">
          <cell r="N2540">
            <v>4.3710000000000004</v>
          </cell>
          <cell r="O2540">
            <v>0</v>
          </cell>
        </row>
        <row r="2541">
          <cell r="N2541">
            <v>2.8916800000000005</v>
          </cell>
          <cell r="O2541">
            <v>0</v>
          </cell>
        </row>
        <row r="2542">
          <cell r="N2542">
            <v>2.8098400000000008</v>
          </cell>
          <cell r="O2542">
            <v>0</v>
          </cell>
        </row>
        <row r="2543">
          <cell r="N2543">
            <v>3.1644800000000002</v>
          </cell>
          <cell r="O2543">
            <v>0</v>
          </cell>
        </row>
        <row r="2544">
          <cell r="N2544">
            <v>3.8737600000000003</v>
          </cell>
          <cell r="O2544">
            <v>0</v>
          </cell>
        </row>
        <row r="2545">
          <cell r="N2545">
            <v>8.1466000000000012</v>
          </cell>
          <cell r="O2545">
            <v>0</v>
          </cell>
        </row>
        <row r="2546">
          <cell r="N2546">
            <v>5.4832800000000015</v>
          </cell>
          <cell r="O2546">
            <v>0</v>
          </cell>
        </row>
        <row r="2547">
          <cell r="N2547">
            <v>24.580999999999996</v>
          </cell>
          <cell r="O2547">
            <v>0</v>
          </cell>
        </row>
        <row r="2548">
          <cell r="N2548">
            <v>8.3203999999999994</v>
          </cell>
          <cell r="O2548">
            <v>0</v>
          </cell>
        </row>
        <row r="2549">
          <cell r="N2549">
            <v>16.825999999999997</v>
          </cell>
          <cell r="O2549">
            <v>0</v>
          </cell>
        </row>
        <row r="2550">
          <cell r="N2550">
            <v>2.0449000000000002</v>
          </cell>
          <cell r="O2550">
            <v>0</v>
          </cell>
        </row>
        <row r="2551">
          <cell r="N2551">
            <v>2.5370400000000006</v>
          </cell>
          <cell r="O2551">
            <v>0</v>
          </cell>
        </row>
        <row r="2552">
          <cell r="N2552">
            <v>4.2320000000000002</v>
          </cell>
          <cell r="O2552">
            <v>0</v>
          </cell>
        </row>
        <row r="2553">
          <cell r="N2553">
            <v>63.6387</v>
          </cell>
          <cell r="O2553">
            <v>0</v>
          </cell>
        </row>
        <row r="2554">
          <cell r="N2554">
            <v>47</v>
          </cell>
          <cell r="O2554">
            <v>0</v>
          </cell>
        </row>
        <row r="2555">
          <cell r="N2555">
            <v>5.64</v>
          </cell>
          <cell r="O2555">
            <v>0</v>
          </cell>
        </row>
        <row r="2556">
          <cell r="N2556">
            <v>3.0826400000000005</v>
          </cell>
          <cell r="O2556">
            <v>0</v>
          </cell>
        </row>
        <row r="2557">
          <cell r="N2557">
            <v>2.9189600000000002</v>
          </cell>
          <cell r="O2557">
            <v>0</v>
          </cell>
        </row>
        <row r="2558">
          <cell r="N2558">
            <v>2.8644000000000003</v>
          </cell>
          <cell r="O2558">
            <v>0</v>
          </cell>
        </row>
        <row r="2559">
          <cell r="N2559">
            <v>2.9735200000000006</v>
          </cell>
          <cell r="O2559">
            <v>0</v>
          </cell>
        </row>
        <row r="2560">
          <cell r="N2560">
            <v>8.0586000000000002</v>
          </cell>
          <cell r="O2560">
            <v>0</v>
          </cell>
        </row>
        <row r="2561">
          <cell r="N2561">
            <v>20.916</v>
          </cell>
          <cell r="O2561">
            <v>0</v>
          </cell>
        </row>
        <row r="2562">
          <cell r="N2562">
            <v>39.886600000000008</v>
          </cell>
          <cell r="O2562">
            <v>0</v>
          </cell>
        </row>
        <row r="2563">
          <cell r="N2563">
            <v>25.943999999999999</v>
          </cell>
          <cell r="O2563">
            <v>0</v>
          </cell>
        </row>
        <row r="2564">
          <cell r="N2564">
            <v>1.8759000000000001</v>
          </cell>
          <cell r="O2564">
            <v>0</v>
          </cell>
        </row>
        <row r="2565">
          <cell r="N2565">
            <v>6.8882000000000003</v>
          </cell>
          <cell r="O2565">
            <v>0</v>
          </cell>
        </row>
        <row r="2566">
          <cell r="N2566">
            <v>3.8064</v>
          </cell>
          <cell r="O2566">
            <v>0</v>
          </cell>
        </row>
        <row r="2567">
          <cell r="N2567">
            <v>17.9331</v>
          </cell>
          <cell r="O2567">
            <v>0</v>
          </cell>
        </row>
        <row r="2568">
          <cell r="N2568">
            <v>2.1160000000000001</v>
          </cell>
          <cell r="O2568">
            <v>0</v>
          </cell>
        </row>
        <row r="2569">
          <cell r="N2569">
            <v>0</v>
          </cell>
          <cell r="O2569">
            <v>0</v>
          </cell>
        </row>
        <row r="2570">
          <cell r="N2570">
            <v>0</v>
          </cell>
          <cell r="O2570">
            <v>0</v>
          </cell>
        </row>
        <row r="2571">
          <cell r="N2571">
            <v>9.5304000000000002</v>
          </cell>
          <cell r="O2571">
            <v>0</v>
          </cell>
        </row>
        <row r="2572">
          <cell r="N2572">
            <v>9.5304000000000002</v>
          </cell>
          <cell r="O2572">
            <v>0</v>
          </cell>
        </row>
        <row r="2573">
          <cell r="N2573">
            <v>1.272</v>
          </cell>
          <cell r="O2573">
            <v>0</v>
          </cell>
        </row>
        <row r="2574">
          <cell r="N2574">
            <v>0</v>
          </cell>
          <cell r="O2574">
            <v>0</v>
          </cell>
        </row>
        <row r="2575">
          <cell r="N2575">
            <v>21.3187</v>
          </cell>
          <cell r="O2575">
            <v>0</v>
          </cell>
        </row>
        <row r="2576">
          <cell r="N2576">
            <v>5.6315999999999997</v>
          </cell>
          <cell r="O2576">
            <v>0</v>
          </cell>
        </row>
        <row r="2577">
          <cell r="N2577">
            <v>5.6315999999999997</v>
          </cell>
          <cell r="O2577">
            <v>0</v>
          </cell>
        </row>
        <row r="2578">
          <cell r="N2578">
            <v>26.238400000000002</v>
          </cell>
          <cell r="O2578">
            <v>0</v>
          </cell>
        </row>
        <row r="2579">
          <cell r="N2579">
            <v>3.9828800000000006</v>
          </cell>
          <cell r="O2579">
            <v>0</v>
          </cell>
        </row>
        <row r="2580">
          <cell r="N2580">
            <v>4.6103200000000006</v>
          </cell>
          <cell r="O2580">
            <v>0</v>
          </cell>
        </row>
        <row r="2581">
          <cell r="N2581">
            <v>9.0304000000000002</v>
          </cell>
          <cell r="O2581">
            <v>0</v>
          </cell>
        </row>
        <row r="2582">
          <cell r="N2582">
            <v>9.6943999999999999</v>
          </cell>
          <cell r="O2582">
            <v>0</v>
          </cell>
        </row>
        <row r="2583">
          <cell r="N2583">
            <v>11.2216</v>
          </cell>
          <cell r="O2583">
            <v>0</v>
          </cell>
        </row>
        <row r="2584">
          <cell r="N2584">
            <v>4.8879999999999999</v>
          </cell>
          <cell r="O2584">
            <v>0</v>
          </cell>
        </row>
        <row r="2585">
          <cell r="N2585">
            <v>7.2379999999999995</v>
          </cell>
          <cell r="O2585">
            <v>0</v>
          </cell>
        </row>
        <row r="2586">
          <cell r="N2586">
            <v>3.1099200000000007</v>
          </cell>
          <cell r="O2586">
            <v>0</v>
          </cell>
        </row>
        <row r="2587">
          <cell r="N2587">
            <v>3.5191200000000005</v>
          </cell>
          <cell r="O2587">
            <v>0</v>
          </cell>
        </row>
        <row r="2588">
          <cell r="N2588">
            <v>3.4918400000000007</v>
          </cell>
          <cell r="O2588">
            <v>0</v>
          </cell>
        </row>
        <row r="2589">
          <cell r="N2589">
            <v>2.1970000000000001</v>
          </cell>
          <cell r="O2589">
            <v>0</v>
          </cell>
        </row>
        <row r="2590">
          <cell r="N2590">
            <v>2.0449000000000002</v>
          </cell>
          <cell r="O2590">
            <v>0</v>
          </cell>
        </row>
        <row r="2591">
          <cell r="N2591">
            <v>0</v>
          </cell>
          <cell r="O2591">
            <v>0</v>
          </cell>
        </row>
        <row r="2592">
          <cell r="N2592">
            <v>0</v>
          </cell>
          <cell r="O2592">
            <v>0</v>
          </cell>
        </row>
        <row r="2593">
          <cell r="N2593">
            <v>0.50700000000000001</v>
          </cell>
          <cell r="O2593">
            <v>0</v>
          </cell>
        </row>
        <row r="2594">
          <cell r="N2594">
            <v>0</v>
          </cell>
          <cell r="O2594">
            <v>0</v>
          </cell>
        </row>
        <row r="2595">
          <cell r="N2595">
            <v>4.7652000000000001</v>
          </cell>
          <cell r="O2595">
            <v>0</v>
          </cell>
        </row>
        <row r="2596">
          <cell r="N2596">
            <v>4.7652000000000001</v>
          </cell>
          <cell r="O2596">
            <v>0</v>
          </cell>
        </row>
        <row r="2597">
          <cell r="N2597">
            <v>4.7652000000000001</v>
          </cell>
          <cell r="O2597">
            <v>0</v>
          </cell>
        </row>
        <row r="2598">
          <cell r="N2598">
            <v>4.7652000000000001</v>
          </cell>
          <cell r="O2598">
            <v>0</v>
          </cell>
        </row>
        <row r="2599">
          <cell r="N2599">
            <v>12.995999999999999</v>
          </cell>
          <cell r="O2599">
            <v>0</v>
          </cell>
        </row>
        <row r="2600">
          <cell r="N2600">
            <v>12.995999999999999</v>
          </cell>
          <cell r="O2600">
            <v>0</v>
          </cell>
        </row>
        <row r="2601">
          <cell r="N2601">
            <v>0</v>
          </cell>
          <cell r="O2601">
            <v>0</v>
          </cell>
        </row>
        <row r="2602">
          <cell r="N2602">
            <v>37.559000000000005</v>
          </cell>
          <cell r="O2602">
            <v>0</v>
          </cell>
        </row>
        <row r="2603">
          <cell r="N2603">
            <v>80.285039999999995</v>
          </cell>
          <cell r="O2603">
            <v>0</v>
          </cell>
        </row>
        <row r="2604">
          <cell r="N2604">
            <v>25.779600000000002</v>
          </cell>
          <cell r="O2604">
            <v>0</v>
          </cell>
        </row>
        <row r="2605">
          <cell r="N2605">
            <v>20.869199999999999</v>
          </cell>
          <cell r="O2605">
            <v>0</v>
          </cell>
        </row>
        <row r="2606">
          <cell r="N2606">
            <v>0</v>
          </cell>
          <cell r="O2606">
            <v>0</v>
          </cell>
        </row>
        <row r="2607">
          <cell r="N2607">
            <v>3.0280800000000001</v>
          </cell>
          <cell r="O2607">
            <v>0</v>
          </cell>
        </row>
        <row r="2608">
          <cell r="N2608">
            <v>7.8566400000000014</v>
          </cell>
          <cell r="O2608">
            <v>0</v>
          </cell>
        </row>
        <row r="2609">
          <cell r="N2609">
            <v>14.64936</v>
          </cell>
          <cell r="O2609">
            <v>0</v>
          </cell>
        </row>
        <row r="2610">
          <cell r="N2610">
            <v>6.8745600000000007</v>
          </cell>
          <cell r="O2610">
            <v>0</v>
          </cell>
        </row>
        <row r="2611">
          <cell r="N2611">
            <v>14.946</v>
          </cell>
          <cell r="O2611">
            <v>0</v>
          </cell>
        </row>
        <row r="2612">
          <cell r="N2612">
            <v>54.804400000000001</v>
          </cell>
          <cell r="O2612">
            <v>0</v>
          </cell>
        </row>
        <row r="2613">
          <cell r="N2613">
            <v>18.577680000000001</v>
          </cell>
          <cell r="O2613">
            <v>0</v>
          </cell>
        </row>
        <row r="2614">
          <cell r="N2614">
            <v>41.574719999999999</v>
          </cell>
          <cell r="O2614">
            <v>0</v>
          </cell>
        </row>
        <row r="2615">
          <cell r="N2615">
            <v>63.998880000000007</v>
          </cell>
          <cell r="O2615">
            <v>0</v>
          </cell>
        </row>
        <row r="2616">
          <cell r="N2616">
            <v>1.1638000000000002</v>
          </cell>
          <cell r="O2616">
            <v>0</v>
          </cell>
        </row>
        <row r="2617">
          <cell r="N2617">
            <v>10.402560000000001</v>
          </cell>
          <cell r="O2617">
            <v>0</v>
          </cell>
        </row>
        <row r="2618">
          <cell r="N2618">
            <v>14.894880000000001</v>
          </cell>
          <cell r="O2618">
            <v>0</v>
          </cell>
        </row>
        <row r="2619">
          <cell r="N2619">
            <v>5.40144</v>
          </cell>
          <cell r="O2619">
            <v>0</v>
          </cell>
        </row>
        <row r="2620">
          <cell r="N2620">
            <v>21.186199999999996</v>
          </cell>
          <cell r="O2620">
            <v>0</v>
          </cell>
        </row>
        <row r="2621">
          <cell r="N2621">
            <v>22.112199999999998</v>
          </cell>
          <cell r="O2621">
            <v>0</v>
          </cell>
        </row>
        <row r="2622">
          <cell r="N2622">
            <v>1.7986</v>
          </cell>
          <cell r="O2622">
            <v>0</v>
          </cell>
        </row>
        <row r="2623">
          <cell r="N2623">
            <v>2.0563199999999999</v>
          </cell>
          <cell r="O2623">
            <v>0</v>
          </cell>
        </row>
        <row r="2624">
          <cell r="N2624">
            <v>1.7986</v>
          </cell>
          <cell r="O2624">
            <v>0</v>
          </cell>
        </row>
        <row r="2625">
          <cell r="N2625">
            <v>0.27600000000000002</v>
          </cell>
          <cell r="O2625">
            <v>0</v>
          </cell>
        </row>
        <row r="2626">
          <cell r="N2626">
            <v>0</v>
          </cell>
          <cell r="O2626">
            <v>0</v>
          </cell>
        </row>
        <row r="2627">
          <cell r="N2627">
            <v>0.27600000000000002</v>
          </cell>
          <cell r="O2627">
            <v>0</v>
          </cell>
        </row>
        <row r="2628">
          <cell r="N2628">
            <v>0.13520000000000001</v>
          </cell>
          <cell r="O2628">
            <v>0</v>
          </cell>
        </row>
        <row r="2629">
          <cell r="N2629">
            <v>0.15210000000000001</v>
          </cell>
          <cell r="O2629">
            <v>0</v>
          </cell>
        </row>
        <row r="2630">
          <cell r="N2630">
            <v>3.5464000000000007</v>
          </cell>
          <cell r="O2630">
            <v>0</v>
          </cell>
        </row>
        <row r="2631">
          <cell r="N2631">
            <v>2.2982400000000003</v>
          </cell>
          <cell r="O2631">
            <v>0</v>
          </cell>
        </row>
        <row r="2632">
          <cell r="N2632">
            <v>2.7552800000000004</v>
          </cell>
          <cell r="O2632">
            <v>0</v>
          </cell>
        </row>
        <row r="2633">
          <cell r="N2633">
            <v>1.8277600000000003</v>
          </cell>
          <cell r="O2633">
            <v>0</v>
          </cell>
        </row>
        <row r="2634">
          <cell r="N2634">
            <v>2.8644000000000003</v>
          </cell>
          <cell r="O2634">
            <v>0</v>
          </cell>
        </row>
        <row r="2635">
          <cell r="N2635">
            <v>3.5191200000000005</v>
          </cell>
          <cell r="O2635">
            <v>0</v>
          </cell>
        </row>
        <row r="2636">
          <cell r="N2636">
            <v>5.4835199999999995</v>
          </cell>
          <cell r="O2636">
            <v>0</v>
          </cell>
        </row>
        <row r="2637">
          <cell r="N2637">
            <v>5.4835199999999995</v>
          </cell>
          <cell r="O2637">
            <v>0</v>
          </cell>
        </row>
        <row r="2638">
          <cell r="N2638">
            <v>6.0076800000000006</v>
          </cell>
          <cell r="O2638">
            <v>0</v>
          </cell>
        </row>
        <row r="2639">
          <cell r="N2639">
            <v>6.0076800000000006</v>
          </cell>
          <cell r="O2639">
            <v>0</v>
          </cell>
        </row>
        <row r="2640">
          <cell r="N2640">
            <v>10.151999999999999</v>
          </cell>
          <cell r="O2640">
            <v>0</v>
          </cell>
        </row>
        <row r="2641">
          <cell r="N2641">
            <v>0</v>
          </cell>
          <cell r="O2641">
            <v>0</v>
          </cell>
        </row>
        <row r="2642">
          <cell r="N2642">
            <v>0</v>
          </cell>
          <cell r="O2642">
            <v>0</v>
          </cell>
        </row>
        <row r="2643">
          <cell r="N2643">
            <v>1.59</v>
          </cell>
          <cell r="O2643">
            <v>0</v>
          </cell>
        </row>
        <row r="2644">
          <cell r="N2644">
            <v>4.3319999999999999</v>
          </cell>
          <cell r="O2644">
            <v>0</v>
          </cell>
        </row>
        <row r="2645">
          <cell r="N2645">
            <v>4.3319999999999999</v>
          </cell>
          <cell r="O2645">
            <v>0</v>
          </cell>
        </row>
        <row r="2646">
          <cell r="N2646">
            <v>30.757199999999997</v>
          </cell>
          <cell r="O2646">
            <v>0</v>
          </cell>
        </row>
        <row r="2647">
          <cell r="N2647">
            <v>4.3319999999999999</v>
          </cell>
          <cell r="O2647">
            <v>0</v>
          </cell>
        </row>
        <row r="2648">
          <cell r="N2648">
            <v>4.3319999999999999</v>
          </cell>
          <cell r="O2648">
            <v>0</v>
          </cell>
        </row>
        <row r="2649">
          <cell r="N2649">
            <v>16.028400000000001</v>
          </cell>
          <cell r="O2649">
            <v>0</v>
          </cell>
        </row>
        <row r="2650">
          <cell r="N2650">
            <v>15.5952</v>
          </cell>
          <cell r="O2650">
            <v>0</v>
          </cell>
        </row>
        <row r="2651">
          <cell r="N2651">
            <v>0</v>
          </cell>
          <cell r="O2651">
            <v>0</v>
          </cell>
        </row>
        <row r="2652">
          <cell r="N2652">
            <v>34.014699999999998</v>
          </cell>
          <cell r="O2652">
            <v>0</v>
          </cell>
        </row>
        <row r="2653">
          <cell r="N2653">
            <v>3.0826400000000005</v>
          </cell>
          <cell r="O2653">
            <v>0</v>
          </cell>
        </row>
        <row r="2654">
          <cell r="N2654">
            <v>3.4372800000000003</v>
          </cell>
          <cell r="O2654">
            <v>0</v>
          </cell>
        </row>
        <row r="2655">
          <cell r="N2655">
            <v>2.9735200000000006</v>
          </cell>
          <cell r="O2655">
            <v>0</v>
          </cell>
        </row>
        <row r="2656">
          <cell r="N2656">
            <v>4.14656</v>
          </cell>
          <cell r="O2656">
            <v>0</v>
          </cell>
        </row>
        <row r="2657">
          <cell r="N2657">
            <v>8.4599999999999991</v>
          </cell>
          <cell r="O2657">
            <v>0</v>
          </cell>
        </row>
        <row r="2658">
          <cell r="N2658">
            <v>3.1644800000000002</v>
          </cell>
          <cell r="O2658">
            <v>0</v>
          </cell>
        </row>
        <row r="2659">
          <cell r="N2659">
            <v>3.8464800000000006</v>
          </cell>
          <cell r="O2659">
            <v>0</v>
          </cell>
        </row>
        <row r="2660">
          <cell r="N2660">
            <v>3.1099200000000007</v>
          </cell>
          <cell r="O2660">
            <v>0</v>
          </cell>
        </row>
        <row r="2661">
          <cell r="N2661">
            <v>3.5191200000000005</v>
          </cell>
          <cell r="O2661">
            <v>0</v>
          </cell>
        </row>
        <row r="2662">
          <cell r="N2662">
            <v>3.5191200000000005</v>
          </cell>
          <cell r="O2662">
            <v>0</v>
          </cell>
        </row>
        <row r="2663">
          <cell r="N2663">
            <v>4.3319999999999999</v>
          </cell>
          <cell r="O2663">
            <v>0</v>
          </cell>
        </row>
        <row r="2664">
          <cell r="N2664">
            <v>4.3319999999999999</v>
          </cell>
          <cell r="O2664">
            <v>0</v>
          </cell>
        </row>
        <row r="2665">
          <cell r="N2665">
            <v>13.4292</v>
          </cell>
          <cell r="O2665">
            <v>0</v>
          </cell>
        </row>
        <row r="2666">
          <cell r="N2666">
            <v>13.4292</v>
          </cell>
          <cell r="O2666">
            <v>0</v>
          </cell>
        </row>
        <row r="2667">
          <cell r="N2667">
            <v>4.3319999999999999</v>
          </cell>
          <cell r="O2667">
            <v>0</v>
          </cell>
        </row>
        <row r="2668">
          <cell r="N2668">
            <v>4.3319999999999999</v>
          </cell>
          <cell r="O2668">
            <v>0</v>
          </cell>
        </row>
        <row r="2669">
          <cell r="N2669">
            <v>0</v>
          </cell>
          <cell r="O2669">
            <v>0</v>
          </cell>
        </row>
        <row r="2670">
          <cell r="N2670">
            <v>1.59</v>
          </cell>
          <cell r="O2670">
            <v>0</v>
          </cell>
        </row>
        <row r="2671">
          <cell r="N2671">
            <v>0</v>
          </cell>
          <cell r="O2671">
            <v>0</v>
          </cell>
        </row>
        <row r="2672">
          <cell r="N2672">
            <v>0</v>
          </cell>
          <cell r="O2672">
            <v>0</v>
          </cell>
        </row>
        <row r="2673">
          <cell r="N2673">
            <v>2.3805000000000001</v>
          </cell>
          <cell r="O2673">
            <v>0</v>
          </cell>
        </row>
        <row r="2674">
          <cell r="N2674">
            <v>1.8144</v>
          </cell>
          <cell r="O2674">
            <v>0</v>
          </cell>
        </row>
        <row r="2675">
          <cell r="N2675">
            <v>26.046719999999997</v>
          </cell>
          <cell r="O2675">
            <v>0</v>
          </cell>
        </row>
        <row r="2676">
          <cell r="N2676">
            <v>16.610600000000002</v>
          </cell>
          <cell r="O2676">
            <v>0</v>
          </cell>
        </row>
        <row r="2677">
          <cell r="N2677">
            <v>4.2926000000000002</v>
          </cell>
          <cell r="O2677">
            <v>0</v>
          </cell>
        </row>
        <row r="2678">
          <cell r="N2678">
            <v>0</v>
          </cell>
          <cell r="O2678">
            <v>0</v>
          </cell>
        </row>
        <row r="2679">
          <cell r="N2679">
            <v>0</v>
          </cell>
          <cell r="O2679">
            <v>0</v>
          </cell>
        </row>
        <row r="2680">
          <cell r="N2680">
            <v>26.5029</v>
          </cell>
          <cell r="O2680">
            <v>0</v>
          </cell>
        </row>
        <row r="2681">
          <cell r="N2681">
            <v>7.1400000000000006</v>
          </cell>
          <cell r="O2681">
            <v>0</v>
          </cell>
        </row>
        <row r="2682">
          <cell r="N2682">
            <v>1.53</v>
          </cell>
          <cell r="O2682">
            <v>0</v>
          </cell>
        </row>
        <row r="2683">
          <cell r="N2683">
            <v>0.81600000000000006</v>
          </cell>
          <cell r="O2683">
            <v>0</v>
          </cell>
        </row>
        <row r="2684">
          <cell r="N2684">
            <v>7.65</v>
          </cell>
          <cell r="O2684">
            <v>0</v>
          </cell>
        </row>
        <row r="2685">
          <cell r="N2685">
            <v>1.53</v>
          </cell>
          <cell r="O2685">
            <v>0</v>
          </cell>
        </row>
        <row r="2686">
          <cell r="N2686">
            <v>0.81600000000000006</v>
          </cell>
          <cell r="O2686">
            <v>0</v>
          </cell>
        </row>
        <row r="2687">
          <cell r="N2687">
            <v>5.7119999999999997</v>
          </cell>
          <cell r="O2687">
            <v>0</v>
          </cell>
        </row>
        <row r="2688">
          <cell r="N2688">
            <v>1.3857999999999999</v>
          </cell>
          <cell r="O2688">
            <v>0</v>
          </cell>
        </row>
        <row r="2689">
          <cell r="N2689">
            <v>11.933999999999999</v>
          </cell>
          <cell r="O2689">
            <v>0</v>
          </cell>
        </row>
        <row r="2690">
          <cell r="N2690">
            <v>19.396080000000001</v>
          </cell>
          <cell r="O2690">
            <v>0</v>
          </cell>
        </row>
        <row r="2691">
          <cell r="N2691">
            <v>2.2369600000000003</v>
          </cell>
          <cell r="O2691">
            <v>0</v>
          </cell>
        </row>
        <row r="2692">
          <cell r="N2692">
            <v>16.422000000000001</v>
          </cell>
          <cell r="O2692">
            <v>0</v>
          </cell>
        </row>
        <row r="2693">
          <cell r="N2693">
            <v>7.9559999999999995</v>
          </cell>
          <cell r="O2693">
            <v>0</v>
          </cell>
        </row>
        <row r="2694">
          <cell r="N2694">
            <v>16.218</v>
          </cell>
          <cell r="O2694">
            <v>0</v>
          </cell>
        </row>
        <row r="2695">
          <cell r="N2695">
            <v>7.8540000000000001</v>
          </cell>
          <cell r="O2695">
            <v>0</v>
          </cell>
        </row>
        <row r="2696">
          <cell r="N2696">
            <v>16.422000000000001</v>
          </cell>
          <cell r="O2696">
            <v>0</v>
          </cell>
        </row>
        <row r="2697">
          <cell r="N2697">
            <v>7.9559999999999995</v>
          </cell>
          <cell r="O2697">
            <v>0</v>
          </cell>
        </row>
        <row r="2698">
          <cell r="N2698">
            <v>2.2440000000000002</v>
          </cell>
          <cell r="O2698">
            <v>0</v>
          </cell>
        </row>
        <row r="2699">
          <cell r="N2699">
            <v>1.1220000000000001</v>
          </cell>
          <cell r="O2699">
            <v>0</v>
          </cell>
        </row>
        <row r="2700">
          <cell r="N2700">
            <v>37.128</v>
          </cell>
          <cell r="O2700">
            <v>0</v>
          </cell>
        </row>
        <row r="2701">
          <cell r="N2701">
            <v>51.891839999999995</v>
          </cell>
          <cell r="O2701">
            <v>0</v>
          </cell>
        </row>
        <row r="2702">
          <cell r="N2702">
            <v>14.07648</v>
          </cell>
          <cell r="O2702">
            <v>0</v>
          </cell>
        </row>
        <row r="2703">
          <cell r="N2703">
            <v>8.92056</v>
          </cell>
          <cell r="O2703">
            <v>0</v>
          </cell>
        </row>
        <row r="2704">
          <cell r="N2704">
            <v>22.260480000000001</v>
          </cell>
          <cell r="O2704">
            <v>0</v>
          </cell>
        </row>
        <row r="2705">
          <cell r="N2705">
            <v>170.71824000000001</v>
          </cell>
          <cell r="O2705">
            <v>0</v>
          </cell>
        </row>
        <row r="2706">
          <cell r="N2706">
            <v>0</v>
          </cell>
          <cell r="O2706">
            <v>0</v>
          </cell>
        </row>
        <row r="2707">
          <cell r="N2707">
            <v>0</v>
          </cell>
          <cell r="O2707">
            <v>0</v>
          </cell>
        </row>
        <row r="2708">
          <cell r="N2708">
            <v>9.7389600000000005</v>
          </cell>
          <cell r="O2708">
            <v>0</v>
          </cell>
        </row>
        <row r="2709">
          <cell r="N2709">
            <v>13.25808</v>
          </cell>
          <cell r="O2709">
            <v>0</v>
          </cell>
        </row>
        <row r="2710">
          <cell r="N2710">
            <v>5.0740800000000013</v>
          </cell>
          <cell r="O2710">
            <v>0</v>
          </cell>
        </row>
        <row r="2711">
          <cell r="N2711">
            <v>8.9770000000000003</v>
          </cell>
          <cell r="O2711">
            <v>0</v>
          </cell>
        </row>
        <row r="2712">
          <cell r="N2712">
            <v>0</v>
          </cell>
          <cell r="O2712">
            <v>0</v>
          </cell>
        </row>
        <row r="2713">
          <cell r="N2713">
            <v>0</v>
          </cell>
          <cell r="O2713">
            <v>0</v>
          </cell>
        </row>
        <row r="2714">
          <cell r="N2714">
            <v>1.59</v>
          </cell>
          <cell r="O2714">
            <v>0</v>
          </cell>
        </row>
        <row r="2715">
          <cell r="N2715">
            <v>0</v>
          </cell>
          <cell r="O2715">
            <v>0</v>
          </cell>
        </row>
        <row r="2716">
          <cell r="N2716">
            <v>15.5952</v>
          </cell>
          <cell r="O2716">
            <v>0</v>
          </cell>
        </row>
        <row r="2717">
          <cell r="N2717">
            <v>4.7652000000000001</v>
          </cell>
          <cell r="O2717">
            <v>0</v>
          </cell>
        </row>
        <row r="2718">
          <cell r="N2718">
            <v>4.7652000000000001</v>
          </cell>
          <cell r="O2718">
            <v>0</v>
          </cell>
        </row>
        <row r="2719">
          <cell r="N2719">
            <v>30.757199999999997</v>
          </cell>
          <cell r="O2719">
            <v>0</v>
          </cell>
        </row>
        <row r="2720">
          <cell r="N2720">
            <v>4.7652000000000001</v>
          </cell>
          <cell r="O2720">
            <v>0</v>
          </cell>
        </row>
        <row r="2721">
          <cell r="N2721">
            <v>4.7652000000000001</v>
          </cell>
          <cell r="O2721">
            <v>0</v>
          </cell>
        </row>
        <row r="2722">
          <cell r="N2722">
            <v>15.5952</v>
          </cell>
          <cell r="O2722">
            <v>0</v>
          </cell>
        </row>
        <row r="2723">
          <cell r="N2723">
            <v>27.402200000000001</v>
          </cell>
          <cell r="O2723">
            <v>0</v>
          </cell>
        </row>
        <row r="2724">
          <cell r="N2724">
            <v>4.037440000000001</v>
          </cell>
          <cell r="O2724">
            <v>0</v>
          </cell>
        </row>
        <row r="2725">
          <cell r="N2725">
            <v>3.5736800000000004</v>
          </cell>
          <cell r="O2725">
            <v>0</v>
          </cell>
        </row>
        <row r="2726">
          <cell r="N2726">
            <v>3.6555200000000005</v>
          </cell>
          <cell r="O2726">
            <v>0</v>
          </cell>
        </row>
        <row r="2727">
          <cell r="N2727">
            <v>3.2463200000000008</v>
          </cell>
          <cell r="O2727">
            <v>0</v>
          </cell>
        </row>
        <row r="2728">
          <cell r="N2728">
            <v>5.2377600000000006</v>
          </cell>
          <cell r="O2728">
            <v>0</v>
          </cell>
        </row>
        <row r="2729">
          <cell r="N2729">
            <v>4.0733000000000006</v>
          </cell>
          <cell r="O2729">
            <v>0</v>
          </cell>
        </row>
        <row r="2730">
          <cell r="N2730">
            <v>8.8387200000000004</v>
          </cell>
          <cell r="O2730">
            <v>0</v>
          </cell>
        </row>
        <row r="2731">
          <cell r="N2731">
            <v>74.601600000000005</v>
          </cell>
          <cell r="O2731">
            <v>0</v>
          </cell>
        </row>
        <row r="2732">
          <cell r="N2732">
            <v>0</v>
          </cell>
          <cell r="O2732">
            <v>0</v>
          </cell>
        </row>
        <row r="2733">
          <cell r="N2733">
            <v>0</v>
          </cell>
          <cell r="O2733">
            <v>0</v>
          </cell>
        </row>
        <row r="2734">
          <cell r="N2734">
            <v>1.6960000000000002</v>
          </cell>
          <cell r="O2734">
            <v>0</v>
          </cell>
        </row>
        <row r="2735">
          <cell r="N2735">
            <v>0</v>
          </cell>
          <cell r="O2735">
            <v>0</v>
          </cell>
        </row>
        <row r="2736">
          <cell r="N2736">
            <v>5.1983999999999995</v>
          </cell>
          <cell r="O2736">
            <v>0</v>
          </cell>
        </row>
        <row r="2737">
          <cell r="N2737">
            <v>5.1983999999999995</v>
          </cell>
          <cell r="O2737">
            <v>0</v>
          </cell>
        </row>
        <row r="2738">
          <cell r="N2738">
            <v>7.3643999999999998</v>
          </cell>
          <cell r="O2738">
            <v>0</v>
          </cell>
        </row>
        <row r="2739">
          <cell r="N2739">
            <v>7.3643999999999998</v>
          </cell>
          <cell r="O2739">
            <v>0</v>
          </cell>
        </row>
        <row r="2740">
          <cell r="N2740">
            <v>0.79430000000000012</v>
          </cell>
          <cell r="O2740">
            <v>0</v>
          </cell>
        </row>
        <row r="2741">
          <cell r="N2741">
            <v>35.601700000000001</v>
          </cell>
          <cell r="O2741">
            <v>0</v>
          </cell>
        </row>
        <row r="2742">
          <cell r="N2742">
            <v>27.635999999999996</v>
          </cell>
          <cell r="O2742">
            <v>0</v>
          </cell>
        </row>
        <row r="2743">
          <cell r="N2743">
            <v>24.752000000000002</v>
          </cell>
          <cell r="O2743">
            <v>0</v>
          </cell>
        </row>
        <row r="2744">
          <cell r="N2744">
            <v>14.96</v>
          </cell>
          <cell r="O2744">
            <v>0</v>
          </cell>
        </row>
        <row r="2745">
          <cell r="N2745">
            <v>16.894079999999999</v>
          </cell>
          <cell r="O2745">
            <v>0</v>
          </cell>
        </row>
        <row r="2746">
          <cell r="N2746">
            <v>15.009199999999998</v>
          </cell>
          <cell r="O2746">
            <v>0</v>
          </cell>
        </row>
        <row r="2747">
          <cell r="N2747">
            <v>30.787800000000004</v>
          </cell>
          <cell r="O2747">
            <v>0</v>
          </cell>
        </row>
        <row r="2748">
          <cell r="N2748">
            <v>0</v>
          </cell>
          <cell r="O2748">
            <v>0</v>
          </cell>
        </row>
        <row r="2749">
          <cell r="N2749">
            <v>0</v>
          </cell>
          <cell r="O2749">
            <v>0</v>
          </cell>
        </row>
        <row r="2750">
          <cell r="N2750">
            <v>0</v>
          </cell>
          <cell r="O2750">
            <v>0</v>
          </cell>
        </row>
        <row r="2751">
          <cell r="N2751">
            <v>0</v>
          </cell>
          <cell r="O2751">
            <v>0</v>
          </cell>
        </row>
        <row r="2752">
          <cell r="N2752">
            <v>5.7015200000000004</v>
          </cell>
          <cell r="O2752">
            <v>0</v>
          </cell>
        </row>
        <row r="2753">
          <cell r="N2753">
            <v>4.8285600000000004</v>
          </cell>
          <cell r="O2753">
            <v>0</v>
          </cell>
        </row>
        <row r="2754">
          <cell r="N2754">
            <v>3.7646400000000009</v>
          </cell>
          <cell r="O2754">
            <v>0</v>
          </cell>
        </row>
        <row r="2755">
          <cell r="N2755">
            <v>3.8192000000000004</v>
          </cell>
          <cell r="O2755">
            <v>0</v>
          </cell>
        </row>
        <row r="2756">
          <cell r="N2756">
            <v>4.3375200000000005</v>
          </cell>
          <cell r="O2756">
            <v>0</v>
          </cell>
        </row>
        <row r="2757">
          <cell r="N2757">
            <v>4.0101600000000008</v>
          </cell>
          <cell r="O2757">
            <v>0</v>
          </cell>
        </row>
        <row r="2758">
          <cell r="N2758">
            <v>3.6555200000000005</v>
          </cell>
          <cell r="O2758">
            <v>0</v>
          </cell>
        </row>
        <row r="2759">
          <cell r="N2759">
            <v>2.4336000000000002</v>
          </cell>
          <cell r="O2759">
            <v>0</v>
          </cell>
        </row>
        <row r="2760">
          <cell r="N2760">
            <v>3.7100800000000005</v>
          </cell>
          <cell r="O2760">
            <v>0</v>
          </cell>
        </row>
        <row r="2761">
          <cell r="N2761">
            <v>4.7740000000000009</v>
          </cell>
          <cell r="O2761">
            <v>0</v>
          </cell>
        </row>
        <row r="2762">
          <cell r="N2762">
            <v>4.5012000000000008</v>
          </cell>
          <cell r="O2762">
            <v>0</v>
          </cell>
        </row>
        <row r="2763">
          <cell r="N2763">
            <v>4.4193600000000002</v>
          </cell>
          <cell r="O2763">
            <v>0</v>
          </cell>
        </row>
        <row r="2764">
          <cell r="N2764">
            <v>3.7646400000000009</v>
          </cell>
          <cell r="O2764">
            <v>0</v>
          </cell>
        </row>
        <row r="2765">
          <cell r="N2765">
            <v>4.14656</v>
          </cell>
          <cell r="O2765">
            <v>0</v>
          </cell>
        </row>
        <row r="2766">
          <cell r="N2766">
            <v>1.2168000000000001</v>
          </cell>
          <cell r="O2766">
            <v>0</v>
          </cell>
        </row>
        <row r="2767">
          <cell r="N2767">
            <v>2.8899000000000004</v>
          </cell>
          <cell r="O2767">
            <v>0</v>
          </cell>
        </row>
        <row r="2768">
          <cell r="N2768">
            <v>3.3554400000000006</v>
          </cell>
          <cell r="O2768">
            <v>0</v>
          </cell>
        </row>
        <row r="2769">
          <cell r="N2769">
            <v>2.9735200000000006</v>
          </cell>
          <cell r="O2769">
            <v>0</v>
          </cell>
        </row>
        <row r="2770">
          <cell r="N2770">
            <v>3.4918400000000007</v>
          </cell>
          <cell r="O2770">
            <v>0</v>
          </cell>
        </row>
        <row r="2771">
          <cell r="N2771">
            <v>15.8171</v>
          </cell>
          <cell r="O2771">
            <v>0</v>
          </cell>
        </row>
        <row r="2772">
          <cell r="N2772">
            <v>20.313600000000001</v>
          </cell>
          <cell r="O2772">
            <v>0</v>
          </cell>
        </row>
        <row r="2773">
          <cell r="N2773">
            <v>0</v>
          </cell>
          <cell r="O2773">
            <v>0</v>
          </cell>
        </row>
        <row r="2774">
          <cell r="N2774">
            <v>0</v>
          </cell>
          <cell r="O2774">
            <v>0</v>
          </cell>
        </row>
        <row r="2775">
          <cell r="N2775">
            <v>0</v>
          </cell>
          <cell r="O2775">
            <v>0</v>
          </cell>
        </row>
        <row r="2776">
          <cell r="N2776">
            <v>0</v>
          </cell>
          <cell r="O2776">
            <v>0</v>
          </cell>
        </row>
        <row r="2777">
          <cell r="N2777">
            <v>6.0423999999999998</v>
          </cell>
          <cell r="O2777">
            <v>0</v>
          </cell>
        </row>
        <row r="2778">
          <cell r="N2778">
            <v>0</v>
          </cell>
          <cell r="O2778">
            <v>0</v>
          </cell>
        </row>
        <row r="2779">
          <cell r="N2779">
            <v>9.0304000000000002</v>
          </cell>
          <cell r="O2779">
            <v>0</v>
          </cell>
        </row>
        <row r="2780">
          <cell r="N2780">
            <v>3.8464800000000006</v>
          </cell>
          <cell r="O2780">
            <v>0</v>
          </cell>
        </row>
        <row r="2781">
          <cell r="N2781">
            <v>4.0101600000000008</v>
          </cell>
          <cell r="O2781">
            <v>0</v>
          </cell>
        </row>
        <row r="2782">
          <cell r="N2782">
            <v>3.8737600000000003</v>
          </cell>
          <cell r="O2782">
            <v>0</v>
          </cell>
        </row>
        <row r="2783">
          <cell r="N2783">
            <v>4.2011200000000004</v>
          </cell>
          <cell r="O2783">
            <v>0</v>
          </cell>
        </row>
        <row r="2784">
          <cell r="N2784">
            <v>4.6103200000000006</v>
          </cell>
          <cell r="O2784">
            <v>0</v>
          </cell>
        </row>
        <row r="2785">
          <cell r="N2785">
            <v>5.8924800000000017</v>
          </cell>
          <cell r="O2785">
            <v>0</v>
          </cell>
        </row>
        <row r="2786">
          <cell r="N2786">
            <v>5.2923200000000001</v>
          </cell>
          <cell r="O2786">
            <v>0</v>
          </cell>
        </row>
        <row r="2787">
          <cell r="N2787">
            <v>10.151999999999999</v>
          </cell>
          <cell r="O2787">
            <v>0</v>
          </cell>
        </row>
        <row r="2788">
          <cell r="N2788">
            <v>9.6349999999999998</v>
          </cell>
          <cell r="O2788">
            <v>0</v>
          </cell>
        </row>
        <row r="2789">
          <cell r="N2789">
            <v>0</v>
          </cell>
          <cell r="O2789">
            <v>0</v>
          </cell>
        </row>
        <row r="2790">
          <cell r="N2790">
            <v>0</v>
          </cell>
          <cell r="O2790">
            <v>0</v>
          </cell>
        </row>
        <row r="2791">
          <cell r="N2791">
            <v>1.59</v>
          </cell>
          <cell r="O2791">
            <v>0</v>
          </cell>
        </row>
        <row r="2792">
          <cell r="N2792">
            <v>0</v>
          </cell>
          <cell r="O2792">
            <v>0</v>
          </cell>
        </row>
        <row r="2793">
          <cell r="N2793">
            <v>15.5952</v>
          </cell>
          <cell r="O2793">
            <v>0</v>
          </cell>
        </row>
        <row r="2794">
          <cell r="N2794">
            <v>5.6603000000000003</v>
          </cell>
          <cell r="O2794">
            <v>0</v>
          </cell>
        </row>
        <row r="2795">
          <cell r="N2795">
            <v>16.028400000000001</v>
          </cell>
          <cell r="O2795">
            <v>0</v>
          </cell>
        </row>
        <row r="2796">
          <cell r="N2796">
            <v>4.7652000000000001</v>
          </cell>
          <cell r="O2796">
            <v>0</v>
          </cell>
        </row>
        <row r="2797">
          <cell r="N2797">
            <v>4.3319999999999999</v>
          </cell>
          <cell r="O2797">
            <v>0</v>
          </cell>
        </row>
        <row r="2798">
          <cell r="N2798">
            <v>30.757199999999997</v>
          </cell>
          <cell r="O2798">
            <v>0</v>
          </cell>
        </row>
        <row r="2799">
          <cell r="N2799">
            <v>28.936300000000003</v>
          </cell>
          <cell r="O2799">
            <v>0</v>
          </cell>
        </row>
        <row r="2800">
          <cell r="N2800">
            <v>6.7108800000000013</v>
          </cell>
          <cell r="O2800">
            <v>0</v>
          </cell>
        </row>
        <row r="2801">
          <cell r="N2801">
            <v>9.4939999999999998</v>
          </cell>
          <cell r="O2801">
            <v>0</v>
          </cell>
        </row>
        <row r="2802">
          <cell r="N2802">
            <v>3.4100000000000006</v>
          </cell>
          <cell r="O2802">
            <v>0</v>
          </cell>
        </row>
        <row r="2803">
          <cell r="N2803">
            <v>3.1099200000000007</v>
          </cell>
          <cell r="O2803">
            <v>0</v>
          </cell>
        </row>
        <row r="2804">
          <cell r="N2804">
            <v>4.3319999999999999</v>
          </cell>
          <cell r="O2804">
            <v>0</v>
          </cell>
        </row>
        <row r="2805">
          <cell r="N2805">
            <v>4.3319999999999999</v>
          </cell>
          <cell r="O2805">
            <v>0</v>
          </cell>
        </row>
        <row r="2806">
          <cell r="N2806">
            <v>18.938199999999998</v>
          </cell>
          <cell r="O2806">
            <v>0</v>
          </cell>
        </row>
        <row r="2807">
          <cell r="N2807">
            <v>21</v>
          </cell>
          <cell r="O2807">
            <v>0</v>
          </cell>
        </row>
        <row r="2808">
          <cell r="N2808">
            <v>0</v>
          </cell>
          <cell r="O2808">
            <v>0</v>
          </cell>
        </row>
        <row r="2809">
          <cell r="N2809">
            <v>0</v>
          </cell>
          <cell r="O2809">
            <v>0</v>
          </cell>
        </row>
        <row r="2810">
          <cell r="N2810">
            <v>0</v>
          </cell>
          <cell r="O2810">
            <v>0</v>
          </cell>
        </row>
        <row r="2811">
          <cell r="N2811">
            <v>0</v>
          </cell>
          <cell r="O2811">
            <v>0</v>
          </cell>
        </row>
        <row r="2812">
          <cell r="N2812">
            <v>0</v>
          </cell>
          <cell r="O2812">
            <v>0</v>
          </cell>
        </row>
        <row r="2813">
          <cell r="N2813">
            <v>0</v>
          </cell>
          <cell r="O2813">
            <v>0</v>
          </cell>
        </row>
        <row r="2814">
          <cell r="N2814">
            <v>0</v>
          </cell>
          <cell r="O2814">
            <v>0</v>
          </cell>
        </row>
        <row r="2815">
          <cell r="N2815">
            <v>386.34559999999999</v>
          </cell>
          <cell r="O2815">
            <v>0</v>
          </cell>
        </row>
        <row r="2816">
          <cell r="N2816">
            <v>0</v>
          </cell>
          <cell r="O2816">
            <v>0</v>
          </cell>
        </row>
        <row r="2817">
          <cell r="N2817">
            <v>5.6315999999999997</v>
          </cell>
          <cell r="O2817">
            <v>0</v>
          </cell>
        </row>
        <row r="2818">
          <cell r="N2818">
            <v>5.6315999999999997</v>
          </cell>
          <cell r="O2818">
            <v>0</v>
          </cell>
        </row>
        <row r="2819">
          <cell r="N2819">
            <v>5.6315999999999997</v>
          </cell>
          <cell r="O2819">
            <v>0</v>
          </cell>
        </row>
        <row r="2820">
          <cell r="N2820">
            <v>5.6315999999999997</v>
          </cell>
          <cell r="O2820">
            <v>0</v>
          </cell>
        </row>
        <row r="2821">
          <cell r="N2821">
            <v>5.6315999999999997</v>
          </cell>
          <cell r="O2821">
            <v>0</v>
          </cell>
        </row>
        <row r="2822">
          <cell r="N2822">
            <v>2.1688999999999998</v>
          </cell>
          <cell r="O2822">
            <v>0</v>
          </cell>
        </row>
        <row r="2823">
          <cell r="N2823">
            <v>0</v>
          </cell>
          <cell r="O2823">
            <v>0</v>
          </cell>
        </row>
        <row r="2824">
          <cell r="N2824">
            <v>3.2269000000000001</v>
          </cell>
          <cell r="O2824">
            <v>0</v>
          </cell>
        </row>
        <row r="2825">
          <cell r="N2825">
            <v>30.757199999999997</v>
          </cell>
          <cell r="O2825">
            <v>0</v>
          </cell>
        </row>
        <row r="2826">
          <cell r="N2826">
            <v>149.27180000000001</v>
          </cell>
          <cell r="O2826">
            <v>0</v>
          </cell>
        </row>
        <row r="2827">
          <cell r="N2827">
            <v>11.109</v>
          </cell>
          <cell r="O2827">
            <v>0</v>
          </cell>
        </row>
        <row r="2828">
          <cell r="N2828">
            <v>9.6278000000000006</v>
          </cell>
          <cell r="O2828">
            <v>0</v>
          </cell>
        </row>
        <row r="2829">
          <cell r="N2829">
            <v>2.5370400000000006</v>
          </cell>
          <cell r="O2829">
            <v>0</v>
          </cell>
        </row>
        <row r="2830">
          <cell r="N2830">
            <v>0.64219999999999999</v>
          </cell>
          <cell r="O2830">
            <v>0</v>
          </cell>
        </row>
        <row r="2831">
          <cell r="N2831">
            <v>0</v>
          </cell>
          <cell r="O2831">
            <v>0</v>
          </cell>
        </row>
        <row r="2832">
          <cell r="N2832">
            <v>0</v>
          </cell>
          <cell r="O2832">
            <v>0</v>
          </cell>
        </row>
        <row r="2833">
          <cell r="N2833">
            <v>27.291599999999999</v>
          </cell>
          <cell r="O2833">
            <v>0</v>
          </cell>
        </row>
        <row r="2834">
          <cell r="N2834">
            <v>65.413199999999989</v>
          </cell>
          <cell r="O2834">
            <v>0</v>
          </cell>
        </row>
        <row r="2835">
          <cell r="N2835">
            <v>216.39659999999998</v>
          </cell>
          <cell r="O2835">
            <v>0</v>
          </cell>
        </row>
        <row r="2836">
          <cell r="N2836">
            <v>16.461599999999997</v>
          </cell>
          <cell r="O2836">
            <v>0</v>
          </cell>
        </row>
        <row r="2837">
          <cell r="N2837">
            <v>2.7280000000000006</v>
          </cell>
          <cell r="O2837">
            <v>0</v>
          </cell>
        </row>
        <row r="2838">
          <cell r="N2838">
            <v>189.83980000000003</v>
          </cell>
          <cell r="O2838">
            <v>0</v>
          </cell>
        </row>
        <row r="2839">
          <cell r="N2839">
            <v>9.7865000000000002</v>
          </cell>
          <cell r="O2839">
            <v>0</v>
          </cell>
        </row>
        <row r="2840">
          <cell r="N2840">
            <v>1.7069000000000001</v>
          </cell>
          <cell r="O2840">
            <v>0</v>
          </cell>
        </row>
        <row r="2841">
          <cell r="N2841">
            <v>16.461599999999997</v>
          </cell>
          <cell r="O2841">
            <v>0</v>
          </cell>
        </row>
        <row r="2842">
          <cell r="N2842">
            <v>2.8644000000000003</v>
          </cell>
          <cell r="O2842">
            <v>0</v>
          </cell>
        </row>
        <row r="2843">
          <cell r="N2843">
            <v>0</v>
          </cell>
          <cell r="O2843">
            <v>0</v>
          </cell>
        </row>
        <row r="2844">
          <cell r="N2844">
            <v>0</v>
          </cell>
          <cell r="O2844">
            <v>0</v>
          </cell>
        </row>
        <row r="2845">
          <cell r="N2845">
            <v>0</v>
          </cell>
          <cell r="O2845">
            <v>0</v>
          </cell>
        </row>
        <row r="2846">
          <cell r="N2846">
            <v>11.003200000000001</v>
          </cell>
          <cell r="O2846">
            <v>0</v>
          </cell>
        </row>
        <row r="2847">
          <cell r="N2847">
            <v>149.73280000000003</v>
          </cell>
          <cell r="O2847">
            <v>0</v>
          </cell>
        </row>
        <row r="2848">
          <cell r="N2848">
            <v>0</v>
          </cell>
          <cell r="O2848">
            <v>0</v>
          </cell>
        </row>
        <row r="2849">
          <cell r="N2849">
            <v>5.1983999999999995</v>
          </cell>
          <cell r="O2849">
            <v>0</v>
          </cell>
        </row>
        <row r="2850">
          <cell r="N2850">
            <v>5.1983999999999995</v>
          </cell>
          <cell r="O2850">
            <v>0</v>
          </cell>
        </row>
        <row r="2851">
          <cell r="N2851">
            <v>5.1983999999999995</v>
          </cell>
          <cell r="O2851">
            <v>0</v>
          </cell>
        </row>
        <row r="2852">
          <cell r="N2852">
            <v>78.409199999999998</v>
          </cell>
          <cell r="O2852">
            <v>0</v>
          </cell>
        </row>
        <row r="2853">
          <cell r="N2853">
            <v>5.6315999999999997</v>
          </cell>
          <cell r="O2853">
            <v>0</v>
          </cell>
        </row>
        <row r="2854">
          <cell r="N2854">
            <v>5.6315999999999997</v>
          </cell>
          <cell r="O2854">
            <v>0</v>
          </cell>
        </row>
        <row r="2855">
          <cell r="N2855">
            <v>5.1983999999999995</v>
          </cell>
          <cell r="O2855">
            <v>0</v>
          </cell>
        </row>
        <row r="2856">
          <cell r="N2856">
            <v>5.6315999999999997</v>
          </cell>
          <cell r="O2856">
            <v>0</v>
          </cell>
        </row>
        <row r="2857">
          <cell r="N2857">
            <v>5.6315999999999997</v>
          </cell>
          <cell r="O2857">
            <v>0</v>
          </cell>
        </row>
        <row r="2858">
          <cell r="N2858">
            <v>5.6315999999999997</v>
          </cell>
          <cell r="O2858">
            <v>0</v>
          </cell>
        </row>
        <row r="2859">
          <cell r="N2859">
            <v>0</v>
          </cell>
          <cell r="O2859">
            <v>0</v>
          </cell>
        </row>
        <row r="2860">
          <cell r="N2860">
            <v>0</v>
          </cell>
          <cell r="O2860">
            <v>0</v>
          </cell>
        </row>
        <row r="2861">
          <cell r="N2861">
            <v>3.2798000000000003</v>
          </cell>
          <cell r="O2861">
            <v>0</v>
          </cell>
        </row>
        <row r="2862">
          <cell r="N2862">
            <v>17.033800000000003</v>
          </cell>
          <cell r="O2862">
            <v>0</v>
          </cell>
        </row>
        <row r="2863">
          <cell r="N2863">
            <v>537.45410000000004</v>
          </cell>
          <cell r="O2863">
            <v>0</v>
          </cell>
        </row>
        <row r="2864">
          <cell r="N2864">
            <v>5.2169999999999996</v>
          </cell>
          <cell r="O2864">
            <v>0</v>
          </cell>
        </row>
        <row r="2865">
          <cell r="N2865">
            <v>15.557</v>
          </cell>
          <cell r="O2865">
            <v>0</v>
          </cell>
        </row>
        <row r="2866">
          <cell r="N2866">
            <v>2.7508000000000004</v>
          </cell>
          <cell r="O2866">
            <v>0</v>
          </cell>
        </row>
        <row r="2867">
          <cell r="N2867">
            <v>3.3554400000000006</v>
          </cell>
          <cell r="O2867">
            <v>0</v>
          </cell>
        </row>
        <row r="2868">
          <cell r="N2868">
            <v>0</v>
          </cell>
          <cell r="O2868">
            <v>0</v>
          </cell>
        </row>
        <row r="2869">
          <cell r="N2869">
            <v>2.2747000000000002</v>
          </cell>
          <cell r="O2869">
            <v>0</v>
          </cell>
        </row>
        <row r="2870">
          <cell r="N2870">
            <v>2.645</v>
          </cell>
          <cell r="O2870">
            <v>0</v>
          </cell>
        </row>
        <row r="2871">
          <cell r="N2871">
            <v>3.4645600000000005</v>
          </cell>
          <cell r="O2871">
            <v>0</v>
          </cell>
        </row>
        <row r="2872">
          <cell r="N2872">
            <v>2.645</v>
          </cell>
          <cell r="O2872">
            <v>0</v>
          </cell>
        </row>
        <row r="2873">
          <cell r="N2873">
            <v>0</v>
          </cell>
          <cell r="O2873">
            <v>0</v>
          </cell>
        </row>
        <row r="2874">
          <cell r="N2874">
            <v>2.2747000000000002</v>
          </cell>
          <cell r="O2874">
            <v>0</v>
          </cell>
        </row>
        <row r="2875">
          <cell r="N2875">
            <v>0</v>
          </cell>
          <cell r="O2875">
            <v>0</v>
          </cell>
        </row>
        <row r="2876">
          <cell r="N2876">
            <v>3.3554400000000006</v>
          </cell>
          <cell r="O2876">
            <v>0</v>
          </cell>
        </row>
        <row r="2877">
          <cell r="N2877">
            <v>2.7508000000000004</v>
          </cell>
          <cell r="O2877">
            <v>0</v>
          </cell>
        </row>
        <row r="2878">
          <cell r="N2878">
            <v>21.7056</v>
          </cell>
          <cell r="O2878">
            <v>0</v>
          </cell>
        </row>
        <row r="2879">
          <cell r="N2879">
            <v>86.051100000000005</v>
          </cell>
          <cell r="O2879">
            <v>0</v>
          </cell>
        </row>
        <row r="2880">
          <cell r="N2880">
            <v>0</v>
          </cell>
          <cell r="O2880">
            <v>0</v>
          </cell>
        </row>
        <row r="2881">
          <cell r="N2881">
            <v>0</v>
          </cell>
          <cell r="O2881">
            <v>0</v>
          </cell>
        </row>
        <row r="2882">
          <cell r="N2882">
            <v>0</v>
          </cell>
          <cell r="O2882">
            <v>0</v>
          </cell>
        </row>
        <row r="2883">
          <cell r="N2883">
            <v>0</v>
          </cell>
          <cell r="O2883">
            <v>0</v>
          </cell>
        </row>
        <row r="2884">
          <cell r="N2884">
            <v>0</v>
          </cell>
          <cell r="O2884">
            <v>0</v>
          </cell>
        </row>
        <row r="2885">
          <cell r="N2885">
            <v>0</v>
          </cell>
          <cell r="O2885">
            <v>0</v>
          </cell>
        </row>
        <row r="2886">
          <cell r="N2886">
            <v>4.3319999999999999</v>
          </cell>
          <cell r="O2886">
            <v>0</v>
          </cell>
        </row>
        <row r="2887">
          <cell r="N2887">
            <v>4.3319999999999999</v>
          </cell>
          <cell r="O2887">
            <v>0</v>
          </cell>
        </row>
        <row r="2888">
          <cell r="N2888">
            <v>5.5</v>
          </cell>
          <cell r="O2888">
            <v>0</v>
          </cell>
        </row>
        <row r="2889">
          <cell r="N2889">
            <v>0</v>
          </cell>
          <cell r="O2889">
            <v>0</v>
          </cell>
        </row>
        <row r="2890">
          <cell r="N2890">
            <v>0</v>
          </cell>
          <cell r="O2890">
            <v>0</v>
          </cell>
        </row>
        <row r="2891">
          <cell r="N2891">
            <v>3.7559</v>
          </cell>
          <cell r="O2891">
            <v>0</v>
          </cell>
        </row>
        <row r="2892">
          <cell r="N2892">
            <v>11.267700000000001</v>
          </cell>
          <cell r="O2892">
            <v>0</v>
          </cell>
        </row>
        <row r="2893">
          <cell r="N2893">
            <v>19.096900000000002</v>
          </cell>
          <cell r="O2893">
            <v>0</v>
          </cell>
        </row>
        <row r="2894">
          <cell r="N2894">
            <v>11.320600000000001</v>
          </cell>
          <cell r="O2894">
            <v>0</v>
          </cell>
        </row>
        <row r="2895">
          <cell r="N2895">
            <v>0</v>
          </cell>
          <cell r="O2895">
            <v>0</v>
          </cell>
        </row>
        <row r="2896">
          <cell r="N2896">
            <v>0</v>
          </cell>
          <cell r="O2896">
            <v>0</v>
          </cell>
        </row>
        <row r="2897">
          <cell r="N2897">
            <v>0</v>
          </cell>
          <cell r="O2897">
            <v>0</v>
          </cell>
        </row>
        <row r="2898">
          <cell r="N2898">
            <v>0</v>
          </cell>
          <cell r="O2898">
            <v>0</v>
          </cell>
        </row>
        <row r="2899">
          <cell r="N2899">
            <v>0</v>
          </cell>
          <cell r="O2899">
            <v>0</v>
          </cell>
        </row>
        <row r="2900">
          <cell r="N2900">
            <v>0</v>
          </cell>
          <cell r="O2900">
            <v>0</v>
          </cell>
        </row>
        <row r="2901">
          <cell r="N2901">
            <v>0</v>
          </cell>
          <cell r="O2901">
            <v>0</v>
          </cell>
        </row>
        <row r="2902">
          <cell r="N2902">
            <v>0</v>
          </cell>
          <cell r="O2902">
            <v>0</v>
          </cell>
        </row>
        <row r="2903">
          <cell r="N2903">
            <v>0</v>
          </cell>
          <cell r="O2903">
            <v>0</v>
          </cell>
        </row>
        <row r="2904">
          <cell r="N2904">
            <v>0</v>
          </cell>
          <cell r="O2904">
            <v>0</v>
          </cell>
        </row>
        <row r="2905">
          <cell r="N2905">
            <v>0</v>
          </cell>
          <cell r="O2905">
            <v>0</v>
          </cell>
        </row>
        <row r="2906">
          <cell r="N2906">
            <v>0</v>
          </cell>
          <cell r="O2906">
            <v>0</v>
          </cell>
        </row>
        <row r="2907">
          <cell r="N2907">
            <v>0</v>
          </cell>
          <cell r="O2907">
            <v>0</v>
          </cell>
        </row>
        <row r="2908">
          <cell r="N2908">
            <v>0</v>
          </cell>
          <cell r="O2908">
            <v>0</v>
          </cell>
        </row>
        <row r="2909">
          <cell r="N2909">
            <v>0</v>
          </cell>
          <cell r="O2909">
            <v>0</v>
          </cell>
        </row>
        <row r="2910">
          <cell r="N2910">
            <v>0</v>
          </cell>
          <cell r="O2910">
            <v>0</v>
          </cell>
        </row>
        <row r="2911">
          <cell r="N2911">
            <v>0</v>
          </cell>
          <cell r="O2911">
            <v>0</v>
          </cell>
        </row>
        <row r="2912">
          <cell r="N2912">
            <v>0</v>
          </cell>
          <cell r="O2912">
            <v>0</v>
          </cell>
        </row>
        <row r="2913">
          <cell r="N2913">
            <v>0</v>
          </cell>
          <cell r="O2913">
            <v>0</v>
          </cell>
        </row>
        <row r="2914">
          <cell r="N2914">
            <v>0</v>
          </cell>
          <cell r="O2914">
            <v>0</v>
          </cell>
        </row>
        <row r="2915">
          <cell r="N2915">
            <v>17.327999999999999</v>
          </cell>
          <cell r="O2915">
            <v>24.744</v>
          </cell>
        </row>
        <row r="2916">
          <cell r="N2916">
            <v>5.6315999999999997</v>
          </cell>
          <cell r="O2916">
            <v>8.0418000000000003</v>
          </cell>
        </row>
        <row r="2917">
          <cell r="N2917">
            <v>5.6315999999999997</v>
          </cell>
          <cell r="O2917">
            <v>8.0418000000000003</v>
          </cell>
        </row>
        <row r="2918">
          <cell r="N2918">
            <v>5.6315999999999997</v>
          </cell>
          <cell r="O2918">
            <v>8.0418000000000003</v>
          </cell>
        </row>
        <row r="2919">
          <cell r="N2919">
            <v>17.327999999999999</v>
          </cell>
          <cell r="O2919">
            <v>24.744</v>
          </cell>
        </row>
        <row r="2920">
          <cell r="N2920">
            <v>5.6315999999999997</v>
          </cell>
          <cell r="O2920">
            <v>8.0418000000000003</v>
          </cell>
        </row>
        <row r="2921">
          <cell r="N2921">
            <v>18.917499999999997</v>
          </cell>
          <cell r="O2921">
            <v>0</v>
          </cell>
        </row>
        <row r="2922">
          <cell r="N2922">
            <v>25.48584</v>
          </cell>
          <cell r="O2922">
            <v>0</v>
          </cell>
        </row>
        <row r="2923">
          <cell r="N2923">
            <v>13.005120000000002</v>
          </cell>
          <cell r="O2923">
            <v>0</v>
          </cell>
        </row>
        <row r="2924">
          <cell r="N2924">
            <v>13.634399999999999</v>
          </cell>
          <cell r="O2924">
            <v>0</v>
          </cell>
        </row>
        <row r="2925">
          <cell r="N2925">
            <v>22.813124999999999</v>
          </cell>
          <cell r="O2925">
            <v>0</v>
          </cell>
        </row>
        <row r="2926">
          <cell r="N2926">
            <v>72.941164999999998</v>
          </cell>
          <cell r="O2926">
            <v>0</v>
          </cell>
        </row>
        <row r="2927">
          <cell r="N2927">
            <v>25.380959999999998</v>
          </cell>
          <cell r="O2927">
            <v>0</v>
          </cell>
        </row>
        <row r="2928">
          <cell r="N2928">
            <v>107.79961999999999</v>
          </cell>
          <cell r="O2928">
            <v>0</v>
          </cell>
        </row>
        <row r="2929">
          <cell r="N2929">
            <v>82.553094999999985</v>
          </cell>
          <cell r="O2929">
            <v>0</v>
          </cell>
        </row>
        <row r="2930">
          <cell r="N2930">
            <v>75.922079999999994</v>
          </cell>
          <cell r="O2930">
            <v>0</v>
          </cell>
        </row>
        <row r="2931">
          <cell r="N2931">
            <v>20.31889</v>
          </cell>
          <cell r="O2931">
            <v>0</v>
          </cell>
        </row>
        <row r="2932">
          <cell r="N2932">
            <v>343.53524500000003</v>
          </cell>
          <cell r="O2932">
            <v>0</v>
          </cell>
        </row>
        <row r="2933">
          <cell r="N2933">
            <v>89.123275000000007</v>
          </cell>
          <cell r="O2933">
            <v>0</v>
          </cell>
        </row>
        <row r="2934">
          <cell r="N2934">
            <v>43.801199999999994</v>
          </cell>
          <cell r="O2934">
            <v>0</v>
          </cell>
        </row>
        <row r="2935">
          <cell r="N2935">
            <v>31.921010000000003</v>
          </cell>
          <cell r="O2935">
            <v>0</v>
          </cell>
        </row>
        <row r="2936">
          <cell r="N2936">
            <v>6.4485099999999997</v>
          </cell>
          <cell r="O2936">
            <v>0</v>
          </cell>
        </row>
        <row r="2937">
          <cell r="N2937">
            <v>107.18919999999999</v>
          </cell>
          <cell r="O2937">
            <v>0</v>
          </cell>
        </row>
        <row r="2938">
          <cell r="N2938">
            <v>15.62712</v>
          </cell>
          <cell r="O2938">
            <v>0</v>
          </cell>
        </row>
        <row r="2939">
          <cell r="N2939">
            <v>10.82863</v>
          </cell>
          <cell r="O2939">
            <v>0</v>
          </cell>
        </row>
        <row r="2940">
          <cell r="N2940">
            <v>28.737120000000001</v>
          </cell>
          <cell r="O2940">
            <v>0</v>
          </cell>
        </row>
        <row r="2941">
          <cell r="N2941">
            <v>0</v>
          </cell>
          <cell r="O2941">
            <v>0</v>
          </cell>
        </row>
        <row r="2942">
          <cell r="N2942">
            <v>60.777959999999986</v>
          </cell>
          <cell r="O2942">
            <v>86.789580000000001</v>
          </cell>
        </row>
        <row r="2943">
          <cell r="N2943">
            <v>19.927199999999999</v>
          </cell>
          <cell r="O2943">
            <v>0</v>
          </cell>
        </row>
        <row r="2944">
          <cell r="N2944">
            <v>60.777959999999986</v>
          </cell>
          <cell r="O2944">
            <v>86.789580000000001</v>
          </cell>
        </row>
        <row r="2945">
          <cell r="N2945">
            <v>0</v>
          </cell>
          <cell r="O2945">
            <v>0</v>
          </cell>
        </row>
        <row r="2946">
          <cell r="N2946">
            <v>2.5299999999999998</v>
          </cell>
          <cell r="O2946">
            <v>0</v>
          </cell>
        </row>
        <row r="2947">
          <cell r="N2947">
            <v>3.7949999999999995</v>
          </cell>
          <cell r="O2947">
            <v>0</v>
          </cell>
        </row>
        <row r="2948">
          <cell r="N2948">
            <v>11.31531</v>
          </cell>
          <cell r="O2948">
            <v>0</v>
          </cell>
        </row>
        <row r="2949">
          <cell r="N2949">
            <v>18.676345000000001</v>
          </cell>
          <cell r="O2949">
            <v>0</v>
          </cell>
        </row>
        <row r="2950">
          <cell r="N2950">
            <v>9.0644150000000003</v>
          </cell>
          <cell r="O2950">
            <v>0</v>
          </cell>
        </row>
        <row r="2951">
          <cell r="N2951">
            <v>113.58503999999999</v>
          </cell>
          <cell r="O2951">
            <v>162.19691999999998</v>
          </cell>
        </row>
        <row r="2952">
          <cell r="N2952">
            <v>126.53771999999998</v>
          </cell>
          <cell r="O2952">
            <v>180.69305999999997</v>
          </cell>
        </row>
        <row r="2953">
          <cell r="N2953">
            <v>0</v>
          </cell>
          <cell r="O2953">
            <v>0</v>
          </cell>
        </row>
        <row r="2954">
          <cell r="N2954">
            <v>44.044540000000005</v>
          </cell>
          <cell r="O2954">
            <v>0</v>
          </cell>
        </row>
        <row r="2955">
          <cell r="N2955">
            <v>58.462434999999992</v>
          </cell>
          <cell r="O2955">
            <v>0</v>
          </cell>
        </row>
        <row r="2956">
          <cell r="N2956">
            <v>5.3534800000000002</v>
          </cell>
          <cell r="O2956">
            <v>0</v>
          </cell>
        </row>
        <row r="2957">
          <cell r="N2957">
            <v>0</v>
          </cell>
          <cell r="O2957">
            <v>0</v>
          </cell>
        </row>
        <row r="2958">
          <cell r="N2958">
            <v>1.5548</v>
          </cell>
          <cell r="O2958">
            <v>0</v>
          </cell>
        </row>
        <row r="2959">
          <cell r="N2959">
            <v>11.15385</v>
          </cell>
          <cell r="O2959">
            <v>0</v>
          </cell>
        </row>
        <row r="2960">
          <cell r="N2960">
            <v>0</v>
          </cell>
          <cell r="O2960">
            <v>0</v>
          </cell>
        </row>
        <row r="2961">
          <cell r="N2961">
            <v>0</v>
          </cell>
          <cell r="O2961">
            <v>0</v>
          </cell>
        </row>
        <row r="2962">
          <cell r="N2962">
            <v>0</v>
          </cell>
          <cell r="O2962">
            <v>0</v>
          </cell>
        </row>
        <row r="2963">
          <cell r="N2963">
            <v>0</v>
          </cell>
          <cell r="O2963">
            <v>0</v>
          </cell>
        </row>
        <row r="2964">
          <cell r="N2964">
            <v>0</v>
          </cell>
          <cell r="O2964">
            <v>0</v>
          </cell>
        </row>
        <row r="2965">
          <cell r="N2965">
            <v>0</v>
          </cell>
          <cell r="O2965">
            <v>0</v>
          </cell>
        </row>
        <row r="2966">
          <cell r="N2966">
            <v>19.927199999999999</v>
          </cell>
          <cell r="O2966">
            <v>0</v>
          </cell>
        </row>
        <row r="2967">
          <cell r="N2967">
            <v>0</v>
          </cell>
          <cell r="O2967">
            <v>0</v>
          </cell>
        </row>
        <row r="2968">
          <cell r="N2968">
            <v>13.356559999999998</v>
          </cell>
          <cell r="O2968">
            <v>0</v>
          </cell>
        </row>
        <row r="2969">
          <cell r="N2969">
            <v>13.356559999999998</v>
          </cell>
          <cell r="O2969">
            <v>0</v>
          </cell>
        </row>
        <row r="2970">
          <cell r="N2970">
            <v>0</v>
          </cell>
          <cell r="O2970">
            <v>0</v>
          </cell>
        </row>
        <row r="2971">
          <cell r="N2971">
            <v>84.456000000000003</v>
          </cell>
          <cell r="O2971">
            <v>0</v>
          </cell>
        </row>
        <row r="2972">
          <cell r="N2972">
            <v>31.463999999999999</v>
          </cell>
          <cell r="O2972">
            <v>0</v>
          </cell>
        </row>
        <row r="2973">
          <cell r="N2973">
            <v>31.463999999999999</v>
          </cell>
          <cell r="O2973">
            <v>0</v>
          </cell>
        </row>
        <row r="2974">
          <cell r="N2974">
            <v>31.463999999999999</v>
          </cell>
          <cell r="O2974">
            <v>0</v>
          </cell>
        </row>
        <row r="2975">
          <cell r="N2975">
            <v>90.008199999999988</v>
          </cell>
          <cell r="O2975">
            <v>0</v>
          </cell>
        </row>
        <row r="2976">
          <cell r="N2976">
            <v>44.026599999999995</v>
          </cell>
          <cell r="O2976">
            <v>0</v>
          </cell>
        </row>
        <row r="2977">
          <cell r="N2977">
            <v>158.84018499999999</v>
          </cell>
          <cell r="O2977">
            <v>0</v>
          </cell>
        </row>
        <row r="2978">
          <cell r="N2978">
            <v>4.2352200000000009</v>
          </cell>
          <cell r="O2978">
            <v>0</v>
          </cell>
        </row>
        <row r="2979">
          <cell r="N2979">
            <v>4.2352200000000009</v>
          </cell>
          <cell r="O2979">
            <v>0</v>
          </cell>
        </row>
        <row r="2980">
          <cell r="N2980">
            <v>4.2352200000000009</v>
          </cell>
          <cell r="O2980">
            <v>0</v>
          </cell>
        </row>
        <row r="2981">
          <cell r="N2981">
            <v>124.57260000000001</v>
          </cell>
          <cell r="O2981">
            <v>0</v>
          </cell>
        </row>
        <row r="2982">
          <cell r="N2982">
            <v>17.934480000000001</v>
          </cell>
          <cell r="O2982">
            <v>0</v>
          </cell>
        </row>
        <row r="2983">
          <cell r="N2983">
            <v>4.5626249999999997</v>
          </cell>
          <cell r="O2983">
            <v>0</v>
          </cell>
        </row>
        <row r="2984">
          <cell r="N2984">
            <v>19.402799999999999</v>
          </cell>
          <cell r="O2984">
            <v>0</v>
          </cell>
        </row>
        <row r="2985">
          <cell r="N2985">
            <v>0</v>
          </cell>
          <cell r="O2985">
            <v>0</v>
          </cell>
        </row>
        <row r="2986">
          <cell r="N2986">
            <v>3.9528720000000002</v>
          </cell>
          <cell r="O2986">
            <v>0</v>
          </cell>
        </row>
        <row r="2987">
          <cell r="N2987">
            <v>59.78159999999999</v>
          </cell>
          <cell r="O2987">
            <v>85.366799999999998</v>
          </cell>
        </row>
        <row r="2988">
          <cell r="N2988">
            <v>19.927199999999999</v>
          </cell>
          <cell r="O2988">
            <v>0</v>
          </cell>
        </row>
        <row r="2989">
          <cell r="N2989">
            <v>59.78159999999999</v>
          </cell>
          <cell r="O2989">
            <v>85.366799999999998</v>
          </cell>
        </row>
        <row r="2990">
          <cell r="N2990">
            <v>0</v>
          </cell>
          <cell r="O2990">
            <v>0</v>
          </cell>
        </row>
        <row r="2991">
          <cell r="N2991">
            <v>0</v>
          </cell>
          <cell r="O2991">
            <v>0</v>
          </cell>
        </row>
        <row r="2992">
          <cell r="N2992">
            <v>0</v>
          </cell>
          <cell r="O2992">
            <v>0</v>
          </cell>
        </row>
        <row r="2993">
          <cell r="N2993">
            <v>45.629584999999992</v>
          </cell>
          <cell r="O2993">
            <v>0</v>
          </cell>
        </row>
        <row r="2994">
          <cell r="N2994">
            <v>15.607569999999999</v>
          </cell>
          <cell r="O2994">
            <v>0</v>
          </cell>
        </row>
        <row r="2995">
          <cell r="N2995">
            <v>15.62712</v>
          </cell>
          <cell r="O2995">
            <v>0</v>
          </cell>
        </row>
        <row r="2996">
          <cell r="N2996">
            <v>29.576159999999998</v>
          </cell>
          <cell r="O2996">
            <v>0</v>
          </cell>
        </row>
        <row r="2997">
          <cell r="N2997">
            <v>67.752479999999991</v>
          </cell>
          <cell r="O2997">
            <v>96.749039999999994</v>
          </cell>
        </row>
        <row r="2998">
          <cell r="N2998">
            <v>53.803440000000002</v>
          </cell>
          <cell r="O2998">
            <v>76.830119999999994</v>
          </cell>
        </row>
        <row r="2999">
          <cell r="N2999">
            <v>71.161999999999992</v>
          </cell>
          <cell r="O2999">
            <v>0</v>
          </cell>
        </row>
        <row r="3000">
          <cell r="N3000">
            <v>43.849959999999996</v>
          </cell>
          <cell r="O3000">
            <v>0</v>
          </cell>
        </row>
        <row r="3001">
          <cell r="N3001">
            <v>43.780499999999996</v>
          </cell>
          <cell r="O3001">
            <v>0</v>
          </cell>
        </row>
        <row r="3002">
          <cell r="N3002">
            <v>3.7960120000000002</v>
          </cell>
          <cell r="O3002">
            <v>0</v>
          </cell>
        </row>
        <row r="3003">
          <cell r="N3003">
            <v>3.7960120000000002</v>
          </cell>
          <cell r="O3003">
            <v>0</v>
          </cell>
        </row>
        <row r="3004">
          <cell r="N3004">
            <v>19.079649999999997</v>
          </cell>
          <cell r="O3004">
            <v>0</v>
          </cell>
        </row>
        <row r="3005">
          <cell r="N3005">
            <v>27.685789999999997</v>
          </cell>
          <cell r="O3005">
            <v>0</v>
          </cell>
        </row>
        <row r="3006">
          <cell r="N3006">
            <v>3.5132499999999993</v>
          </cell>
          <cell r="O3006">
            <v>0</v>
          </cell>
        </row>
        <row r="3007">
          <cell r="N3007">
            <v>3.7294499999999995</v>
          </cell>
          <cell r="O3007">
            <v>0</v>
          </cell>
        </row>
        <row r="3008">
          <cell r="N3008">
            <v>3.7294499999999995</v>
          </cell>
          <cell r="O3008">
            <v>0</v>
          </cell>
        </row>
        <row r="3009">
          <cell r="N3009">
            <v>52.104199999999999</v>
          </cell>
          <cell r="O3009">
            <v>0</v>
          </cell>
        </row>
        <row r="3010">
          <cell r="N3010">
            <v>8.94102</v>
          </cell>
          <cell r="O3010">
            <v>0</v>
          </cell>
        </row>
        <row r="3011">
          <cell r="N3011">
            <v>3.6077800000000004</v>
          </cell>
          <cell r="O3011">
            <v>0</v>
          </cell>
        </row>
        <row r="3012">
          <cell r="N3012">
            <v>52.378934999999998</v>
          </cell>
          <cell r="O3012">
            <v>0</v>
          </cell>
        </row>
        <row r="3013">
          <cell r="N3013">
            <v>139.9205</v>
          </cell>
          <cell r="O3013">
            <v>0</v>
          </cell>
        </row>
        <row r="3014">
          <cell r="N3014">
            <v>41.445999999999998</v>
          </cell>
          <cell r="O3014">
            <v>0</v>
          </cell>
        </row>
        <row r="3015">
          <cell r="N3015">
            <v>0</v>
          </cell>
          <cell r="O3015">
            <v>0</v>
          </cell>
        </row>
        <row r="3016">
          <cell r="N3016">
            <v>14.743575</v>
          </cell>
          <cell r="O3016">
            <v>0</v>
          </cell>
        </row>
        <row r="3017">
          <cell r="N3017">
            <v>0</v>
          </cell>
          <cell r="O3017">
            <v>0</v>
          </cell>
        </row>
        <row r="3018">
          <cell r="N3018">
            <v>0</v>
          </cell>
          <cell r="O3018">
            <v>0</v>
          </cell>
        </row>
        <row r="3019">
          <cell r="N3019">
            <v>8.1253480000000007</v>
          </cell>
          <cell r="O3019">
            <v>0</v>
          </cell>
        </row>
        <row r="3020">
          <cell r="N3020">
            <v>8.1253480000000007</v>
          </cell>
          <cell r="O3020">
            <v>0</v>
          </cell>
        </row>
        <row r="3021">
          <cell r="N3021">
            <v>8.1253480000000007</v>
          </cell>
          <cell r="O3021">
            <v>0</v>
          </cell>
        </row>
        <row r="3022">
          <cell r="N3022">
            <v>63.889400000000002</v>
          </cell>
          <cell r="O3022">
            <v>0</v>
          </cell>
        </row>
        <row r="3023">
          <cell r="N3023">
            <v>32.531199999999998</v>
          </cell>
          <cell r="O3023">
            <v>0</v>
          </cell>
        </row>
        <row r="3024">
          <cell r="N3024">
            <v>20.175599999999999</v>
          </cell>
          <cell r="O3024">
            <v>0</v>
          </cell>
        </row>
        <row r="3025">
          <cell r="N3025">
            <v>20.331999999999997</v>
          </cell>
          <cell r="O3025">
            <v>0</v>
          </cell>
        </row>
        <row r="3026">
          <cell r="N3026">
            <v>20.331999999999997</v>
          </cell>
          <cell r="O3026">
            <v>0</v>
          </cell>
        </row>
        <row r="3027">
          <cell r="N3027">
            <v>20.331999999999997</v>
          </cell>
          <cell r="O3027">
            <v>0</v>
          </cell>
        </row>
        <row r="3028">
          <cell r="N3028">
            <v>20.331999999999997</v>
          </cell>
          <cell r="O3028">
            <v>0</v>
          </cell>
        </row>
        <row r="3029">
          <cell r="N3029">
            <v>20.331999999999997</v>
          </cell>
          <cell r="O3029">
            <v>0</v>
          </cell>
        </row>
        <row r="3030">
          <cell r="N3030">
            <v>22.4434</v>
          </cell>
          <cell r="O3030">
            <v>0</v>
          </cell>
        </row>
        <row r="3031">
          <cell r="N3031">
            <v>18.676345000000001</v>
          </cell>
          <cell r="O3031">
            <v>0</v>
          </cell>
        </row>
        <row r="3032">
          <cell r="N3032">
            <v>10.697759999999999</v>
          </cell>
          <cell r="O3032">
            <v>0</v>
          </cell>
        </row>
        <row r="3033">
          <cell r="N3033">
            <v>12.690479999999999</v>
          </cell>
          <cell r="O3033">
            <v>0</v>
          </cell>
        </row>
        <row r="3034">
          <cell r="N3034">
            <v>75.617904999999993</v>
          </cell>
          <cell r="O3034">
            <v>0</v>
          </cell>
        </row>
        <row r="3035">
          <cell r="N3035">
            <v>28.227439999999998</v>
          </cell>
          <cell r="O3035">
            <v>0</v>
          </cell>
        </row>
        <row r="3036">
          <cell r="N3036">
            <v>10.461319999999999</v>
          </cell>
          <cell r="O3036">
            <v>0</v>
          </cell>
        </row>
        <row r="3037">
          <cell r="N3037">
            <v>21.778929999999995</v>
          </cell>
          <cell r="O3037">
            <v>0</v>
          </cell>
        </row>
        <row r="3038">
          <cell r="N3038">
            <v>24.820679999999996</v>
          </cell>
          <cell r="O3038">
            <v>0</v>
          </cell>
        </row>
        <row r="3039">
          <cell r="N3039">
            <v>582.51179999999999</v>
          </cell>
          <cell r="O3039">
            <v>0</v>
          </cell>
        </row>
        <row r="3040">
          <cell r="N3040">
            <v>68.112200000000001</v>
          </cell>
          <cell r="O3040">
            <v>0</v>
          </cell>
        </row>
        <row r="3041">
          <cell r="N3041">
            <v>17.986000000000001</v>
          </cell>
          <cell r="O3041">
            <v>0</v>
          </cell>
        </row>
        <row r="3042">
          <cell r="N3042">
            <v>2.5654199999999996</v>
          </cell>
          <cell r="O3042">
            <v>0</v>
          </cell>
        </row>
        <row r="3043">
          <cell r="N3043">
            <v>15.62712</v>
          </cell>
          <cell r="O3043">
            <v>0</v>
          </cell>
        </row>
        <row r="3044">
          <cell r="N3044">
            <v>29.785919999999997</v>
          </cell>
          <cell r="O3044">
            <v>0</v>
          </cell>
        </row>
        <row r="3045">
          <cell r="N3045">
            <v>5.207752000000001</v>
          </cell>
          <cell r="O3045">
            <v>0</v>
          </cell>
        </row>
        <row r="3046">
          <cell r="N3046">
            <v>60.777959999999986</v>
          </cell>
          <cell r="O3046">
            <v>86.789580000000001</v>
          </cell>
        </row>
        <row r="3047">
          <cell r="N3047">
            <v>19.927199999999999</v>
          </cell>
          <cell r="O3047">
            <v>0</v>
          </cell>
        </row>
        <row r="3048">
          <cell r="N3048">
            <v>60.777959999999986</v>
          </cell>
          <cell r="O3048">
            <v>86.789580000000001</v>
          </cell>
        </row>
        <row r="3049">
          <cell r="N3049">
            <v>0</v>
          </cell>
          <cell r="O3049">
            <v>0</v>
          </cell>
        </row>
        <row r="3050">
          <cell r="N3050">
            <v>0</v>
          </cell>
          <cell r="O3050">
            <v>0</v>
          </cell>
        </row>
        <row r="3051">
          <cell r="N3051">
            <v>0</v>
          </cell>
          <cell r="O3051">
            <v>0</v>
          </cell>
        </row>
        <row r="3052">
          <cell r="N3052">
            <v>70.458199999999991</v>
          </cell>
          <cell r="O3052">
            <v>0</v>
          </cell>
        </row>
        <row r="3053">
          <cell r="N3053">
            <v>2.5712505000000001</v>
          </cell>
          <cell r="O3053">
            <v>0</v>
          </cell>
        </row>
        <row r="3054">
          <cell r="N3054">
            <v>0</v>
          </cell>
          <cell r="O3054">
            <v>0</v>
          </cell>
        </row>
        <row r="3055">
          <cell r="N3055">
            <v>0</v>
          </cell>
          <cell r="O3055">
            <v>0</v>
          </cell>
        </row>
        <row r="3056">
          <cell r="N3056">
            <v>3.9008000000000003</v>
          </cell>
          <cell r="O3056">
            <v>0</v>
          </cell>
        </row>
        <row r="3057">
          <cell r="N3057">
            <v>3.1685720000000002</v>
          </cell>
          <cell r="O3057">
            <v>0</v>
          </cell>
        </row>
        <row r="3058">
          <cell r="N3058">
            <v>15.62712</v>
          </cell>
          <cell r="O3058">
            <v>0</v>
          </cell>
        </row>
        <row r="3059">
          <cell r="N3059">
            <v>29.576159999999998</v>
          </cell>
          <cell r="O3059">
            <v>0</v>
          </cell>
        </row>
        <row r="3060">
          <cell r="N3060">
            <v>67.752479999999991</v>
          </cell>
          <cell r="O3060">
            <v>96.749039999999994</v>
          </cell>
        </row>
        <row r="3061">
          <cell r="N3061">
            <v>53.803440000000002</v>
          </cell>
          <cell r="O3061">
            <v>76.830119999999994</v>
          </cell>
        </row>
        <row r="3062">
          <cell r="N3062">
            <v>5.1101399999999995</v>
          </cell>
          <cell r="O3062">
            <v>0</v>
          </cell>
        </row>
        <row r="3063">
          <cell r="N3063">
            <v>19.467199999999998</v>
          </cell>
          <cell r="O3063">
            <v>0</v>
          </cell>
        </row>
        <row r="3064">
          <cell r="N3064">
            <v>63.498400000000004</v>
          </cell>
          <cell r="O3064">
            <v>0</v>
          </cell>
        </row>
        <row r="3065">
          <cell r="N3065">
            <v>62.56</v>
          </cell>
          <cell r="O3065">
            <v>0</v>
          </cell>
        </row>
        <row r="3066">
          <cell r="N3066">
            <v>62.56</v>
          </cell>
          <cell r="O3066">
            <v>0</v>
          </cell>
        </row>
        <row r="3067">
          <cell r="N3067">
            <v>62.56</v>
          </cell>
          <cell r="O3067">
            <v>0</v>
          </cell>
        </row>
        <row r="3068">
          <cell r="N3068">
            <v>27.291799999999999</v>
          </cell>
          <cell r="O3068">
            <v>0</v>
          </cell>
        </row>
        <row r="3069">
          <cell r="N3069">
            <v>13.215799999999998</v>
          </cell>
          <cell r="O3069">
            <v>0</v>
          </cell>
        </row>
        <row r="3070">
          <cell r="N3070">
            <v>50.908199999999994</v>
          </cell>
          <cell r="O3070">
            <v>0</v>
          </cell>
        </row>
        <row r="3071">
          <cell r="N3071">
            <v>128.84853000000001</v>
          </cell>
          <cell r="O3071">
            <v>0</v>
          </cell>
        </row>
        <row r="3072">
          <cell r="N3072">
            <v>60.292199999999994</v>
          </cell>
          <cell r="O3072">
            <v>0</v>
          </cell>
        </row>
        <row r="3073">
          <cell r="N3073">
            <v>41.445999999999998</v>
          </cell>
          <cell r="O3073">
            <v>0</v>
          </cell>
        </row>
        <row r="3074">
          <cell r="N3074">
            <v>0</v>
          </cell>
          <cell r="O3074">
            <v>0</v>
          </cell>
        </row>
        <row r="3075">
          <cell r="N3075">
            <v>9.8773499999999981</v>
          </cell>
          <cell r="O3075">
            <v>0</v>
          </cell>
        </row>
        <row r="3076">
          <cell r="N3076">
            <v>0</v>
          </cell>
          <cell r="O3076">
            <v>0</v>
          </cell>
        </row>
        <row r="3077">
          <cell r="N3077">
            <v>0</v>
          </cell>
          <cell r="O3077">
            <v>0</v>
          </cell>
        </row>
        <row r="3078">
          <cell r="N3078">
            <v>8.1253480000000007</v>
          </cell>
          <cell r="O3078">
            <v>0</v>
          </cell>
        </row>
        <row r="3079">
          <cell r="N3079">
            <v>8.1253480000000007</v>
          </cell>
          <cell r="O3079">
            <v>0</v>
          </cell>
        </row>
        <row r="3080">
          <cell r="N3080">
            <v>8.1253480000000007</v>
          </cell>
          <cell r="O3080">
            <v>0</v>
          </cell>
        </row>
        <row r="3081">
          <cell r="N3081">
            <v>20.175599999999999</v>
          </cell>
          <cell r="O3081">
            <v>0</v>
          </cell>
        </row>
        <row r="3082">
          <cell r="N3082">
            <v>31.749200000000002</v>
          </cell>
          <cell r="O3082">
            <v>0</v>
          </cell>
        </row>
        <row r="3083">
          <cell r="N3083">
            <v>20.331999999999997</v>
          </cell>
          <cell r="O3083">
            <v>0</v>
          </cell>
        </row>
        <row r="3084">
          <cell r="N3084">
            <v>20.253800000000002</v>
          </cell>
          <cell r="O3084">
            <v>0</v>
          </cell>
        </row>
        <row r="3085">
          <cell r="N3085">
            <v>20.253800000000002</v>
          </cell>
          <cell r="O3085">
            <v>0</v>
          </cell>
        </row>
        <row r="3086">
          <cell r="N3086">
            <v>20.331999999999997</v>
          </cell>
          <cell r="O3086">
            <v>0</v>
          </cell>
        </row>
        <row r="3087">
          <cell r="N3087">
            <v>20.331999999999997</v>
          </cell>
          <cell r="O3087">
            <v>0</v>
          </cell>
        </row>
        <row r="3088">
          <cell r="N3088">
            <v>20.331999999999997</v>
          </cell>
          <cell r="O3088">
            <v>0</v>
          </cell>
        </row>
        <row r="3089">
          <cell r="N3089">
            <v>21.583199999999998</v>
          </cell>
          <cell r="O3089">
            <v>0</v>
          </cell>
        </row>
        <row r="3090">
          <cell r="N3090">
            <v>38.071439999999988</v>
          </cell>
          <cell r="O3090">
            <v>0</v>
          </cell>
        </row>
        <row r="3091">
          <cell r="N3091">
            <v>156.58584000000002</v>
          </cell>
          <cell r="O3091">
            <v>0</v>
          </cell>
        </row>
        <row r="3092">
          <cell r="N3092">
            <v>54.852239999999995</v>
          </cell>
          <cell r="O3092">
            <v>0</v>
          </cell>
        </row>
        <row r="3093">
          <cell r="N3093">
            <v>14.57832</v>
          </cell>
          <cell r="O3093">
            <v>0</v>
          </cell>
        </row>
        <row r="3094">
          <cell r="N3094">
            <v>10.461319999999999</v>
          </cell>
          <cell r="O3094">
            <v>0</v>
          </cell>
        </row>
        <row r="3095">
          <cell r="N3095">
            <v>620.82979999999998</v>
          </cell>
          <cell r="O3095">
            <v>0</v>
          </cell>
        </row>
        <row r="3096">
          <cell r="N3096">
            <v>0</v>
          </cell>
          <cell r="O3096">
            <v>0</v>
          </cell>
        </row>
        <row r="3097">
          <cell r="N3097">
            <v>0</v>
          </cell>
          <cell r="O3097">
            <v>0</v>
          </cell>
        </row>
        <row r="3098">
          <cell r="N3098">
            <v>0</v>
          </cell>
          <cell r="O3098">
            <v>0</v>
          </cell>
        </row>
        <row r="3099">
          <cell r="N3099">
            <v>81.975035999999989</v>
          </cell>
          <cell r="O3099">
            <v>0</v>
          </cell>
        </row>
        <row r="3100">
          <cell r="N3100">
            <v>7.2155600000000009</v>
          </cell>
          <cell r="O3100">
            <v>0</v>
          </cell>
        </row>
        <row r="3101">
          <cell r="N3101">
            <v>17.026669999999999</v>
          </cell>
          <cell r="O3101">
            <v>0</v>
          </cell>
        </row>
        <row r="3102">
          <cell r="N3102">
            <v>15.62712</v>
          </cell>
          <cell r="O3102">
            <v>0</v>
          </cell>
        </row>
        <row r="3103">
          <cell r="N3103">
            <v>29.502743999999996</v>
          </cell>
          <cell r="O3103">
            <v>0</v>
          </cell>
        </row>
        <row r="3104">
          <cell r="N3104">
            <v>5.207752000000001</v>
          </cell>
          <cell r="O3104">
            <v>0</v>
          </cell>
        </row>
        <row r="3105">
          <cell r="N3105">
            <v>60.777959999999986</v>
          </cell>
          <cell r="O3105">
            <v>86.789580000000001</v>
          </cell>
        </row>
        <row r="3106">
          <cell r="N3106">
            <v>19.927199999999999</v>
          </cell>
          <cell r="O3106">
            <v>0</v>
          </cell>
        </row>
        <row r="3107">
          <cell r="N3107">
            <v>60.777959999999986</v>
          </cell>
          <cell r="O3107">
            <v>86.789580000000001</v>
          </cell>
        </row>
        <row r="3108">
          <cell r="N3108">
            <v>0</v>
          </cell>
          <cell r="O3108">
            <v>0</v>
          </cell>
        </row>
        <row r="3109">
          <cell r="N3109">
            <v>0</v>
          </cell>
          <cell r="O3109">
            <v>0</v>
          </cell>
        </row>
        <row r="3110">
          <cell r="N3110">
            <v>0</v>
          </cell>
          <cell r="O3110">
            <v>0</v>
          </cell>
        </row>
        <row r="3111">
          <cell r="N3111">
            <v>84.610284000000007</v>
          </cell>
          <cell r="O3111">
            <v>0</v>
          </cell>
        </row>
        <row r="3112">
          <cell r="N3112">
            <v>0</v>
          </cell>
          <cell r="O3112">
            <v>0</v>
          </cell>
        </row>
        <row r="3113">
          <cell r="N3113">
            <v>0</v>
          </cell>
          <cell r="O3113">
            <v>0</v>
          </cell>
        </row>
        <row r="3114">
          <cell r="N3114">
            <v>1.0361499999999999</v>
          </cell>
          <cell r="O3114">
            <v>0</v>
          </cell>
        </row>
        <row r="3115">
          <cell r="N3115">
            <v>7.7645700000000009</v>
          </cell>
          <cell r="O3115">
            <v>0</v>
          </cell>
        </row>
        <row r="3116">
          <cell r="N3116">
            <v>15.62712</v>
          </cell>
          <cell r="O3116">
            <v>0</v>
          </cell>
        </row>
        <row r="3117">
          <cell r="N3117">
            <v>29.47128</v>
          </cell>
          <cell r="O3117">
            <v>0</v>
          </cell>
        </row>
        <row r="3118">
          <cell r="N3118">
            <v>65.759759999999986</v>
          </cell>
          <cell r="O3118">
            <v>93.903479999999988</v>
          </cell>
        </row>
        <row r="3119">
          <cell r="N3119">
            <v>52.807079999999992</v>
          </cell>
          <cell r="O3119">
            <v>75.407340000000005</v>
          </cell>
        </row>
        <row r="3120">
          <cell r="N3120">
            <v>42.262499999999996</v>
          </cell>
          <cell r="O3120">
            <v>0</v>
          </cell>
        </row>
        <row r="3121">
          <cell r="N3121">
            <v>51.857915999999996</v>
          </cell>
          <cell r="O3121">
            <v>0</v>
          </cell>
        </row>
        <row r="3122">
          <cell r="N3122">
            <v>74.257524000000004</v>
          </cell>
          <cell r="O3122">
            <v>0</v>
          </cell>
        </row>
        <row r="3123">
          <cell r="N3123">
            <v>3.69265</v>
          </cell>
          <cell r="O3123">
            <v>0</v>
          </cell>
        </row>
        <row r="3124">
          <cell r="N3124">
            <v>8.5753199999999978</v>
          </cell>
          <cell r="O3124">
            <v>0</v>
          </cell>
        </row>
        <row r="3125">
          <cell r="N3125">
            <v>8.6852599999999995</v>
          </cell>
          <cell r="O3125">
            <v>0</v>
          </cell>
        </row>
        <row r="3126">
          <cell r="N3126">
            <v>0</v>
          </cell>
          <cell r="O3126">
            <v>0</v>
          </cell>
        </row>
        <row r="3127">
          <cell r="N3127">
            <v>51.010871999999999</v>
          </cell>
          <cell r="O3127">
            <v>0</v>
          </cell>
        </row>
        <row r="3128">
          <cell r="N3128">
            <v>49.881479999999996</v>
          </cell>
          <cell r="O3128">
            <v>0</v>
          </cell>
        </row>
        <row r="3129">
          <cell r="N3129">
            <v>49.881479999999996</v>
          </cell>
          <cell r="O3129">
            <v>0</v>
          </cell>
        </row>
        <row r="3130">
          <cell r="N3130">
            <v>49.881479999999996</v>
          </cell>
          <cell r="O3130">
            <v>0</v>
          </cell>
        </row>
        <row r="3131">
          <cell r="N3131">
            <v>3.2626880000000003</v>
          </cell>
          <cell r="O3131">
            <v>0</v>
          </cell>
        </row>
        <row r="3132">
          <cell r="N3132">
            <v>8.15672</v>
          </cell>
          <cell r="O3132">
            <v>0</v>
          </cell>
        </row>
        <row r="3133">
          <cell r="N3133">
            <v>31.024699999999996</v>
          </cell>
          <cell r="O3133">
            <v>0</v>
          </cell>
        </row>
        <row r="3134">
          <cell r="N3134">
            <v>49.881479999999996</v>
          </cell>
          <cell r="O3134">
            <v>0</v>
          </cell>
        </row>
        <row r="3135">
          <cell r="N3135">
            <v>49.881479999999996</v>
          </cell>
          <cell r="O3135">
            <v>0</v>
          </cell>
        </row>
        <row r="3136">
          <cell r="N3136">
            <v>49.128551999999999</v>
          </cell>
          <cell r="O3136">
            <v>0</v>
          </cell>
        </row>
        <row r="3137">
          <cell r="N3137">
            <v>48.281507999999995</v>
          </cell>
          <cell r="O3137">
            <v>0</v>
          </cell>
        </row>
        <row r="3138">
          <cell r="N3138">
            <v>49.787363999999997</v>
          </cell>
          <cell r="O3138">
            <v>0</v>
          </cell>
        </row>
        <row r="3139">
          <cell r="N3139">
            <v>223.62945999999999</v>
          </cell>
          <cell r="O3139">
            <v>0</v>
          </cell>
        </row>
        <row r="3140">
          <cell r="N3140">
            <v>29.186999999999998</v>
          </cell>
          <cell r="O3140">
            <v>0</v>
          </cell>
        </row>
        <row r="3141">
          <cell r="N3141">
            <v>8.1567200000000017</v>
          </cell>
          <cell r="O3141">
            <v>0</v>
          </cell>
        </row>
        <row r="3142">
          <cell r="N3142">
            <v>28.538399999999996</v>
          </cell>
          <cell r="O3142">
            <v>0</v>
          </cell>
        </row>
        <row r="3143">
          <cell r="N3143">
            <v>0</v>
          </cell>
          <cell r="O3143">
            <v>0</v>
          </cell>
        </row>
        <row r="3144">
          <cell r="N3144">
            <v>15.20875</v>
          </cell>
          <cell r="O3144">
            <v>0</v>
          </cell>
        </row>
        <row r="3145">
          <cell r="N3145">
            <v>0</v>
          </cell>
          <cell r="O3145">
            <v>0</v>
          </cell>
        </row>
        <row r="3146">
          <cell r="N3146">
            <v>0</v>
          </cell>
          <cell r="O3146">
            <v>0</v>
          </cell>
        </row>
        <row r="3147">
          <cell r="N3147">
            <v>13.566549999999999</v>
          </cell>
          <cell r="O3147">
            <v>0</v>
          </cell>
        </row>
        <row r="3148">
          <cell r="N3148">
            <v>13.566549999999999</v>
          </cell>
          <cell r="O3148">
            <v>0</v>
          </cell>
        </row>
        <row r="3149">
          <cell r="N3149">
            <v>59.941449999999989</v>
          </cell>
          <cell r="O3149">
            <v>0</v>
          </cell>
        </row>
        <row r="3150">
          <cell r="N3150">
            <v>31.749200000000002</v>
          </cell>
          <cell r="O3150">
            <v>0</v>
          </cell>
        </row>
        <row r="3151">
          <cell r="N3151">
            <v>43.131899999999987</v>
          </cell>
          <cell r="O3151">
            <v>0</v>
          </cell>
        </row>
        <row r="3152">
          <cell r="N3152">
            <v>8.1253480000000007</v>
          </cell>
          <cell r="O3152">
            <v>0</v>
          </cell>
        </row>
        <row r="3153">
          <cell r="N3153">
            <v>43.888599999999997</v>
          </cell>
          <cell r="O3153">
            <v>0</v>
          </cell>
        </row>
        <row r="3154">
          <cell r="N3154">
            <v>0</v>
          </cell>
          <cell r="O3154">
            <v>0</v>
          </cell>
        </row>
        <row r="3155">
          <cell r="N3155">
            <v>0</v>
          </cell>
          <cell r="O3155">
            <v>0</v>
          </cell>
        </row>
        <row r="3156">
          <cell r="N3156">
            <v>0</v>
          </cell>
          <cell r="O3156">
            <v>0</v>
          </cell>
        </row>
        <row r="3157">
          <cell r="N3157">
            <v>5.207752000000001</v>
          </cell>
          <cell r="O3157">
            <v>0</v>
          </cell>
        </row>
        <row r="3158">
          <cell r="N3158">
            <v>42.540800000000004</v>
          </cell>
          <cell r="O3158">
            <v>0</v>
          </cell>
        </row>
        <row r="3159">
          <cell r="N3159">
            <v>61.308799999999998</v>
          </cell>
          <cell r="O3159">
            <v>0</v>
          </cell>
        </row>
        <row r="3160">
          <cell r="N3160">
            <v>58.373999999999995</v>
          </cell>
          <cell r="O3160">
            <v>0</v>
          </cell>
        </row>
        <row r="3161">
          <cell r="N3161">
            <v>38.91599999999999</v>
          </cell>
          <cell r="O3161">
            <v>0</v>
          </cell>
        </row>
        <row r="3162">
          <cell r="N3162">
            <v>526.89193499999999</v>
          </cell>
          <cell r="O3162">
            <v>0</v>
          </cell>
        </row>
        <row r="3163">
          <cell r="N3163">
            <v>0</v>
          </cell>
          <cell r="O3163">
            <v>0</v>
          </cell>
        </row>
        <row r="3164">
          <cell r="N3164">
            <v>0</v>
          </cell>
          <cell r="O3164">
            <v>0</v>
          </cell>
        </row>
        <row r="3165">
          <cell r="N3165">
            <v>0</v>
          </cell>
          <cell r="O3165">
            <v>0</v>
          </cell>
        </row>
        <row r="3166">
          <cell r="N3166">
            <v>0</v>
          </cell>
          <cell r="O3166">
            <v>0</v>
          </cell>
        </row>
        <row r="3167">
          <cell r="N3167">
            <v>68.112200000000001</v>
          </cell>
          <cell r="O3167">
            <v>0</v>
          </cell>
        </row>
        <row r="3168">
          <cell r="N3168">
            <v>17.986000000000001</v>
          </cell>
          <cell r="O3168">
            <v>0</v>
          </cell>
        </row>
        <row r="3169">
          <cell r="N3169">
            <v>5.678332000000001</v>
          </cell>
          <cell r="O3169">
            <v>0</v>
          </cell>
        </row>
        <row r="3170">
          <cell r="N3170">
            <v>15.62712</v>
          </cell>
          <cell r="O3170">
            <v>0</v>
          </cell>
        </row>
        <row r="3171">
          <cell r="N3171">
            <v>29.47128</v>
          </cell>
          <cell r="O3171">
            <v>0</v>
          </cell>
        </row>
        <row r="3172">
          <cell r="N3172">
            <v>60.777959999999986</v>
          </cell>
          <cell r="O3172">
            <v>86.789580000000001</v>
          </cell>
        </row>
        <row r="3173">
          <cell r="N3173">
            <v>19.927199999999999</v>
          </cell>
          <cell r="O3173">
            <v>0</v>
          </cell>
        </row>
        <row r="3174">
          <cell r="N3174">
            <v>60.777959999999986</v>
          </cell>
          <cell r="O3174">
            <v>86.789580000000001</v>
          </cell>
        </row>
        <row r="3175">
          <cell r="N3175">
            <v>0</v>
          </cell>
          <cell r="O3175">
            <v>0</v>
          </cell>
        </row>
        <row r="3176">
          <cell r="N3176">
            <v>0</v>
          </cell>
          <cell r="O3176">
            <v>0</v>
          </cell>
        </row>
        <row r="3177">
          <cell r="N3177">
            <v>0</v>
          </cell>
          <cell r="O3177">
            <v>0</v>
          </cell>
        </row>
        <row r="3178">
          <cell r="N3178">
            <v>69.910800000000009</v>
          </cell>
          <cell r="O3178">
            <v>0</v>
          </cell>
        </row>
        <row r="3179">
          <cell r="N3179">
            <v>2.5712505000000001</v>
          </cell>
          <cell r="O3179">
            <v>0</v>
          </cell>
        </row>
        <row r="3180">
          <cell r="N3180">
            <v>0</v>
          </cell>
          <cell r="O3180">
            <v>0</v>
          </cell>
        </row>
        <row r="3181">
          <cell r="N3181">
            <v>0</v>
          </cell>
          <cell r="O3181">
            <v>0</v>
          </cell>
        </row>
        <row r="3182">
          <cell r="N3182">
            <v>1.2438400000000001</v>
          </cell>
          <cell r="O3182">
            <v>0</v>
          </cell>
        </row>
        <row r="3183">
          <cell r="N3183">
            <v>2.0391800000000004</v>
          </cell>
          <cell r="O3183">
            <v>0</v>
          </cell>
        </row>
        <row r="3184">
          <cell r="N3184">
            <v>15.62712</v>
          </cell>
          <cell r="O3184">
            <v>0</v>
          </cell>
        </row>
        <row r="3185">
          <cell r="N3185">
            <v>29.47128</v>
          </cell>
          <cell r="O3185">
            <v>0</v>
          </cell>
        </row>
        <row r="3186">
          <cell r="N3186">
            <v>67.752479999999991</v>
          </cell>
          <cell r="O3186">
            <v>96.749039999999994</v>
          </cell>
        </row>
        <row r="3187">
          <cell r="N3187">
            <v>53.803440000000002</v>
          </cell>
          <cell r="O3187">
            <v>76.830119999999994</v>
          </cell>
        </row>
        <row r="3188">
          <cell r="N3188">
            <v>6.0861679999999998</v>
          </cell>
          <cell r="O3188">
            <v>0</v>
          </cell>
        </row>
        <row r="3189">
          <cell r="N3189">
            <v>3.5764080000000007</v>
          </cell>
          <cell r="O3189">
            <v>0</v>
          </cell>
        </row>
        <row r="3190">
          <cell r="N3190">
            <v>3.5764080000000007</v>
          </cell>
          <cell r="O3190">
            <v>0</v>
          </cell>
        </row>
        <row r="3191">
          <cell r="N3191">
            <v>5.1136360000000014</v>
          </cell>
          <cell r="O3191">
            <v>0</v>
          </cell>
        </row>
        <row r="3192">
          <cell r="N3192">
            <v>0</v>
          </cell>
          <cell r="O3192">
            <v>0</v>
          </cell>
        </row>
        <row r="3193">
          <cell r="N3193">
            <v>6.9724499999999994</v>
          </cell>
          <cell r="O3193">
            <v>0</v>
          </cell>
        </row>
        <row r="3194">
          <cell r="N3194">
            <v>43.348100000000002</v>
          </cell>
          <cell r="O3194">
            <v>0</v>
          </cell>
        </row>
        <row r="3195">
          <cell r="N3195">
            <v>3.8273840000000003</v>
          </cell>
          <cell r="O3195">
            <v>0</v>
          </cell>
        </row>
        <row r="3196">
          <cell r="N3196">
            <v>5.2391239999999994</v>
          </cell>
          <cell r="O3196">
            <v>0</v>
          </cell>
        </row>
        <row r="3197">
          <cell r="N3197">
            <v>5.2391239999999994</v>
          </cell>
          <cell r="O3197">
            <v>0</v>
          </cell>
        </row>
        <row r="3198">
          <cell r="N3198">
            <v>3.8273840000000003</v>
          </cell>
          <cell r="O3198">
            <v>0</v>
          </cell>
        </row>
        <row r="3199">
          <cell r="N3199">
            <v>38.159299999999995</v>
          </cell>
          <cell r="O3199">
            <v>0</v>
          </cell>
        </row>
        <row r="3200">
          <cell r="N3200">
            <v>4.0469879999999998</v>
          </cell>
          <cell r="O3200">
            <v>0</v>
          </cell>
        </row>
        <row r="3201">
          <cell r="N3201">
            <v>3.2313160000000005</v>
          </cell>
          <cell r="O3201">
            <v>0</v>
          </cell>
        </row>
        <row r="3202">
          <cell r="N3202">
            <v>3.2313160000000005</v>
          </cell>
          <cell r="O3202">
            <v>0</v>
          </cell>
        </row>
        <row r="3203">
          <cell r="N3203">
            <v>7.9998600000000009</v>
          </cell>
          <cell r="O3203">
            <v>0</v>
          </cell>
        </row>
        <row r="3204">
          <cell r="N3204">
            <v>30.754449999999995</v>
          </cell>
          <cell r="O3204">
            <v>0</v>
          </cell>
        </row>
        <row r="3205">
          <cell r="N3205">
            <v>6.58812</v>
          </cell>
          <cell r="O3205">
            <v>0</v>
          </cell>
        </row>
        <row r="3206">
          <cell r="N3206">
            <v>6.9724499999999994</v>
          </cell>
          <cell r="O3206">
            <v>0</v>
          </cell>
        </row>
        <row r="3207">
          <cell r="N3207">
            <v>30.754449999999995</v>
          </cell>
          <cell r="O3207">
            <v>0</v>
          </cell>
        </row>
        <row r="3208">
          <cell r="N3208">
            <v>3.8273840000000003</v>
          </cell>
          <cell r="O3208">
            <v>0</v>
          </cell>
        </row>
        <row r="3209">
          <cell r="N3209">
            <v>4.8940320000000002</v>
          </cell>
          <cell r="O3209">
            <v>0</v>
          </cell>
        </row>
        <row r="3210">
          <cell r="N3210">
            <v>18.917499999999997</v>
          </cell>
          <cell r="O3210">
            <v>0</v>
          </cell>
        </row>
        <row r="3211">
          <cell r="N3211">
            <v>4.8940320000000002</v>
          </cell>
          <cell r="O3211">
            <v>0</v>
          </cell>
        </row>
        <row r="3212">
          <cell r="N3212">
            <v>18.917499999999997</v>
          </cell>
          <cell r="O3212">
            <v>0</v>
          </cell>
        </row>
        <row r="3213">
          <cell r="N3213">
            <v>265.30143500000003</v>
          </cell>
          <cell r="O3213">
            <v>0</v>
          </cell>
        </row>
        <row r="3214">
          <cell r="N3214">
            <v>51.064599999999999</v>
          </cell>
          <cell r="O3214">
            <v>0</v>
          </cell>
        </row>
        <row r="3215">
          <cell r="N3215">
            <v>4.40496</v>
          </cell>
          <cell r="O3215">
            <v>0</v>
          </cell>
        </row>
      </sheetData>
      <sheetData sheetId="11" refreshError="1"/>
      <sheetData sheetId="12"/>
      <sheetData sheetId="13" refreshError="1"/>
      <sheetData sheetId="14"/>
      <sheetData sheetId="1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facturatie"/>
      <sheetName val="kengetal incl. afval"/>
      <sheetName val="kengetal excl. afval"/>
      <sheetName val="frequentie max"/>
      <sheetName val="ruimtestaat"/>
      <sheetName val="uurtarieven"/>
      <sheetName val="additionele werkzaamheden"/>
      <sheetName val="machine investeringskosten"/>
      <sheetName val="overnamekosten"/>
      <sheetName val="glas prijzen"/>
      <sheetName val="glas totaal"/>
      <sheetName val="sanitaire voorzieningen"/>
      <sheetName val="afroepprijzen"/>
      <sheetName val="vervanging eigen dienst"/>
      <sheetName val="besteknummers"/>
      <sheetName val="additioneel"/>
      <sheetName val="artikelprijzen"/>
      <sheetName val="3-ZMC Rmst UB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ontractblad"/>
      <sheetName val="2-Korting meerdere percelen"/>
      <sheetName val="3- Spoorlengte per lijn"/>
      <sheetName val="4A-Ballastbed - DAG"/>
      <sheetName val="4b-Ballastbed - NACHT"/>
      <sheetName val="5-Tunnelwand - NACHT"/>
      <sheetName val="6 - Extra"/>
      <sheetName val="7-Premies en opslagen"/>
      <sheetName val="8 - Opbouw uurtarieven"/>
      <sheetName val="9-Machinekosten"/>
      <sheetName val="Uurtarieven"/>
      <sheetName val="Percentages"/>
      <sheetName val="Toesla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7">
          <cell r="F57">
            <v>20.58</v>
          </cell>
        </row>
      </sheetData>
      <sheetData sheetId="11">
        <row r="10">
          <cell r="K10">
            <v>11.231117999999999</v>
          </cell>
        </row>
      </sheetData>
      <sheetData sheetId="1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uimtestaat"/>
      <sheetName val="120706 Ruimtestaat Avenier &amp; Ho"/>
      <sheetName val="120706%20Ruimtestaat%20Avenier%"/>
    </sheetNames>
    <definedNames>
      <definedName name="verbetring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ering"/>
      <sheetName val="Inzet uren"/>
      <sheetName val="aanvullende werkzaamheden"/>
      <sheetName val="antwoorden"/>
      <sheetName val="Kosten per klant"/>
      <sheetName val="Ruimten"/>
      <sheetName val="Uurtarieven"/>
      <sheetName val="Groot materiaal"/>
      <sheetName val="Machines afschrijving"/>
      <sheetName val="Korting"/>
      <sheetName val="Regietarieven"/>
      <sheetName val="sanitair"/>
      <sheetName val="norm"/>
      <sheetName val="GLASWAS 2003"/>
      <sheetName val="1E BEURT"/>
      <sheetName val="2E BEURT"/>
      <sheetName val="3E BEURT"/>
      <sheetName val="4E BEU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C2" t="str">
            <v>Archief4001156</v>
          </cell>
          <cell r="D2">
            <v>525</v>
          </cell>
        </row>
        <row r="3">
          <cell r="C3" t="str">
            <v>Archief4001156</v>
          </cell>
          <cell r="D3">
            <v>525</v>
          </cell>
        </row>
        <row r="4">
          <cell r="C4" t="str">
            <v>Archief4001156</v>
          </cell>
          <cell r="D4">
            <v>525</v>
          </cell>
        </row>
        <row r="5">
          <cell r="C5" t="str">
            <v>Archief400152</v>
          </cell>
          <cell r="D5">
            <v>525</v>
          </cell>
        </row>
        <row r="6">
          <cell r="C6" t="str">
            <v>Archief400152</v>
          </cell>
          <cell r="D6">
            <v>525</v>
          </cell>
        </row>
        <row r="7">
          <cell r="C7" t="str">
            <v>archief40010</v>
          </cell>
          <cell r="D7">
            <v>525</v>
          </cell>
        </row>
        <row r="8">
          <cell r="C8" t="str">
            <v>archief40010</v>
          </cell>
          <cell r="D8">
            <v>525</v>
          </cell>
        </row>
        <row r="9">
          <cell r="C9" t="str">
            <v>archief40010</v>
          </cell>
          <cell r="D9">
            <v>525</v>
          </cell>
        </row>
        <row r="10">
          <cell r="C10" t="str">
            <v>Archief400252</v>
          </cell>
          <cell r="D10">
            <v>525</v>
          </cell>
        </row>
        <row r="11">
          <cell r="C11" t="str">
            <v>Archief4001156</v>
          </cell>
          <cell r="D11">
            <v>525</v>
          </cell>
        </row>
        <row r="12">
          <cell r="C12" t="str">
            <v>Archief4001156</v>
          </cell>
          <cell r="D12">
            <v>525</v>
          </cell>
        </row>
        <row r="13">
          <cell r="C13" t="str">
            <v>Archief4001156</v>
          </cell>
          <cell r="D13">
            <v>525</v>
          </cell>
        </row>
        <row r="14">
          <cell r="C14" t="str">
            <v>Archief4001156</v>
          </cell>
          <cell r="D14">
            <v>525</v>
          </cell>
        </row>
        <row r="15">
          <cell r="C15" t="str">
            <v>Archief4001156</v>
          </cell>
          <cell r="D15">
            <v>525</v>
          </cell>
        </row>
        <row r="16">
          <cell r="C16" t="str">
            <v>Archief4001156</v>
          </cell>
          <cell r="D16">
            <v>525</v>
          </cell>
        </row>
        <row r="17">
          <cell r="C17" t="str">
            <v>Archief4001156</v>
          </cell>
          <cell r="D17">
            <v>525</v>
          </cell>
        </row>
        <row r="18">
          <cell r="C18" t="str">
            <v>Archief4002156</v>
          </cell>
          <cell r="D18">
            <v>850</v>
          </cell>
        </row>
        <row r="19">
          <cell r="C19" t="str">
            <v>Archief4002156</v>
          </cell>
          <cell r="D19">
            <v>675</v>
          </cell>
        </row>
        <row r="20">
          <cell r="C20" t="str">
            <v>Archief400152</v>
          </cell>
          <cell r="D20">
            <v>525</v>
          </cell>
        </row>
        <row r="21">
          <cell r="C21" t="str">
            <v>Archief/magazijn4002156</v>
          </cell>
          <cell r="D21">
            <v>675</v>
          </cell>
        </row>
        <row r="22">
          <cell r="C22" t="str">
            <v>Archief/magazijn4002156</v>
          </cell>
          <cell r="D22">
            <v>675</v>
          </cell>
        </row>
        <row r="23">
          <cell r="C23" t="str">
            <v>Archief/magazijn4002156</v>
          </cell>
          <cell r="D23">
            <v>675</v>
          </cell>
        </row>
        <row r="24">
          <cell r="C24" t="str">
            <v>Archief/magazijn4002156</v>
          </cell>
          <cell r="D24">
            <v>675</v>
          </cell>
        </row>
        <row r="25">
          <cell r="C25" t="str">
            <v>Archief/magazijn4002156</v>
          </cell>
          <cell r="D25">
            <v>675</v>
          </cell>
        </row>
        <row r="26">
          <cell r="C26" t="str">
            <v>Archief/magazijn4002156</v>
          </cell>
          <cell r="D26">
            <v>675</v>
          </cell>
        </row>
        <row r="27">
          <cell r="C27" t="str">
            <v>Archief/magazijn400352</v>
          </cell>
          <cell r="D27">
            <v>625</v>
          </cell>
        </row>
        <row r="28">
          <cell r="C28" t="str">
            <v>bibliotheek3201254</v>
          </cell>
          <cell r="D28">
            <v>425</v>
          </cell>
        </row>
        <row r="29">
          <cell r="C29" t="str">
            <v>buitenentree0203254</v>
          </cell>
          <cell r="D29">
            <v>350</v>
          </cell>
        </row>
        <row r="30">
          <cell r="C30" t="str">
            <v>Computerruimte34034</v>
          </cell>
          <cell r="D30">
            <v>200</v>
          </cell>
        </row>
        <row r="31">
          <cell r="C31" t="str">
            <v>Computerruimte340252</v>
          </cell>
          <cell r="D31">
            <v>475</v>
          </cell>
        </row>
        <row r="32">
          <cell r="C32" t="str">
            <v>Computerruimte340252</v>
          </cell>
          <cell r="D32">
            <v>475</v>
          </cell>
        </row>
        <row r="33">
          <cell r="C33" t="str">
            <v>Computerruimte340252</v>
          </cell>
          <cell r="D33">
            <v>475</v>
          </cell>
        </row>
        <row r="34">
          <cell r="C34" t="str">
            <v>Computerruimte340252</v>
          </cell>
          <cell r="D34">
            <v>475</v>
          </cell>
        </row>
        <row r="35">
          <cell r="C35" t="str">
            <v>Computerruimte340252</v>
          </cell>
          <cell r="D35">
            <v>475</v>
          </cell>
        </row>
        <row r="36">
          <cell r="C36" t="str">
            <v>Computerruimte340252</v>
          </cell>
          <cell r="D36">
            <v>475</v>
          </cell>
        </row>
        <row r="37">
          <cell r="C37" t="str">
            <v>Computerruimte340252</v>
          </cell>
          <cell r="D37">
            <v>475</v>
          </cell>
        </row>
        <row r="38">
          <cell r="C38" t="str">
            <v>Computerruimte34020</v>
          </cell>
          <cell r="D38">
            <v>0</v>
          </cell>
        </row>
        <row r="39">
          <cell r="C39" t="str">
            <v>Containerentree254</v>
          </cell>
          <cell r="D39">
            <v>450</v>
          </cell>
        </row>
        <row r="40">
          <cell r="C40" t="str">
            <v>Containeropslag430352</v>
          </cell>
          <cell r="D40">
            <v>350</v>
          </cell>
        </row>
        <row r="41">
          <cell r="C41" t="str">
            <v>Containeropslag430352</v>
          </cell>
          <cell r="D41">
            <v>350</v>
          </cell>
        </row>
        <row r="42">
          <cell r="C42" t="str">
            <v>copieerruimte3801254</v>
          </cell>
          <cell r="D42">
            <v>395</v>
          </cell>
        </row>
        <row r="43">
          <cell r="C43" t="str">
            <v>copieerruimte3801254</v>
          </cell>
          <cell r="D43">
            <v>395</v>
          </cell>
        </row>
        <row r="44">
          <cell r="C44" t="str">
            <v>copieerruimte380252</v>
          </cell>
          <cell r="D44">
            <v>360</v>
          </cell>
        </row>
        <row r="45">
          <cell r="C45" t="str">
            <v>Doktersruimte780226</v>
          </cell>
          <cell r="D45">
            <v>175</v>
          </cell>
        </row>
        <row r="46">
          <cell r="C46" t="str">
            <v>Entree0202254</v>
          </cell>
          <cell r="D46">
            <v>325</v>
          </cell>
        </row>
        <row r="47">
          <cell r="C47" t="str">
            <v>Entree0203156</v>
          </cell>
          <cell r="D47">
            <v>300</v>
          </cell>
        </row>
        <row r="48">
          <cell r="C48" t="str">
            <v>Entree020352</v>
          </cell>
          <cell r="D48">
            <v>300</v>
          </cell>
        </row>
        <row r="49">
          <cell r="C49" t="str">
            <v>Entree020352</v>
          </cell>
          <cell r="D49">
            <v>300</v>
          </cell>
        </row>
        <row r="50">
          <cell r="C50" t="str">
            <v>Entree0201254</v>
          </cell>
          <cell r="D50">
            <v>350</v>
          </cell>
        </row>
        <row r="51">
          <cell r="C51" t="str">
            <v>Entree0203156</v>
          </cell>
          <cell r="D51">
            <v>300</v>
          </cell>
        </row>
        <row r="52">
          <cell r="C52" t="str">
            <v>Entree0201254</v>
          </cell>
          <cell r="D52">
            <v>350</v>
          </cell>
        </row>
        <row r="53">
          <cell r="C53" t="str">
            <v>Entree0203254</v>
          </cell>
          <cell r="D53">
            <v>350</v>
          </cell>
        </row>
        <row r="54">
          <cell r="C54" t="str">
            <v>Entree0201254</v>
          </cell>
          <cell r="D54">
            <v>350</v>
          </cell>
        </row>
        <row r="55">
          <cell r="C55" t="str">
            <v>Entree0202104</v>
          </cell>
          <cell r="D55">
            <v>300</v>
          </cell>
        </row>
        <row r="56">
          <cell r="C56" t="str">
            <v>entree0201254</v>
          </cell>
          <cell r="D56">
            <v>350</v>
          </cell>
        </row>
        <row r="57">
          <cell r="C57" t="str">
            <v>Entree0203156</v>
          </cell>
          <cell r="D57">
            <v>300</v>
          </cell>
        </row>
        <row r="58">
          <cell r="C58" t="str">
            <v>Entree0201254</v>
          </cell>
          <cell r="D58">
            <v>350</v>
          </cell>
        </row>
        <row r="59">
          <cell r="C59" t="str">
            <v>Entree0203156</v>
          </cell>
          <cell r="D59">
            <v>300</v>
          </cell>
        </row>
        <row r="60">
          <cell r="C60" t="str">
            <v>Entree0202156</v>
          </cell>
          <cell r="D60">
            <v>310</v>
          </cell>
        </row>
        <row r="61">
          <cell r="C61" t="str">
            <v>Entree0202104</v>
          </cell>
          <cell r="D61">
            <v>300</v>
          </cell>
        </row>
        <row r="62">
          <cell r="C62" t="str">
            <v>Entrée0203156</v>
          </cell>
          <cell r="D62">
            <v>300</v>
          </cell>
        </row>
        <row r="63">
          <cell r="C63" t="str">
            <v>Entrée (buiten)010352</v>
          </cell>
          <cell r="D63">
            <v>425</v>
          </cell>
        </row>
        <row r="64">
          <cell r="C64" t="str">
            <v>Garderobe030352</v>
          </cell>
          <cell r="D64">
            <v>340</v>
          </cell>
        </row>
        <row r="65">
          <cell r="C65" t="str">
            <v>Garderobe030352</v>
          </cell>
          <cell r="D65">
            <v>340</v>
          </cell>
        </row>
        <row r="66">
          <cell r="C66" t="str">
            <v>Garderobe0303156</v>
          </cell>
          <cell r="D66">
            <v>425</v>
          </cell>
        </row>
        <row r="67">
          <cell r="C67" t="str">
            <v>Garderobe0303156</v>
          </cell>
          <cell r="D67">
            <v>425</v>
          </cell>
        </row>
        <row r="68">
          <cell r="C68" t="str">
            <v>Garderobe0302156</v>
          </cell>
          <cell r="D68">
            <v>425</v>
          </cell>
        </row>
        <row r="69">
          <cell r="C69" t="str">
            <v>Garderobe0301156</v>
          </cell>
          <cell r="D69">
            <v>340</v>
          </cell>
        </row>
        <row r="70">
          <cell r="C70" t="str">
            <v>garderobe0301254</v>
          </cell>
          <cell r="D70">
            <v>450</v>
          </cell>
        </row>
        <row r="71">
          <cell r="C71" t="str">
            <v>Garderobe0303156</v>
          </cell>
          <cell r="D71">
            <v>425</v>
          </cell>
        </row>
        <row r="72">
          <cell r="C72" t="str">
            <v>Garderobe030352</v>
          </cell>
          <cell r="D72">
            <v>340</v>
          </cell>
        </row>
        <row r="73">
          <cell r="C73" t="str">
            <v>Garderobe0303156</v>
          </cell>
          <cell r="D73">
            <v>425</v>
          </cell>
        </row>
        <row r="74">
          <cell r="C74" t="str">
            <v>hoofdhal0203254</v>
          </cell>
          <cell r="D74">
            <v>475</v>
          </cell>
        </row>
        <row r="75">
          <cell r="C75" t="str">
            <v>Isra-ruimte340252</v>
          </cell>
          <cell r="D75">
            <v>475</v>
          </cell>
        </row>
        <row r="76">
          <cell r="C76" t="str">
            <v>Isra-ruimte340252</v>
          </cell>
          <cell r="D76">
            <v>475</v>
          </cell>
        </row>
        <row r="77">
          <cell r="C77" t="str">
            <v>Kantoor3002156</v>
          </cell>
          <cell r="D77">
            <v>385</v>
          </cell>
        </row>
        <row r="78">
          <cell r="C78" t="str">
            <v>Kantoor3002156</v>
          </cell>
          <cell r="D78">
            <v>385</v>
          </cell>
        </row>
        <row r="79">
          <cell r="C79" t="str">
            <v>Kantoor300212</v>
          </cell>
          <cell r="D79">
            <v>250</v>
          </cell>
        </row>
        <row r="80">
          <cell r="C80" t="str">
            <v>Kantoor3002156</v>
          </cell>
          <cell r="D80">
            <v>385</v>
          </cell>
        </row>
        <row r="81">
          <cell r="C81" t="str">
            <v>Kantoor3001156</v>
          </cell>
          <cell r="D81">
            <v>385</v>
          </cell>
        </row>
        <row r="82">
          <cell r="C82" t="str">
            <v>Kantoor3001156</v>
          </cell>
          <cell r="D82">
            <v>385</v>
          </cell>
        </row>
        <row r="83">
          <cell r="C83" t="str">
            <v>Kantoor3002156</v>
          </cell>
          <cell r="D83">
            <v>385</v>
          </cell>
        </row>
        <row r="84">
          <cell r="C84" t="str">
            <v>Kantoor3001156</v>
          </cell>
          <cell r="D84">
            <v>385</v>
          </cell>
        </row>
        <row r="85">
          <cell r="C85" t="str">
            <v>Kantoor3001156</v>
          </cell>
          <cell r="D85">
            <v>385</v>
          </cell>
        </row>
        <row r="86">
          <cell r="C86" t="str">
            <v>Kantoor3001156</v>
          </cell>
          <cell r="D86">
            <v>385</v>
          </cell>
        </row>
        <row r="87">
          <cell r="C87" t="str">
            <v>Kantoor3001156</v>
          </cell>
          <cell r="D87">
            <v>385</v>
          </cell>
        </row>
        <row r="88">
          <cell r="C88" t="str">
            <v>Kantoor3001156</v>
          </cell>
          <cell r="D88">
            <v>385</v>
          </cell>
        </row>
        <row r="89">
          <cell r="C89" t="str">
            <v>Kantoor3001156</v>
          </cell>
          <cell r="D89">
            <v>385</v>
          </cell>
        </row>
        <row r="90">
          <cell r="C90" t="str">
            <v>Kantoor3001156</v>
          </cell>
          <cell r="D90">
            <v>385</v>
          </cell>
        </row>
        <row r="91">
          <cell r="C91" t="str">
            <v>Kantoor3001156</v>
          </cell>
          <cell r="D91">
            <v>385</v>
          </cell>
        </row>
        <row r="92">
          <cell r="C92" t="str">
            <v>Kantoor3001156</v>
          </cell>
          <cell r="D92">
            <v>385</v>
          </cell>
        </row>
        <row r="93">
          <cell r="C93" t="str">
            <v>Kantoor3002254</v>
          </cell>
          <cell r="D93">
            <v>410</v>
          </cell>
        </row>
        <row r="94">
          <cell r="C94" t="str">
            <v>Kantoor9500254</v>
          </cell>
          <cell r="D94">
            <v>285</v>
          </cell>
        </row>
        <row r="95">
          <cell r="C95" t="str">
            <v>Kantoor950052</v>
          </cell>
          <cell r="D95">
            <v>225</v>
          </cell>
        </row>
        <row r="96">
          <cell r="C96" t="str">
            <v>Kantoor3001156</v>
          </cell>
          <cell r="D96">
            <v>385</v>
          </cell>
        </row>
        <row r="97">
          <cell r="C97" t="str">
            <v>Kantoor3001156</v>
          </cell>
          <cell r="D97">
            <v>385</v>
          </cell>
        </row>
        <row r="98">
          <cell r="C98" t="str">
            <v>Kantoor3001156</v>
          </cell>
          <cell r="D98">
            <v>385</v>
          </cell>
        </row>
        <row r="99">
          <cell r="C99" t="str">
            <v>Kantoor3002130</v>
          </cell>
          <cell r="D99">
            <v>375</v>
          </cell>
        </row>
        <row r="100">
          <cell r="C100" t="str">
            <v>Kantoor300226</v>
          </cell>
          <cell r="D100">
            <v>300</v>
          </cell>
        </row>
        <row r="101">
          <cell r="C101" t="str">
            <v>Kantoor300226</v>
          </cell>
          <cell r="D101">
            <v>300</v>
          </cell>
        </row>
        <row r="102">
          <cell r="C102" t="str">
            <v>Kantoor30028</v>
          </cell>
          <cell r="D102">
            <v>300</v>
          </cell>
        </row>
        <row r="103">
          <cell r="C103" t="str">
            <v>Kantoor3002130</v>
          </cell>
          <cell r="D103">
            <v>375</v>
          </cell>
        </row>
        <row r="104">
          <cell r="C104" t="str">
            <v>Kantoor300226</v>
          </cell>
          <cell r="D104">
            <v>300</v>
          </cell>
        </row>
        <row r="105">
          <cell r="C105" t="str">
            <v>Kantoor300226</v>
          </cell>
          <cell r="D105">
            <v>300</v>
          </cell>
        </row>
        <row r="106">
          <cell r="C106" t="str">
            <v>Kantoor30028</v>
          </cell>
          <cell r="D106">
            <v>300</v>
          </cell>
        </row>
        <row r="107">
          <cell r="C107" t="str">
            <v>Kantoor3002130</v>
          </cell>
          <cell r="D107">
            <v>375</v>
          </cell>
        </row>
        <row r="108">
          <cell r="C108" t="str">
            <v>Kantoor300226</v>
          </cell>
          <cell r="D108">
            <v>300</v>
          </cell>
        </row>
        <row r="109">
          <cell r="C109" t="str">
            <v>Kantoor300226</v>
          </cell>
          <cell r="D109">
            <v>300</v>
          </cell>
        </row>
        <row r="110">
          <cell r="C110" t="str">
            <v>Kantoor30028</v>
          </cell>
          <cell r="D110">
            <v>300</v>
          </cell>
        </row>
        <row r="111">
          <cell r="C111" t="str">
            <v>Kantoor3002130</v>
          </cell>
          <cell r="D111">
            <v>375</v>
          </cell>
        </row>
        <row r="112">
          <cell r="C112" t="str">
            <v>Kantoor300226</v>
          </cell>
          <cell r="D112">
            <v>300</v>
          </cell>
        </row>
        <row r="113">
          <cell r="C113" t="str">
            <v>Kantoor300226</v>
          </cell>
          <cell r="D113">
            <v>300</v>
          </cell>
        </row>
        <row r="114">
          <cell r="C114" t="str">
            <v>Kantoor30028</v>
          </cell>
          <cell r="D114">
            <v>300</v>
          </cell>
        </row>
        <row r="115">
          <cell r="C115" t="str">
            <v>Kantoor3002130</v>
          </cell>
          <cell r="D115">
            <v>375</v>
          </cell>
        </row>
        <row r="116">
          <cell r="C116" t="str">
            <v>Kantoor300226</v>
          </cell>
          <cell r="D116">
            <v>300</v>
          </cell>
        </row>
        <row r="117">
          <cell r="C117" t="str">
            <v>Kantoor300226</v>
          </cell>
          <cell r="D117">
            <v>300</v>
          </cell>
        </row>
        <row r="118">
          <cell r="C118" t="str">
            <v>Kantoor30028</v>
          </cell>
          <cell r="D118">
            <v>300</v>
          </cell>
        </row>
        <row r="119">
          <cell r="C119" t="str">
            <v>Kantoor3001130</v>
          </cell>
          <cell r="D119">
            <v>375</v>
          </cell>
        </row>
        <row r="120">
          <cell r="C120" t="str">
            <v>Kantoor300126</v>
          </cell>
          <cell r="D120">
            <v>300</v>
          </cell>
        </row>
        <row r="121">
          <cell r="C121" t="str">
            <v>Kantoor300126</v>
          </cell>
          <cell r="D121">
            <v>300</v>
          </cell>
        </row>
        <row r="122">
          <cell r="C122" t="str">
            <v>Kantoor3001130</v>
          </cell>
          <cell r="D122">
            <v>375</v>
          </cell>
        </row>
        <row r="123">
          <cell r="C123" t="str">
            <v>Kantoor300126</v>
          </cell>
          <cell r="D123">
            <v>300</v>
          </cell>
        </row>
        <row r="124">
          <cell r="C124" t="str">
            <v>Kantoor300126</v>
          </cell>
          <cell r="D124">
            <v>300</v>
          </cell>
        </row>
        <row r="125">
          <cell r="C125" t="str">
            <v>Kantoor3001130</v>
          </cell>
          <cell r="D125">
            <v>375</v>
          </cell>
        </row>
        <row r="126">
          <cell r="C126" t="str">
            <v>Kantoor300126</v>
          </cell>
          <cell r="D126">
            <v>300</v>
          </cell>
        </row>
        <row r="127">
          <cell r="C127" t="str">
            <v>Kantoor300126</v>
          </cell>
          <cell r="D127">
            <v>300</v>
          </cell>
        </row>
        <row r="128">
          <cell r="C128" t="str">
            <v>Kantoor3001130</v>
          </cell>
          <cell r="D128">
            <v>375</v>
          </cell>
        </row>
        <row r="129">
          <cell r="C129" t="str">
            <v>Kantoor300126</v>
          </cell>
          <cell r="D129">
            <v>300</v>
          </cell>
        </row>
        <row r="130">
          <cell r="C130" t="str">
            <v>Kantoor300126</v>
          </cell>
          <cell r="D130">
            <v>300</v>
          </cell>
        </row>
        <row r="131">
          <cell r="C131" t="str">
            <v>Kantoor3001130</v>
          </cell>
          <cell r="D131">
            <v>375</v>
          </cell>
        </row>
        <row r="132">
          <cell r="C132" t="str">
            <v>Kantoor300126</v>
          </cell>
          <cell r="D132">
            <v>300</v>
          </cell>
        </row>
        <row r="133">
          <cell r="C133" t="str">
            <v>Kantoor300126</v>
          </cell>
          <cell r="D133">
            <v>300</v>
          </cell>
        </row>
        <row r="134">
          <cell r="C134" t="str">
            <v>Kantoor3002130</v>
          </cell>
          <cell r="D134">
            <v>375</v>
          </cell>
        </row>
        <row r="135">
          <cell r="C135" t="str">
            <v>Kantoor300226</v>
          </cell>
          <cell r="D135">
            <v>300</v>
          </cell>
        </row>
        <row r="136">
          <cell r="C136" t="str">
            <v>Kantoor300226</v>
          </cell>
          <cell r="D136">
            <v>300</v>
          </cell>
        </row>
        <row r="137">
          <cell r="C137" t="str">
            <v>Kantoor30028</v>
          </cell>
          <cell r="D137">
            <v>300</v>
          </cell>
        </row>
        <row r="138">
          <cell r="C138" t="str">
            <v>Kantoor3002130</v>
          </cell>
          <cell r="D138">
            <v>375</v>
          </cell>
        </row>
        <row r="139">
          <cell r="C139" t="str">
            <v>Kantoor300226</v>
          </cell>
          <cell r="D139">
            <v>300</v>
          </cell>
        </row>
        <row r="140">
          <cell r="C140" t="str">
            <v>Kantoor300226</v>
          </cell>
          <cell r="D140">
            <v>300</v>
          </cell>
        </row>
        <row r="141">
          <cell r="C141" t="str">
            <v>Kantoor30028</v>
          </cell>
          <cell r="D141">
            <v>300</v>
          </cell>
        </row>
        <row r="142">
          <cell r="C142" t="str">
            <v>Kantoor3002130</v>
          </cell>
          <cell r="D142">
            <v>375</v>
          </cell>
        </row>
        <row r="143">
          <cell r="C143" t="str">
            <v>Kantoor300226</v>
          </cell>
          <cell r="D143">
            <v>300</v>
          </cell>
        </row>
        <row r="144">
          <cell r="C144" t="str">
            <v>Kantoor300226</v>
          </cell>
          <cell r="D144">
            <v>300</v>
          </cell>
        </row>
        <row r="145">
          <cell r="C145" t="str">
            <v>Kantoor30028</v>
          </cell>
          <cell r="D145">
            <v>300</v>
          </cell>
        </row>
        <row r="146">
          <cell r="C146" t="str">
            <v>Kantoor3002130</v>
          </cell>
          <cell r="D146">
            <v>375</v>
          </cell>
        </row>
        <row r="147">
          <cell r="C147" t="str">
            <v>Kantoor300226</v>
          </cell>
          <cell r="D147">
            <v>300</v>
          </cell>
        </row>
        <row r="148">
          <cell r="C148" t="str">
            <v>Kantoor300226</v>
          </cell>
          <cell r="D148">
            <v>300</v>
          </cell>
        </row>
        <row r="149">
          <cell r="C149" t="str">
            <v>Kantoor30020</v>
          </cell>
          <cell r="D149">
            <v>350</v>
          </cell>
        </row>
        <row r="150">
          <cell r="C150" t="str">
            <v>Kantoor300213</v>
          </cell>
          <cell r="D150">
            <v>300</v>
          </cell>
        </row>
        <row r="151">
          <cell r="C151" t="str">
            <v>Kantoor5002130</v>
          </cell>
          <cell r="D151">
            <v>365</v>
          </cell>
        </row>
        <row r="152">
          <cell r="C152" t="str">
            <v>Kantoor500226</v>
          </cell>
          <cell r="D152">
            <v>250</v>
          </cell>
        </row>
        <row r="153">
          <cell r="C153" t="str">
            <v>Kantoor500226</v>
          </cell>
          <cell r="D153">
            <v>250</v>
          </cell>
        </row>
        <row r="154">
          <cell r="C154" t="str">
            <v>Kantoor3002130</v>
          </cell>
          <cell r="D154">
            <v>375</v>
          </cell>
        </row>
        <row r="155">
          <cell r="C155" t="str">
            <v>Kantoor300226</v>
          </cell>
          <cell r="D155">
            <v>300</v>
          </cell>
        </row>
        <row r="156">
          <cell r="C156" t="str">
            <v>Kantoor300226</v>
          </cell>
          <cell r="D156">
            <v>300</v>
          </cell>
        </row>
        <row r="157">
          <cell r="C157" t="str">
            <v>Kantoor3002130</v>
          </cell>
          <cell r="D157">
            <v>375</v>
          </cell>
        </row>
        <row r="158">
          <cell r="C158" t="str">
            <v>Kantoor300226</v>
          </cell>
          <cell r="D158">
            <v>300</v>
          </cell>
        </row>
        <row r="159">
          <cell r="C159" t="str">
            <v>Kantoor300226</v>
          </cell>
          <cell r="D159">
            <v>300</v>
          </cell>
        </row>
        <row r="160">
          <cell r="C160" t="str">
            <v>Kantoor30028</v>
          </cell>
          <cell r="D160">
            <v>300</v>
          </cell>
        </row>
        <row r="161">
          <cell r="C161" t="str">
            <v>Kantoor3002130</v>
          </cell>
          <cell r="D161">
            <v>375</v>
          </cell>
        </row>
        <row r="162">
          <cell r="C162" t="str">
            <v>Kantoor300226</v>
          </cell>
          <cell r="D162">
            <v>300</v>
          </cell>
        </row>
        <row r="163">
          <cell r="C163" t="str">
            <v>Kantoor300226</v>
          </cell>
          <cell r="D163">
            <v>300</v>
          </cell>
        </row>
        <row r="164">
          <cell r="C164" t="str">
            <v>Kantoor30028</v>
          </cell>
          <cell r="D164">
            <v>300</v>
          </cell>
        </row>
        <row r="165">
          <cell r="C165" t="str">
            <v>Kantoor3002130</v>
          </cell>
          <cell r="D165">
            <v>375</v>
          </cell>
        </row>
        <row r="166">
          <cell r="C166" t="str">
            <v>Kantoor300226</v>
          </cell>
          <cell r="D166">
            <v>300</v>
          </cell>
        </row>
        <row r="167">
          <cell r="C167" t="str">
            <v>Kantoor300226</v>
          </cell>
          <cell r="D167">
            <v>300</v>
          </cell>
        </row>
        <row r="168">
          <cell r="C168" t="str">
            <v>Kantoor30028</v>
          </cell>
          <cell r="D168">
            <v>300</v>
          </cell>
        </row>
        <row r="169">
          <cell r="C169" t="str">
            <v>Kantoor3002130</v>
          </cell>
          <cell r="D169">
            <v>375</v>
          </cell>
        </row>
        <row r="170">
          <cell r="C170" t="str">
            <v>Kantoor300226</v>
          </cell>
          <cell r="D170">
            <v>300</v>
          </cell>
        </row>
        <row r="171">
          <cell r="C171" t="str">
            <v>Kantoor300226</v>
          </cell>
          <cell r="D171">
            <v>300</v>
          </cell>
        </row>
        <row r="172">
          <cell r="C172" t="str">
            <v>Kantoor30028</v>
          </cell>
          <cell r="D172">
            <v>300</v>
          </cell>
        </row>
        <row r="173">
          <cell r="C173" t="str">
            <v>Kantoor3002130</v>
          </cell>
          <cell r="D173">
            <v>375</v>
          </cell>
        </row>
        <row r="174">
          <cell r="C174" t="str">
            <v>Kantoor300226</v>
          </cell>
          <cell r="D174">
            <v>300</v>
          </cell>
        </row>
        <row r="175">
          <cell r="C175" t="str">
            <v>Kantoor300226</v>
          </cell>
          <cell r="D175">
            <v>300</v>
          </cell>
        </row>
        <row r="176">
          <cell r="C176" t="str">
            <v>Kantoor30028</v>
          </cell>
          <cell r="D176">
            <v>300</v>
          </cell>
        </row>
        <row r="177">
          <cell r="C177" t="str">
            <v>Kantoor3001156</v>
          </cell>
          <cell r="D177">
            <v>385</v>
          </cell>
        </row>
        <row r="178">
          <cell r="C178" t="str">
            <v>Kantoor3001156</v>
          </cell>
          <cell r="D178">
            <v>385</v>
          </cell>
        </row>
        <row r="179">
          <cell r="C179" t="str">
            <v>Kantoor3001156</v>
          </cell>
          <cell r="D179">
            <v>385</v>
          </cell>
        </row>
        <row r="180">
          <cell r="C180" t="str">
            <v>Kantoor3001156</v>
          </cell>
          <cell r="D180">
            <v>385</v>
          </cell>
        </row>
        <row r="181">
          <cell r="C181" t="str">
            <v>Kantoor3001156</v>
          </cell>
          <cell r="D181">
            <v>385</v>
          </cell>
        </row>
        <row r="182">
          <cell r="C182" t="str">
            <v>Kantoor3001156</v>
          </cell>
          <cell r="D182">
            <v>385</v>
          </cell>
        </row>
        <row r="183">
          <cell r="C183" t="str">
            <v>Kantoor3001156</v>
          </cell>
          <cell r="D183">
            <v>385</v>
          </cell>
        </row>
        <row r="184">
          <cell r="C184" t="str">
            <v>Kantoor3001156</v>
          </cell>
          <cell r="D184">
            <v>385</v>
          </cell>
        </row>
        <row r="185">
          <cell r="C185" t="str">
            <v>Kantoor3001156</v>
          </cell>
          <cell r="D185">
            <v>385</v>
          </cell>
        </row>
        <row r="186">
          <cell r="C186" t="str">
            <v>Kantoor3001156</v>
          </cell>
          <cell r="D186">
            <v>385</v>
          </cell>
        </row>
        <row r="187">
          <cell r="C187" t="str">
            <v>Kantoor3001156</v>
          </cell>
          <cell r="D187">
            <v>385</v>
          </cell>
        </row>
        <row r="188">
          <cell r="C188" t="str">
            <v>Kantoor3001156</v>
          </cell>
          <cell r="D188">
            <v>385</v>
          </cell>
        </row>
        <row r="189">
          <cell r="C189" t="str">
            <v>Kantoor3001156</v>
          </cell>
          <cell r="D189">
            <v>385</v>
          </cell>
        </row>
        <row r="190">
          <cell r="C190" t="str">
            <v>Kantoor3001156</v>
          </cell>
          <cell r="D190">
            <v>385</v>
          </cell>
        </row>
        <row r="191">
          <cell r="C191" t="str">
            <v>Kantoor3001156</v>
          </cell>
          <cell r="D191">
            <v>385</v>
          </cell>
        </row>
        <row r="192">
          <cell r="C192" t="str">
            <v>Kantoor3001156</v>
          </cell>
          <cell r="D192">
            <v>385</v>
          </cell>
        </row>
        <row r="193">
          <cell r="C193" t="str">
            <v>Kantoor3001156</v>
          </cell>
          <cell r="D193">
            <v>385</v>
          </cell>
        </row>
        <row r="194">
          <cell r="C194" t="str">
            <v>Kantoor3001156</v>
          </cell>
          <cell r="D194">
            <v>385</v>
          </cell>
        </row>
        <row r="195">
          <cell r="C195" t="str">
            <v>Kantoor3001156</v>
          </cell>
          <cell r="D195">
            <v>385</v>
          </cell>
        </row>
        <row r="196">
          <cell r="C196" t="str">
            <v>Kantoor3001156</v>
          </cell>
          <cell r="D196">
            <v>385</v>
          </cell>
        </row>
        <row r="197">
          <cell r="C197" t="str">
            <v>Kantoor3001156</v>
          </cell>
          <cell r="D197">
            <v>385</v>
          </cell>
        </row>
        <row r="198">
          <cell r="C198" t="str">
            <v>Kantoor3001156</v>
          </cell>
          <cell r="D198">
            <v>385</v>
          </cell>
        </row>
        <row r="199">
          <cell r="C199" t="str">
            <v>Kantoor3003156</v>
          </cell>
          <cell r="D199">
            <v>365</v>
          </cell>
        </row>
        <row r="200">
          <cell r="C200" t="str">
            <v>Kantoor3002156</v>
          </cell>
          <cell r="D200">
            <v>375</v>
          </cell>
        </row>
        <row r="201">
          <cell r="C201" t="str">
            <v>Kantoor3002156</v>
          </cell>
          <cell r="D201">
            <v>375</v>
          </cell>
        </row>
        <row r="202">
          <cell r="C202" t="str">
            <v>Kantoor3002156</v>
          </cell>
          <cell r="D202">
            <v>375</v>
          </cell>
        </row>
        <row r="203">
          <cell r="C203" t="str">
            <v>Kantoor3002156</v>
          </cell>
          <cell r="D203">
            <v>375</v>
          </cell>
        </row>
        <row r="204">
          <cell r="C204" t="str">
            <v>Kantoor3001156</v>
          </cell>
          <cell r="D204">
            <v>385</v>
          </cell>
        </row>
        <row r="205">
          <cell r="C205" t="str">
            <v>Kantoor3001156</v>
          </cell>
          <cell r="D205">
            <v>385</v>
          </cell>
        </row>
        <row r="206">
          <cell r="C206" t="str">
            <v>Kantoor3001156</v>
          </cell>
          <cell r="D206">
            <v>385</v>
          </cell>
        </row>
        <row r="207">
          <cell r="C207" t="str">
            <v>Kantoor3001156</v>
          </cell>
          <cell r="D207">
            <v>385</v>
          </cell>
        </row>
        <row r="208">
          <cell r="C208" t="str">
            <v>Kantoor3001156</v>
          </cell>
          <cell r="D208">
            <v>385</v>
          </cell>
        </row>
        <row r="209">
          <cell r="C209" t="str">
            <v>Kantoor3001156</v>
          </cell>
          <cell r="D209">
            <v>385</v>
          </cell>
        </row>
        <row r="210">
          <cell r="C210" t="str">
            <v>Kantoor3001156</v>
          </cell>
          <cell r="D210">
            <v>385</v>
          </cell>
        </row>
        <row r="211">
          <cell r="C211" t="str">
            <v>Kantoor3001156</v>
          </cell>
          <cell r="D211">
            <v>385</v>
          </cell>
        </row>
        <row r="212">
          <cell r="C212" t="str">
            <v>Kantoor3001156</v>
          </cell>
          <cell r="D212">
            <v>385</v>
          </cell>
        </row>
        <row r="213">
          <cell r="C213" t="str">
            <v>Kantoor3001156</v>
          </cell>
          <cell r="D213">
            <v>385</v>
          </cell>
        </row>
        <row r="214">
          <cell r="C214" t="str">
            <v>Kantoor3002156</v>
          </cell>
          <cell r="D214">
            <v>375</v>
          </cell>
        </row>
        <row r="215">
          <cell r="C215" t="str">
            <v>Kantoor3001156</v>
          </cell>
          <cell r="D215">
            <v>385</v>
          </cell>
        </row>
        <row r="216">
          <cell r="C216" t="str">
            <v>Kantoor3001156</v>
          </cell>
          <cell r="D216">
            <v>385</v>
          </cell>
        </row>
        <row r="217">
          <cell r="C217" t="str">
            <v>Kantoor3001156</v>
          </cell>
          <cell r="D217">
            <v>385</v>
          </cell>
        </row>
        <row r="218">
          <cell r="C218" t="str">
            <v>Kantoor3001156</v>
          </cell>
          <cell r="D218">
            <v>385</v>
          </cell>
        </row>
        <row r="219">
          <cell r="C219" t="str">
            <v>Kantoor3001156</v>
          </cell>
          <cell r="D219">
            <v>385</v>
          </cell>
        </row>
        <row r="220">
          <cell r="C220" t="str">
            <v>Kantoor3001156</v>
          </cell>
          <cell r="D220">
            <v>385</v>
          </cell>
        </row>
        <row r="221">
          <cell r="C221" t="str">
            <v>Kantoor3001156</v>
          </cell>
          <cell r="D221">
            <v>385</v>
          </cell>
        </row>
        <row r="222">
          <cell r="C222" t="str">
            <v>Kantoor3001156</v>
          </cell>
          <cell r="D222">
            <v>385</v>
          </cell>
        </row>
        <row r="223">
          <cell r="C223" t="str">
            <v>Kantoor3001156</v>
          </cell>
          <cell r="D223">
            <v>385</v>
          </cell>
        </row>
        <row r="224">
          <cell r="C224" t="str">
            <v>Kantoor3001156</v>
          </cell>
          <cell r="D224">
            <v>385</v>
          </cell>
        </row>
        <row r="225">
          <cell r="C225" t="str">
            <v>Kantoor3001156</v>
          </cell>
          <cell r="D225">
            <v>385</v>
          </cell>
        </row>
        <row r="226">
          <cell r="C226" t="str">
            <v>Kantoor3001156</v>
          </cell>
          <cell r="D226">
            <v>385</v>
          </cell>
        </row>
        <row r="227">
          <cell r="C227" t="str">
            <v>Kantoor3001156</v>
          </cell>
          <cell r="D227">
            <v>385</v>
          </cell>
        </row>
        <row r="228">
          <cell r="C228" t="str">
            <v>Kantoor3001156</v>
          </cell>
          <cell r="D228">
            <v>385</v>
          </cell>
        </row>
        <row r="229">
          <cell r="C229" t="str">
            <v>Kantoor3001156</v>
          </cell>
          <cell r="D229">
            <v>385</v>
          </cell>
        </row>
        <row r="230">
          <cell r="C230" t="str">
            <v>Kantoor3002156</v>
          </cell>
          <cell r="D230">
            <v>375</v>
          </cell>
        </row>
        <row r="231">
          <cell r="C231" t="str">
            <v>Kantoor3001156</v>
          </cell>
          <cell r="D231">
            <v>385</v>
          </cell>
        </row>
        <row r="232">
          <cell r="C232" t="str">
            <v>Kantoor3001156</v>
          </cell>
          <cell r="D232">
            <v>385</v>
          </cell>
        </row>
        <row r="233">
          <cell r="C233" t="str">
            <v>Kantoor3001156</v>
          </cell>
          <cell r="D233">
            <v>385</v>
          </cell>
        </row>
        <row r="234">
          <cell r="C234" t="str">
            <v>Kantoor3001254</v>
          </cell>
          <cell r="D234">
            <v>410</v>
          </cell>
        </row>
        <row r="235">
          <cell r="C235" t="str">
            <v>Kantoor3001254</v>
          </cell>
          <cell r="D235">
            <v>410</v>
          </cell>
        </row>
        <row r="236">
          <cell r="C236" t="str">
            <v>Kantoor3001254</v>
          </cell>
          <cell r="D236">
            <v>410</v>
          </cell>
        </row>
        <row r="237">
          <cell r="C237" t="str">
            <v>Kantoor3001254</v>
          </cell>
          <cell r="D237">
            <v>410</v>
          </cell>
        </row>
        <row r="238">
          <cell r="C238" t="str">
            <v>Kantoor3001156</v>
          </cell>
          <cell r="D238">
            <v>385</v>
          </cell>
        </row>
        <row r="239">
          <cell r="C239" t="str">
            <v>Kantoor300112</v>
          </cell>
          <cell r="D239">
            <v>225</v>
          </cell>
        </row>
        <row r="240">
          <cell r="C240" t="str">
            <v>Kantoor300112</v>
          </cell>
          <cell r="D240">
            <v>225</v>
          </cell>
        </row>
        <row r="241">
          <cell r="C241" t="str">
            <v>Kantoor300112</v>
          </cell>
          <cell r="D241">
            <v>225</v>
          </cell>
        </row>
        <row r="242">
          <cell r="C242" t="str">
            <v>Kantoor300112</v>
          </cell>
          <cell r="D242">
            <v>225</v>
          </cell>
        </row>
        <row r="243">
          <cell r="C243" t="str">
            <v>Kantoor300152</v>
          </cell>
          <cell r="D243">
            <v>340</v>
          </cell>
        </row>
        <row r="244">
          <cell r="C244" t="str">
            <v>Kantoor300152</v>
          </cell>
          <cell r="D244">
            <v>340</v>
          </cell>
        </row>
        <row r="245">
          <cell r="C245" t="str">
            <v>Kantoor300152</v>
          </cell>
          <cell r="D245">
            <v>340</v>
          </cell>
        </row>
        <row r="246">
          <cell r="C246" t="str">
            <v>Kantoor3001254</v>
          </cell>
          <cell r="D246">
            <v>410</v>
          </cell>
        </row>
        <row r="247">
          <cell r="C247" t="str">
            <v>Kantoor3001254</v>
          </cell>
          <cell r="D247">
            <v>410</v>
          </cell>
        </row>
        <row r="248">
          <cell r="C248" t="str">
            <v>Kantoor3001254</v>
          </cell>
          <cell r="D248">
            <v>410</v>
          </cell>
        </row>
        <row r="249">
          <cell r="C249" t="str">
            <v>Kantoor3001254</v>
          </cell>
          <cell r="D249">
            <v>410</v>
          </cell>
        </row>
        <row r="250">
          <cell r="C250" t="str">
            <v>Kantoor3001254</v>
          </cell>
          <cell r="D250">
            <v>410</v>
          </cell>
        </row>
        <row r="251">
          <cell r="C251" t="str">
            <v>Kantoor3001254</v>
          </cell>
          <cell r="D251">
            <v>410</v>
          </cell>
        </row>
        <row r="252">
          <cell r="C252" t="str">
            <v>Kantoor300112</v>
          </cell>
          <cell r="D252">
            <v>225</v>
          </cell>
        </row>
        <row r="253">
          <cell r="C253" t="str">
            <v>Kantoor300112</v>
          </cell>
          <cell r="D253">
            <v>225</v>
          </cell>
        </row>
        <row r="254">
          <cell r="C254" t="str">
            <v>Kantoor300112</v>
          </cell>
          <cell r="D254">
            <v>225</v>
          </cell>
        </row>
        <row r="255">
          <cell r="C255" t="str">
            <v>Kantoor300112</v>
          </cell>
          <cell r="D255">
            <v>225</v>
          </cell>
        </row>
        <row r="256">
          <cell r="C256" t="str">
            <v>Kantoor3001254</v>
          </cell>
          <cell r="D256">
            <v>410</v>
          </cell>
        </row>
        <row r="257">
          <cell r="C257" t="str">
            <v>Kantoor300112</v>
          </cell>
          <cell r="D257">
            <v>225</v>
          </cell>
        </row>
        <row r="258">
          <cell r="C258" t="str">
            <v>Kantoor300112</v>
          </cell>
          <cell r="D258">
            <v>225</v>
          </cell>
        </row>
        <row r="259">
          <cell r="C259" t="str">
            <v>Kantoor300112</v>
          </cell>
          <cell r="D259">
            <v>225</v>
          </cell>
        </row>
        <row r="260">
          <cell r="C260" t="str">
            <v>Kantoor300112</v>
          </cell>
          <cell r="D260">
            <v>225</v>
          </cell>
        </row>
        <row r="261">
          <cell r="C261" t="str">
            <v>Kantoor300112</v>
          </cell>
          <cell r="D261">
            <v>225</v>
          </cell>
        </row>
        <row r="262">
          <cell r="C262" t="str">
            <v>Kantoor300112</v>
          </cell>
          <cell r="D262">
            <v>225</v>
          </cell>
        </row>
        <row r="263">
          <cell r="C263" t="str">
            <v>Kantoor300112</v>
          </cell>
          <cell r="D263">
            <v>225</v>
          </cell>
        </row>
        <row r="264">
          <cell r="C264" t="str">
            <v>Kantoor300112</v>
          </cell>
          <cell r="D264">
            <v>225</v>
          </cell>
        </row>
        <row r="265">
          <cell r="C265" t="str">
            <v>Kantoor300152</v>
          </cell>
          <cell r="D265">
            <v>340</v>
          </cell>
        </row>
        <row r="266">
          <cell r="C266" t="str">
            <v>Kantoor300112</v>
          </cell>
          <cell r="D266">
            <v>225</v>
          </cell>
        </row>
        <row r="267">
          <cell r="C267" t="str">
            <v>Kantoor3001254</v>
          </cell>
          <cell r="D267">
            <v>410</v>
          </cell>
        </row>
        <row r="268">
          <cell r="C268" t="str">
            <v>Kantoor3001254</v>
          </cell>
          <cell r="D268">
            <v>410</v>
          </cell>
        </row>
        <row r="269">
          <cell r="C269" t="str">
            <v>Kantoor300112</v>
          </cell>
          <cell r="D269">
            <v>225</v>
          </cell>
        </row>
        <row r="270">
          <cell r="C270" t="str">
            <v>Kantoor300112</v>
          </cell>
          <cell r="D270">
            <v>225</v>
          </cell>
        </row>
        <row r="271">
          <cell r="C271" t="str">
            <v>Kantoor3001156</v>
          </cell>
          <cell r="D271">
            <v>385</v>
          </cell>
        </row>
        <row r="272">
          <cell r="C272" t="str">
            <v>Kantoor3001156</v>
          </cell>
          <cell r="D272">
            <v>385</v>
          </cell>
        </row>
        <row r="273">
          <cell r="C273" t="str">
            <v>Kantoor3001156</v>
          </cell>
          <cell r="D273">
            <v>385</v>
          </cell>
        </row>
        <row r="274">
          <cell r="C274" t="str">
            <v>Kantoor3001156</v>
          </cell>
          <cell r="D274">
            <v>385</v>
          </cell>
        </row>
        <row r="275">
          <cell r="C275" t="str">
            <v>Kantoor3001156</v>
          </cell>
          <cell r="D275">
            <v>385</v>
          </cell>
        </row>
        <row r="276">
          <cell r="C276" t="str">
            <v>Kantoor3001156</v>
          </cell>
          <cell r="D276">
            <v>385</v>
          </cell>
        </row>
        <row r="277">
          <cell r="C277" t="str">
            <v>Kantoor3001156</v>
          </cell>
          <cell r="D277">
            <v>385</v>
          </cell>
        </row>
        <row r="278">
          <cell r="C278" t="str">
            <v>Kantoor3001156</v>
          </cell>
          <cell r="D278">
            <v>385</v>
          </cell>
        </row>
        <row r="279">
          <cell r="C279" t="str">
            <v>Kantoor3001156</v>
          </cell>
          <cell r="D279">
            <v>385</v>
          </cell>
        </row>
        <row r="280">
          <cell r="C280" t="str">
            <v>Kantoor3001156</v>
          </cell>
          <cell r="D280">
            <v>385</v>
          </cell>
        </row>
        <row r="281">
          <cell r="C281" t="str">
            <v>Kantoor3001156</v>
          </cell>
          <cell r="D281">
            <v>385</v>
          </cell>
        </row>
        <row r="282">
          <cell r="C282" t="str">
            <v>Kantoor3001156</v>
          </cell>
          <cell r="D282">
            <v>385</v>
          </cell>
        </row>
        <row r="283">
          <cell r="C283" t="str">
            <v>Kantoor3001156</v>
          </cell>
          <cell r="D283">
            <v>385</v>
          </cell>
        </row>
        <row r="284">
          <cell r="C284" t="str">
            <v>Kantoor3001156</v>
          </cell>
          <cell r="D284">
            <v>385</v>
          </cell>
        </row>
        <row r="285">
          <cell r="C285" t="str">
            <v>Kantoor3001156</v>
          </cell>
          <cell r="D285">
            <v>385</v>
          </cell>
        </row>
        <row r="286">
          <cell r="C286" t="str">
            <v>Kantoor3001156</v>
          </cell>
          <cell r="D286">
            <v>385</v>
          </cell>
        </row>
        <row r="287">
          <cell r="C287" t="str">
            <v>Kantoor3001156</v>
          </cell>
          <cell r="D287">
            <v>385</v>
          </cell>
        </row>
        <row r="288">
          <cell r="C288" t="str">
            <v>Kantoor3001156</v>
          </cell>
          <cell r="D288">
            <v>385</v>
          </cell>
        </row>
        <row r="289">
          <cell r="C289" t="str">
            <v>Kantoor3001156</v>
          </cell>
          <cell r="D289">
            <v>385</v>
          </cell>
        </row>
        <row r="290">
          <cell r="C290" t="str">
            <v>Kantoor3001156</v>
          </cell>
          <cell r="D290">
            <v>385</v>
          </cell>
        </row>
        <row r="291">
          <cell r="C291" t="str">
            <v>Kantoor3001156</v>
          </cell>
          <cell r="D291">
            <v>385</v>
          </cell>
        </row>
        <row r="292">
          <cell r="C292" t="str">
            <v>Kantoor3001156</v>
          </cell>
          <cell r="D292">
            <v>385</v>
          </cell>
        </row>
        <row r="293">
          <cell r="C293" t="str">
            <v>Kantoor3001156</v>
          </cell>
          <cell r="D293">
            <v>385</v>
          </cell>
        </row>
        <row r="294">
          <cell r="C294" t="str">
            <v>Kantoor3001156</v>
          </cell>
          <cell r="D294">
            <v>385</v>
          </cell>
        </row>
        <row r="295">
          <cell r="C295" t="str">
            <v>Kantoor3001156</v>
          </cell>
          <cell r="D295">
            <v>385</v>
          </cell>
        </row>
        <row r="296">
          <cell r="C296" t="str">
            <v>Kantoor3001156</v>
          </cell>
          <cell r="D296">
            <v>385</v>
          </cell>
        </row>
        <row r="297">
          <cell r="C297" t="str">
            <v>Kantoor3001156</v>
          </cell>
          <cell r="D297">
            <v>385</v>
          </cell>
        </row>
        <row r="298">
          <cell r="C298" t="str">
            <v>Kantoor3001156</v>
          </cell>
          <cell r="D298">
            <v>385</v>
          </cell>
        </row>
        <row r="299">
          <cell r="C299" t="str">
            <v>Kantoor3001156</v>
          </cell>
          <cell r="D299">
            <v>385</v>
          </cell>
        </row>
        <row r="300">
          <cell r="C300" t="str">
            <v>Kantoor3001156</v>
          </cell>
          <cell r="D300">
            <v>385</v>
          </cell>
        </row>
        <row r="301">
          <cell r="C301" t="str">
            <v>Kantoor3001156</v>
          </cell>
          <cell r="D301">
            <v>385</v>
          </cell>
        </row>
        <row r="302">
          <cell r="C302" t="str">
            <v>Kantoor3001156</v>
          </cell>
          <cell r="D302">
            <v>385</v>
          </cell>
        </row>
        <row r="303">
          <cell r="C303" t="str">
            <v>Kantoor3001156</v>
          </cell>
          <cell r="D303">
            <v>385</v>
          </cell>
        </row>
        <row r="304">
          <cell r="C304" t="str">
            <v>Kantoor3001156</v>
          </cell>
          <cell r="D304">
            <v>385</v>
          </cell>
        </row>
        <row r="305">
          <cell r="C305" t="str">
            <v>Kantoor3001156</v>
          </cell>
          <cell r="D305">
            <v>385</v>
          </cell>
        </row>
        <row r="306">
          <cell r="C306" t="str">
            <v>Kantoor3001156</v>
          </cell>
          <cell r="D306">
            <v>385</v>
          </cell>
        </row>
        <row r="307">
          <cell r="C307" t="str">
            <v>Kantoor3001156</v>
          </cell>
          <cell r="D307">
            <v>385</v>
          </cell>
        </row>
        <row r="308">
          <cell r="C308" t="str">
            <v>Kantoor3001156</v>
          </cell>
          <cell r="D308">
            <v>385</v>
          </cell>
        </row>
        <row r="309">
          <cell r="C309" t="str">
            <v>Kantoor3001156</v>
          </cell>
          <cell r="D309">
            <v>385</v>
          </cell>
        </row>
        <row r="310">
          <cell r="C310" t="str">
            <v>Kantoor3001156</v>
          </cell>
          <cell r="D310">
            <v>385</v>
          </cell>
        </row>
        <row r="311">
          <cell r="C311" t="str">
            <v>Kantoor3001156</v>
          </cell>
          <cell r="D311">
            <v>385</v>
          </cell>
        </row>
        <row r="312">
          <cell r="C312" t="str">
            <v>Kantoor3001</v>
          </cell>
          <cell r="D312">
            <v>380</v>
          </cell>
        </row>
        <row r="313">
          <cell r="C313" t="str">
            <v>Kantoor3001</v>
          </cell>
          <cell r="D313">
            <v>380</v>
          </cell>
        </row>
        <row r="314">
          <cell r="C314" t="str">
            <v>Kantoor3001156</v>
          </cell>
          <cell r="D314">
            <v>385</v>
          </cell>
        </row>
        <row r="315">
          <cell r="C315" t="str">
            <v>Kantoor3001156</v>
          </cell>
          <cell r="D315">
            <v>385</v>
          </cell>
        </row>
        <row r="316">
          <cell r="C316" t="str">
            <v>Kantoor3001156</v>
          </cell>
          <cell r="D316">
            <v>385</v>
          </cell>
        </row>
        <row r="317">
          <cell r="C317" t="str">
            <v>Kantoor3001</v>
          </cell>
          <cell r="D317">
            <v>380</v>
          </cell>
        </row>
        <row r="318">
          <cell r="C318" t="str">
            <v>Kantoor3001156</v>
          </cell>
          <cell r="D318">
            <v>385</v>
          </cell>
        </row>
        <row r="319">
          <cell r="C319" t="str">
            <v>Kantoor3001156</v>
          </cell>
          <cell r="D319">
            <v>385</v>
          </cell>
        </row>
        <row r="320">
          <cell r="C320" t="str">
            <v>Kantoor3001</v>
          </cell>
          <cell r="D320">
            <v>380</v>
          </cell>
        </row>
        <row r="321">
          <cell r="C321" t="str">
            <v>Kantoor3001156</v>
          </cell>
          <cell r="D321">
            <v>385</v>
          </cell>
        </row>
        <row r="322">
          <cell r="C322" t="str">
            <v>Kantoor3001</v>
          </cell>
          <cell r="D322">
            <v>380</v>
          </cell>
        </row>
        <row r="323">
          <cell r="C323" t="str">
            <v>Kantoor3001156</v>
          </cell>
          <cell r="D323">
            <v>385</v>
          </cell>
        </row>
        <row r="324">
          <cell r="C324" t="str">
            <v>Kantoor3001156</v>
          </cell>
          <cell r="D324">
            <v>385</v>
          </cell>
        </row>
        <row r="325">
          <cell r="C325" t="str">
            <v>Kantoor3001156</v>
          </cell>
          <cell r="D325">
            <v>385</v>
          </cell>
        </row>
        <row r="326">
          <cell r="C326" t="str">
            <v>Kantoor3001156</v>
          </cell>
          <cell r="D326">
            <v>385</v>
          </cell>
        </row>
        <row r="327">
          <cell r="C327" t="str">
            <v>Kantoor3001156</v>
          </cell>
          <cell r="D327">
            <v>385</v>
          </cell>
        </row>
        <row r="328">
          <cell r="C328" t="str">
            <v>Kantoor3001156</v>
          </cell>
          <cell r="D328">
            <v>385</v>
          </cell>
        </row>
        <row r="329">
          <cell r="C329" t="str">
            <v>Kantoor3001156</v>
          </cell>
          <cell r="D329">
            <v>385</v>
          </cell>
        </row>
        <row r="330">
          <cell r="C330" t="str">
            <v>Kantoor3001156</v>
          </cell>
          <cell r="D330">
            <v>385</v>
          </cell>
        </row>
        <row r="331">
          <cell r="C331" t="str">
            <v>Kantoor3001156</v>
          </cell>
          <cell r="D331">
            <v>385</v>
          </cell>
        </row>
        <row r="332">
          <cell r="C332" t="str">
            <v>Kantoor3001156</v>
          </cell>
          <cell r="D332">
            <v>385</v>
          </cell>
        </row>
        <row r="333">
          <cell r="C333" t="str">
            <v>Kantoor3001156</v>
          </cell>
          <cell r="D333">
            <v>385</v>
          </cell>
        </row>
        <row r="334">
          <cell r="C334" t="str">
            <v>Kantoor3001156</v>
          </cell>
          <cell r="D334">
            <v>385</v>
          </cell>
        </row>
        <row r="335">
          <cell r="C335" t="str">
            <v>Kantoor3001156</v>
          </cell>
          <cell r="D335">
            <v>385</v>
          </cell>
        </row>
        <row r="336">
          <cell r="C336" t="str">
            <v>Kantoor3001156</v>
          </cell>
          <cell r="D336">
            <v>385</v>
          </cell>
        </row>
        <row r="337">
          <cell r="C337" t="str">
            <v>Kantoor3001156</v>
          </cell>
          <cell r="D337">
            <v>385</v>
          </cell>
        </row>
        <row r="338">
          <cell r="C338" t="str">
            <v>Kantoor3001156</v>
          </cell>
          <cell r="D338">
            <v>385</v>
          </cell>
        </row>
        <row r="339">
          <cell r="C339" t="str">
            <v>Kantoor3001156</v>
          </cell>
          <cell r="D339">
            <v>385</v>
          </cell>
        </row>
        <row r="340">
          <cell r="C340" t="str">
            <v>Kantoor3001156</v>
          </cell>
          <cell r="D340">
            <v>385</v>
          </cell>
        </row>
        <row r="341">
          <cell r="C341" t="str">
            <v>Kantoor3001156</v>
          </cell>
          <cell r="D341">
            <v>385</v>
          </cell>
        </row>
        <row r="342">
          <cell r="C342" t="str">
            <v>Kantoor3001156</v>
          </cell>
          <cell r="D342">
            <v>385</v>
          </cell>
        </row>
        <row r="343">
          <cell r="C343" t="str">
            <v>Kantoor3003156</v>
          </cell>
          <cell r="D343">
            <v>365</v>
          </cell>
        </row>
        <row r="344">
          <cell r="C344" t="str">
            <v>Kantoor3001156</v>
          </cell>
          <cell r="D344">
            <v>385</v>
          </cell>
        </row>
        <row r="345">
          <cell r="C345" t="str">
            <v>Kantoor3001156</v>
          </cell>
          <cell r="D345">
            <v>385</v>
          </cell>
        </row>
        <row r="346">
          <cell r="C346" t="str">
            <v>Kantoor3001156</v>
          </cell>
          <cell r="D346">
            <v>385</v>
          </cell>
        </row>
        <row r="347">
          <cell r="C347" t="str">
            <v>Kantoor3001156</v>
          </cell>
          <cell r="D347">
            <v>385</v>
          </cell>
        </row>
        <row r="348">
          <cell r="C348" t="str">
            <v>Kantoor3001156</v>
          </cell>
          <cell r="D348">
            <v>385</v>
          </cell>
        </row>
        <row r="349">
          <cell r="C349" t="str">
            <v>Kantoor3001156</v>
          </cell>
          <cell r="D349">
            <v>385</v>
          </cell>
        </row>
        <row r="350">
          <cell r="C350" t="str">
            <v>Kantoor3001156</v>
          </cell>
          <cell r="D350">
            <v>385</v>
          </cell>
        </row>
        <row r="351">
          <cell r="C351" t="str">
            <v>Kantoor3001156</v>
          </cell>
          <cell r="D351">
            <v>385</v>
          </cell>
        </row>
        <row r="352">
          <cell r="C352" t="str">
            <v>Kantoor3001156</v>
          </cell>
          <cell r="D352">
            <v>385</v>
          </cell>
        </row>
        <row r="353">
          <cell r="C353" t="str">
            <v>Kantoor3001156</v>
          </cell>
          <cell r="D353">
            <v>385</v>
          </cell>
        </row>
        <row r="354">
          <cell r="C354" t="str">
            <v>Kantoor3001156</v>
          </cell>
          <cell r="D354">
            <v>385</v>
          </cell>
        </row>
        <row r="355">
          <cell r="C355" t="str">
            <v>Kantoor3001156</v>
          </cell>
          <cell r="D355">
            <v>385</v>
          </cell>
        </row>
        <row r="356">
          <cell r="C356" t="str">
            <v>Kantoor3001156</v>
          </cell>
          <cell r="D356">
            <v>385</v>
          </cell>
        </row>
        <row r="357">
          <cell r="C357" t="str">
            <v>Kantoor3001156</v>
          </cell>
          <cell r="D357">
            <v>385</v>
          </cell>
        </row>
        <row r="358">
          <cell r="C358" t="str">
            <v>Kantoor3001156</v>
          </cell>
          <cell r="D358">
            <v>385</v>
          </cell>
        </row>
        <row r="359">
          <cell r="C359" t="str">
            <v>Kantoor3001156</v>
          </cell>
          <cell r="D359">
            <v>385</v>
          </cell>
        </row>
        <row r="360">
          <cell r="C360" t="str">
            <v>Kantoor3001156</v>
          </cell>
          <cell r="D360">
            <v>385</v>
          </cell>
        </row>
        <row r="361">
          <cell r="C361" t="str">
            <v>Kantoor3001156</v>
          </cell>
          <cell r="D361">
            <v>385</v>
          </cell>
        </row>
        <row r="362">
          <cell r="C362" t="str">
            <v>Kantoor3001156</v>
          </cell>
          <cell r="D362">
            <v>385</v>
          </cell>
        </row>
        <row r="363">
          <cell r="C363" t="str">
            <v>Kantoor3001156</v>
          </cell>
          <cell r="D363">
            <v>385</v>
          </cell>
        </row>
        <row r="364">
          <cell r="C364" t="str">
            <v>Kantoor3001156</v>
          </cell>
          <cell r="D364">
            <v>385</v>
          </cell>
        </row>
        <row r="365">
          <cell r="C365" t="str">
            <v>Kantoor3001156</v>
          </cell>
          <cell r="D365">
            <v>385</v>
          </cell>
        </row>
        <row r="366">
          <cell r="C366" t="str">
            <v>Kantoor3001156</v>
          </cell>
          <cell r="D366">
            <v>385</v>
          </cell>
        </row>
        <row r="367">
          <cell r="C367" t="str">
            <v>Kantoor3001156</v>
          </cell>
          <cell r="D367">
            <v>385</v>
          </cell>
        </row>
        <row r="368">
          <cell r="C368" t="str">
            <v>Kantoor3001156</v>
          </cell>
          <cell r="D368">
            <v>385</v>
          </cell>
        </row>
        <row r="369">
          <cell r="C369" t="str">
            <v>Kantoor3001156</v>
          </cell>
          <cell r="D369">
            <v>385</v>
          </cell>
        </row>
        <row r="370">
          <cell r="C370" t="str">
            <v>Kantoor3001156</v>
          </cell>
          <cell r="D370">
            <v>385</v>
          </cell>
        </row>
        <row r="371">
          <cell r="C371" t="str">
            <v>Kantoor3001156</v>
          </cell>
          <cell r="D371">
            <v>385</v>
          </cell>
        </row>
        <row r="372">
          <cell r="C372" t="str">
            <v>Kantoor3001156</v>
          </cell>
          <cell r="D372">
            <v>385</v>
          </cell>
        </row>
        <row r="373">
          <cell r="C373" t="str">
            <v>Kantoor3001156</v>
          </cell>
          <cell r="D373">
            <v>385</v>
          </cell>
        </row>
        <row r="374">
          <cell r="C374" t="str">
            <v>Kantoor3001156</v>
          </cell>
          <cell r="D374">
            <v>385</v>
          </cell>
        </row>
        <row r="375">
          <cell r="C375" t="str">
            <v>Kantoor3003156</v>
          </cell>
          <cell r="D375">
            <v>365</v>
          </cell>
        </row>
        <row r="376">
          <cell r="C376" t="str">
            <v>Kantoor3002156</v>
          </cell>
          <cell r="D376">
            <v>375</v>
          </cell>
        </row>
        <row r="377">
          <cell r="C377" t="str">
            <v>Kantoor3002156</v>
          </cell>
          <cell r="D377">
            <v>375</v>
          </cell>
        </row>
        <row r="378">
          <cell r="C378" t="str">
            <v>Kantoor3002156</v>
          </cell>
          <cell r="D378">
            <v>375</v>
          </cell>
        </row>
        <row r="379">
          <cell r="C379" t="str">
            <v>Kantoor3002156</v>
          </cell>
          <cell r="D379">
            <v>375</v>
          </cell>
        </row>
        <row r="380">
          <cell r="C380" t="str">
            <v>Kantoor3002156</v>
          </cell>
          <cell r="D380">
            <v>375</v>
          </cell>
        </row>
        <row r="381">
          <cell r="C381" t="str">
            <v>kantoor3001254</v>
          </cell>
          <cell r="D381">
            <v>410</v>
          </cell>
        </row>
        <row r="382">
          <cell r="C382" t="str">
            <v>kantoor3001254</v>
          </cell>
          <cell r="D382">
            <v>410</v>
          </cell>
        </row>
        <row r="383">
          <cell r="C383" t="str">
            <v>kantoor3001254</v>
          </cell>
          <cell r="D383">
            <v>410</v>
          </cell>
        </row>
        <row r="384">
          <cell r="C384" t="str">
            <v>kantoor3001254</v>
          </cell>
          <cell r="D384">
            <v>410</v>
          </cell>
        </row>
        <row r="385">
          <cell r="C385" t="str">
            <v>kantoor3001254</v>
          </cell>
          <cell r="D385">
            <v>410</v>
          </cell>
        </row>
        <row r="386">
          <cell r="C386" t="str">
            <v>kantoor3001254</v>
          </cell>
          <cell r="D386">
            <v>410</v>
          </cell>
        </row>
        <row r="387">
          <cell r="C387" t="str">
            <v>Kantoor3001254</v>
          </cell>
          <cell r="D387">
            <v>410</v>
          </cell>
        </row>
        <row r="388">
          <cell r="C388" t="str">
            <v>kantoor3001254</v>
          </cell>
          <cell r="D388">
            <v>410</v>
          </cell>
        </row>
        <row r="389">
          <cell r="C389" t="str">
            <v>Kantoor3002156</v>
          </cell>
          <cell r="D389">
            <v>375</v>
          </cell>
        </row>
        <row r="390">
          <cell r="C390" t="str">
            <v>Kantoor3002156</v>
          </cell>
          <cell r="D390">
            <v>375</v>
          </cell>
        </row>
        <row r="391">
          <cell r="C391" t="str">
            <v>Kantoor300252</v>
          </cell>
          <cell r="D391">
            <v>350</v>
          </cell>
        </row>
        <row r="392">
          <cell r="C392" t="str">
            <v>Kantoor3001156</v>
          </cell>
          <cell r="D392">
            <v>385</v>
          </cell>
        </row>
        <row r="393">
          <cell r="C393" t="str">
            <v>Kantoor3001156</v>
          </cell>
          <cell r="D393">
            <v>385</v>
          </cell>
        </row>
        <row r="394">
          <cell r="C394" t="str">
            <v>Kantoor3001156</v>
          </cell>
          <cell r="D394">
            <v>385</v>
          </cell>
        </row>
        <row r="395">
          <cell r="C395" t="str">
            <v>Kantoor3001156</v>
          </cell>
          <cell r="D395">
            <v>385</v>
          </cell>
        </row>
        <row r="396">
          <cell r="C396" t="str">
            <v>Kantoor3001156</v>
          </cell>
          <cell r="D396">
            <v>385</v>
          </cell>
        </row>
        <row r="397">
          <cell r="C397" t="str">
            <v>Kantoor3001156</v>
          </cell>
          <cell r="D397">
            <v>385</v>
          </cell>
        </row>
        <row r="398">
          <cell r="C398" t="str">
            <v>kantoor3001254</v>
          </cell>
          <cell r="D398">
            <v>410</v>
          </cell>
        </row>
        <row r="399">
          <cell r="C399" t="str">
            <v>kantoor3001254</v>
          </cell>
          <cell r="D399">
            <v>410</v>
          </cell>
        </row>
        <row r="400">
          <cell r="C400" t="str">
            <v>kantoor3001254</v>
          </cell>
          <cell r="D400">
            <v>410</v>
          </cell>
        </row>
        <row r="401">
          <cell r="C401" t="str">
            <v>kantoor3001254</v>
          </cell>
          <cell r="D401">
            <v>410</v>
          </cell>
        </row>
        <row r="402">
          <cell r="C402" t="str">
            <v>kantoor3001254</v>
          </cell>
          <cell r="D402">
            <v>410</v>
          </cell>
        </row>
        <row r="403">
          <cell r="C403" t="str">
            <v>kantoor3001254</v>
          </cell>
          <cell r="D403">
            <v>410</v>
          </cell>
        </row>
        <row r="404">
          <cell r="C404" t="str">
            <v>kantoor3001254</v>
          </cell>
          <cell r="D404">
            <v>410</v>
          </cell>
        </row>
        <row r="405">
          <cell r="C405" t="str">
            <v>kantoor3001254</v>
          </cell>
          <cell r="D405">
            <v>410</v>
          </cell>
        </row>
        <row r="406">
          <cell r="C406" t="str">
            <v>kantoor3001254</v>
          </cell>
          <cell r="D406">
            <v>410</v>
          </cell>
        </row>
        <row r="407">
          <cell r="C407" t="str">
            <v>kantoor3001254</v>
          </cell>
          <cell r="D407">
            <v>410</v>
          </cell>
        </row>
        <row r="408">
          <cell r="C408" t="str">
            <v>kantoor3001254</v>
          </cell>
          <cell r="D408">
            <v>410</v>
          </cell>
        </row>
        <row r="409">
          <cell r="C409" t="str">
            <v>kantoor3001254</v>
          </cell>
          <cell r="D409">
            <v>410</v>
          </cell>
        </row>
        <row r="410">
          <cell r="C410" t="str">
            <v>kantoor3001254</v>
          </cell>
          <cell r="D410">
            <v>410</v>
          </cell>
        </row>
        <row r="411">
          <cell r="C411" t="str">
            <v>kantoor3001254</v>
          </cell>
          <cell r="D411">
            <v>410</v>
          </cell>
        </row>
        <row r="412">
          <cell r="C412" t="str">
            <v>kantoor3001254</v>
          </cell>
          <cell r="D412">
            <v>410</v>
          </cell>
        </row>
        <row r="413">
          <cell r="C413" t="str">
            <v>kantoor3001254</v>
          </cell>
          <cell r="D413">
            <v>410</v>
          </cell>
        </row>
        <row r="414">
          <cell r="C414" t="str">
            <v>kantoor3001254</v>
          </cell>
          <cell r="D414">
            <v>410</v>
          </cell>
        </row>
        <row r="415">
          <cell r="C415" t="str">
            <v>kantoor3001254</v>
          </cell>
          <cell r="D415">
            <v>410</v>
          </cell>
        </row>
        <row r="416">
          <cell r="C416" t="str">
            <v>kantoor3001254</v>
          </cell>
          <cell r="D416">
            <v>410</v>
          </cell>
        </row>
        <row r="417">
          <cell r="C417" t="str">
            <v>kantoor3001254</v>
          </cell>
          <cell r="D417">
            <v>410</v>
          </cell>
        </row>
        <row r="418">
          <cell r="C418" t="str">
            <v>kantoor3001254</v>
          </cell>
          <cell r="D418">
            <v>410</v>
          </cell>
        </row>
        <row r="419">
          <cell r="C419" t="str">
            <v>Kantoor300252</v>
          </cell>
          <cell r="D419">
            <v>350</v>
          </cell>
        </row>
        <row r="420">
          <cell r="C420" t="str">
            <v>Kantoor3001156</v>
          </cell>
          <cell r="D420">
            <v>385</v>
          </cell>
        </row>
        <row r="421">
          <cell r="C421" t="str">
            <v>Kantoor3001156</v>
          </cell>
          <cell r="D421">
            <v>385</v>
          </cell>
        </row>
        <row r="422">
          <cell r="C422" t="str">
            <v>Kantoor3001156</v>
          </cell>
          <cell r="D422">
            <v>385</v>
          </cell>
        </row>
        <row r="423">
          <cell r="C423" t="str">
            <v>Kantoor3001156</v>
          </cell>
          <cell r="D423">
            <v>385</v>
          </cell>
        </row>
        <row r="424">
          <cell r="C424" t="str">
            <v>Kantoor3001156</v>
          </cell>
          <cell r="D424">
            <v>385</v>
          </cell>
        </row>
        <row r="425">
          <cell r="C425" t="str">
            <v>Kantoor3001156</v>
          </cell>
          <cell r="D425">
            <v>385</v>
          </cell>
        </row>
        <row r="426">
          <cell r="C426" t="str">
            <v>Kantoor3001156</v>
          </cell>
          <cell r="D426">
            <v>385</v>
          </cell>
        </row>
        <row r="427">
          <cell r="C427" t="str">
            <v>Kantoor3002156</v>
          </cell>
          <cell r="D427">
            <v>375</v>
          </cell>
        </row>
        <row r="428">
          <cell r="C428" t="str">
            <v>Kantoor3002156</v>
          </cell>
          <cell r="D428">
            <v>375</v>
          </cell>
        </row>
        <row r="429">
          <cell r="C429" t="str">
            <v>Kantoor3001156</v>
          </cell>
          <cell r="D429">
            <v>385</v>
          </cell>
        </row>
        <row r="430">
          <cell r="C430" t="str">
            <v>Kantoor3001156</v>
          </cell>
          <cell r="D430">
            <v>385</v>
          </cell>
        </row>
        <row r="431">
          <cell r="C431" t="str">
            <v>Kantoor300152</v>
          </cell>
          <cell r="D431">
            <v>340</v>
          </cell>
        </row>
        <row r="432">
          <cell r="C432" t="str">
            <v>Kantoor3002254</v>
          </cell>
          <cell r="D432">
            <v>410</v>
          </cell>
        </row>
        <row r="433">
          <cell r="C433" t="str">
            <v>Kantoor3002156</v>
          </cell>
          <cell r="D433">
            <v>375</v>
          </cell>
        </row>
        <row r="434">
          <cell r="C434" t="str">
            <v>Kantoor3002156</v>
          </cell>
          <cell r="D434">
            <v>375</v>
          </cell>
        </row>
        <row r="435">
          <cell r="C435" t="str">
            <v>Kantoor3002156</v>
          </cell>
          <cell r="D435">
            <v>375</v>
          </cell>
        </row>
        <row r="436">
          <cell r="C436" t="str">
            <v>Kantoor3002156</v>
          </cell>
          <cell r="D436">
            <v>375</v>
          </cell>
        </row>
        <row r="437">
          <cell r="C437" t="str">
            <v>Kantoor3002156</v>
          </cell>
          <cell r="D437">
            <v>375</v>
          </cell>
        </row>
        <row r="438">
          <cell r="C438" t="str">
            <v>Kantoor3002156</v>
          </cell>
          <cell r="D438">
            <v>375</v>
          </cell>
        </row>
        <row r="439">
          <cell r="C439" t="str">
            <v>Kantoor3001156</v>
          </cell>
          <cell r="D439">
            <v>385</v>
          </cell>
        </row>
        <row r="440">
          <cell r="C440" t="str">
            <v>Kantoor3001156</v>
          </cell>
          <cell r="D440">
            <v>385</v>
          </cell>
        </row>
        <row r="441">
          <cell r="C441" t="str">
            <v>Kantoor3001156</v>
          </cell>
          <cell r="D441">
            <v>385</v>
          </cell>
        </row>
        <row r="442">
          <cell r="C442" t="str">
            <v>Kantoor3001156</v>
          </cell>
          <cell r="D442">
            <v>385</v>
          </cell>
        </row>
        <row r="443">
          <cell r="C443" t="str">
            <v>Kantoor3001156</v>
          </cell>
          <cell r="D443">
            <v>385</v>
          </cell>
        </row>
        <row r="444">
          <cell r="C444" t="str">
            <v>Kantoor300152</v>
          </cell>
          <cell r="D444">
            <v>340</v>
          </cell>
        </row>
        <row r="445">
          <cell r="C445" t="str">
            <v>Kantoor300152</v>
          </cell>
          <cell r="D445">
            <v>340</v>
          </cell>
        </row>
        <row r="446">
          <cell r="C446" t="str">
            <v>Kantoor300152</v>
          </cell>
          <cell r="D446">
            <v>340</v>
          </cell>
        </row>
        <row r="447">
          <cell r="C447" t="str">
            <v>Kantoor3001156</v>
          </cell>
          <cell r="D447">
            <v>385</v>
          </cell>
        </row>
        <row r="448">
          <cell r="C448" t="str">
            <v>Kantoor3001156</v>
          </cell>
          <cell r="D448">
            <v>385</v>
          </cell>
        </row>
        <row r="449">
          <cell r="C449" t="str">
            <v>Kantoor3001156</v>
          </cell>
          <cell r="D449">
            <v>385</v>
          </cell>
        </row>
        <row r="450">
          <cell r="C450" t="str">
            <v>Kantoor3001156</v>
          </cell>
          <cell r="D450">
            <v>385</v>
          </cell>
        </row>
        <row r="451">
          <cell r="C451" t="str">
            <v>Kantoor3001156</v>
          </cell>
          <cell r="D451">
            <v>385</v>
          </cell>
        </row>
        <row r="452">
          <cell r="C452" t="str">
            <v>Kantoor3001156</v>
          </cell>
          <cell r="D452">
            <v>385</v>
          </cell>
        </row>
        <row r="453">
          <cell r="C453" t="str">
            <v>Kantoor3001156</v>
          </cell>
          <cell r="D453">
            <v>385</v>
          </cell>
        </row>
        <row r="454">
          <cell r="C454" t="str">
            <v>Kantoor3001156</v>
          </cell>
          <cell r="D454">
            <v>385</v>
          </cell>
        </row>
        <row r="455">
          <cell r="C455" t="str">
            <v>Kantoor3001156</v>
          </cell>
          <cell r="D455">
            <v>385</v>
          </cell>
        </row>
        <row r="456">
          <cell r="C456" t="str">
            <v>Kantoor3001156</v>
          </cell>
          <cell r="D456">
            <v>385</v>
          </cell>
        </row>
        <row r="457">
          <cell r="C457" t="str">
            <v>Kantoor3001156</v>
          </cell>
          <cell r="D457">
            <v>385</v>
          </cell>
        </row>
        <row r="458">
          <cell r="C458" t="str">
            <v>Kantoor3001156</v>
          </cell>
          <cell r="D458">
            <v>385</v>
          </cell>
        </row>
        <row r="459">
          <cell r="C459" t="str">
            <v>Kantoor3001156</v>
          </cell>
          <cell r="D459">
            <v>385</v>
          </cell>
        </row>
        <row r="460">
          <cell r="C460" t="str">
            <v>Kantoor3001156</v>
          </cell>
          <cell r="D460">
            <v>385</v>
          </cell>
        </row>
        <row r="461">
          <cell r="C461" t="str">
            <v>Kantoor3001156</v>
          </cell>
          <cell r="D461">
            <v>385</v>
          </cell>
        </row>
        <row r="462">
          <cell r="C462" t="str">
            <v>Kantoor3001156</v>
          </cell>
          <cell r="D462">
            <v>385</v>
          </cell>
        </row>
        <row r="463">
          <cell r="C463" t="str">
            <v>Kantoor3001156</v>
          </cell>
          <cell r="D463">
            <v>385</v>
          </cell>
        </row>
        <row r="464">
          <cell r="C464" t="str">
            <v>Kantoor3001156</v>
          </cell>
          <cell r="D464">
            <v>385</v>
          </cell>
        </row>
        <row r="465">
          <cell r="C465" t="str">
            <v>Kantoor3001156</v>
          </cell>
          <cell r="D465">
            <v>385</v>
          </cell>
        </row>
        <row r="466">
          <cell r="C466" t="str">
            <v>Kantoor3001156</v>
          </cell>
          <cell r="D466">
            <v>385</v>
          </cell>
        </row>
        <row r="467">
          <cell r="C467" t="str">
            <v>Kantoor3001156</v>
          </cell>
          <cell r="D467">
            <v>385</v>
          </cell>
        </row>
        <row r="468">
          <cell r="C468" t="str">
            <v>Kantoor3001156</v>
          </cell>
          <cell r="D468">
            <v>385</v>
          </cell>
        </row>
        <row r="469">
          <cell r="C469" t="str">
            <v>Kantoor3001156</v>
          </cell>
          <cell r="D469">
            <v>385</v>
          </cell>
        </row>
        <row r="470">
          <cell r="C470" t="str">
            <v>Kantoor3001156</v>
          </cell>
          <cell r="D470">
            <v>385</v>
          </cell>
        </row>
        <row r="471">
          <cell r="C471" t="str">
            <v>Kantoor3001156</v>
          </cell>
          <cell r="D471">
            <v>385</v>
          </cell>
        </row>
        <row r="472">
          <cell r="C472" t="str">
            <v>Kantoor3001156</v>
          </cell>
          <cell r="D472">
            <v>385</v>
          </cell>
        </row>
        <row r="473">
          <cell r="C473" t="str">
            <v>Kantoor300152</v>
          </cell>
          <cell r="D473">
            <v>340</v>
          </cell>
        </row>
        <row r="474">
          <cell r="C474" t="str">
            <v>Kantoor3001156</v>
          </cell>
          <cell r="D474">
            <v>385</v>
          </cell>
        </row>
        <row r="475">
          <cell r="C475" t="str">
            <v>Kantoor3001156</v>
          </cell>
          <cell r="D475">
            <v>385</v>
          </cell>
        </row>
        <row r="476">
          <cell r="C476" t="str">
            <v>Kantoor3001156</v>
          </cell>
          <cell r="D476">
            <v>385</v>
          </cell>
        </row>
        <row r="477">
          <cell r="C477" t="str">
            <v>Kantoor3001156</v>
          </cell>
          <cell r="D477">
            <v>385</v>
          </cell>
        </row>
        <row r="478">
          <cell r="C478" t="str">
            <v>Kantoor3001156</v>
          </cell>
          <cell r="D478">
            <v>385</v>
          </cell>
        </row>
        <row r="479">
          <cell r="C479" t="str">
            <v>Kantoor3002156</v>
          </cell>
          <cell r="D479">
            <v>375</v>
          </cell>
        </row>
        <row r="480">
          <cell r="C480" t="str">
            <v>Kantoor3001156</v>
          </cell>
          <cell r="D480">
            <v>385</v>
          </cell>
        </row>
        <row r="481">
          <cell r="C481" t="str">
            <v>Kantoor3001156</v>
          </cell>
          <cell r="D481">
            <v>385</v>
          </cell>
        </row>
        <row r="482">
          <cell r="C482" t="str">
            <v>Kantoor3001156</v>
          </cell>
          <cell r="D482">
            <v>385</v>
          </cell>
        </row>
        <row r="483">
          <cell r="C483" t="str">
            <v>Kantoor3002156</v>
          </cell>
          <cell r="D483">
            <v>375</v>
          </cell>
        </row>
        <row r="484">
          <cell r="C484" t="str">
            <v>Kantoor3002156</v>
          </cell>
          <cell r="D484">
            <v>375</v>
          </cell>
        </row>
        <row r="485">
          <cell r="C485" t="str">
            <v>Kantoor3002156</v>
          </cell>
          <cell r="D485">
            <v>375</v>
          </cell>
        </row>
        <row r="486">
          <cell r="C486" t="str">
            <v>Kantoor3002156</v>
          </cell>
          <cell r="D486">
            <v>375</v>
          </cell>
        </row>
        <row r="487">
          <cell r="C487" t="str">
            <v>Kantoor3002156</v>
          </cell>
          <cell r="D487">
            <v>375</v>
          </cell>
        </row>
        <row r="488">
          <cell r="C488" t="str">
            <v>Kantoor3002156</v>
          </cell>
          <cell r="D488">
            <v>375</v>
          </cell>
        </row>
        <row r="489">
          <cell r="C489" t="str">
            <v>Kantoor3002156</v>
          </cell>
          <cell r="D489">
            <v>375</v>
          </cell>
        </row>
        <row r="490">
          <cell r="C490" t="str">
            <v>Kantoor3002156</v>
          </cell>
          <cell r="D490">
            <v>375</v>
          </cell>
        </row>
        <row r="491">
          <cell r="C491" t="str">
            <v>Kantoor 18300152</v>
          </cell>
          <cell r="D491">
            <v>340</v>
          </cell>
        </row>
        <row r="492">
          <cell r="C492" t="str">
            <v>Kantoortuin, incl brainboxen3002/3l254</v>
          </cell>
          <cell r="D492">
            <v>385</v>
          </cell>
        </row>
        <row r="493">
          <cell r="C493" t="str">
            <v>Keuken/pantry5801156</v>
          </cell>
          <cell r="D493">
            <v>185</v>
          </cell>
        </row>
        <row r="494">
          <cell r="C494" t="str">
            <v>Knip en plakhok6202156</v>
          </cell>
          <cell r="D494">
            <v>325</v>
          </cell>
        </row>
        <row r="495">
          <cell r="C495" t="str">
            <v>knip plakhok51</v>
          </cell>
          <cell r="D495">
            <v>0</v>
          </cell>
        </row>
        <row r="496">
          <cell r="C496" t="str">
            <v>Koffieautomaat5002156</v>
          </cell>
          <cell r="D496">
            <v>185</v>
          </cell>
        </row>
        <row r="497">
          <cell r="C497" t="str">
            <v>Kopieerruimte3801156</v>
          </cell>
          <cell r="D497">
            <v>360</v>
          </cell>
        </row>
        <row r="498">
          <cell r="C498" t="str">
            <v>Kopieerruimte3802156</v>
          </cell>
          <cell r="D498">
            <v>360</v>
          </cell>
        </row>
        <row r="499">
          <cell r="C499" t="str">
            <v>Kopieerruimte3801156</v>
          </cell>
          <cell r="D499">
            <v>360</v>
          </cell>
        </row>
        <row r="500">
          <cell r="C500" t="str">
            <v>Leslokaal6101156</v>
          </cell>
          <cell r="D500">
            <v>380</v>
          </cell>
        </row>
        <row r="501">
          <cell r="C501" t="str">
            <v>Leslokaal6101156</v>
          </cell>
          <cell r="D501">
            <v>380</v>
          </cell>
        </row>
        <row r="502">
          <cell r="C502" t="str">
            <v>Leslokaal6101156</v>
          </cell>
          <cell r="D502">
            <v>380</v>
          </cell>
        </row>
        <row r="503">
          <cell r="C503" t="str">
            <v>Leslokaal6101156</v>
          </cell>
          <cell r="D503">
            <v>380</v>
          </cell>
        </row>
        <row r="504">
          <cell r="C504" t="str">
            <v>Leslokaal6101156</v>
          </cell>
          <cell r="D504">
            <v>380</v>
          </cell>
        </row>
        <row r="505">
          <cell r="C505" t="str">
            <v>Leslokaal6101156</v>
          </cell>
          <cell r="D505">
            <v>380</v>
          </cell>
        </row>
        <row r="506">
          <cell r="C506" t="str">
            <v>Leslokaal6101156</v>
          </cell>
          <cell r="D506">
            <v>380</v>
          </cell>
        </row>
        <row r="507">
          <cell r="C507" t="str">
            <v>Leslokaal6101156</v>
          </cell>
          <cell r="D507">
            <v>380</v>
          </cell>
        </row>
        <row r="508">
          <cell r="C508" t="str">
            <v>Leslokaal6101156</v>
          </cell>
          <cell r="D508">
            <v>380</v>
          </cell>
        </row>
        <row r="509">
          <cell r="C509" t="str">
            <v>Leslokaal6101156</v>
          </cell>
          <cell r="D509">
            <v>380</v>
          </cell>
        </row>
        <row r="510">
          <cell r="C510" t="str">
            <v>Leslokaal6101156</v>
          </cell>
          <cell r="D510">
            <v>380</v>
          </cell>
        </row>
        <row r="511">
          <cell r="C511" t="str">
            <v>Leslokaal6101156</v>
          </cell>
          <cell r="D511">
            <v>380</v>
          </cell>
        </row>
        <row r="512">
          <cell r="C512" t="str">
            <v>Leslokaal6101156</v>
          </cell>
          <cell r="D512">
            <v>380</v>
          </cell>
        </row>
        <row r="513">
          <cell r="C513" t="str">
            <v>Leslokaal6101156</v>
          </cell>
          <cell r="D513">
            <v>380</v>
          </cell>
        </row>
        <row r="514">
          <cell r="C514" t="str">
            <v>Leslokaal610252</v>
          </cell>
          <cell r="D514">
            <v>330</v>
          </cell>
        </row>
        <row r="515">
          <cell r="C515" t="str">
            <v>Leslokaal6102156</v>
          </cell>
          <cell r="D515">
            <v>375</v>
          </cell>
        </row>
        <row r="516">
          <cell r="C516" t="str">
            <v>Leslokaal ?610152</v>
          </cell>
          <cell r="D516">
            <v>330</v>
          </cell>
        </row>
        <row r="517">
          <cell r="C517" t="str">
            <v>Leslokaal 11610152</v>
          </cell>
          <cell r="D517">
            <v>330</v>
          </cell>
        </row>
        <row r="518">
          <cell r="C518" t="str">
            <v>Leslokaal 13610152</v>
          </cell>
          <cell r="D518">
            <v>330</v>
          </cell>
        </row>
        <row r="519">
          <cell r="C519" t="str">
            <v>Leslokaal 17610152</v>
          </cell>
          <cell r="D519">
            <v>330</v>
          </cell>
        </row>
        <row r="520">
          <cell r="C520" t="str">
            <v>Leslokaal 2610252</v>
          </cell>
          <cell r="D520">
            <v>330</v>
          </cell>
        </row>
        <row r="521">
          <cell r="C521" t="str">
            <v>Leslokaal 3610252</v>
          </cell>
          <cell r="D521">
            <v>330</v>
          </cell>
        </row>
        <row r="522">
          <cell r="C522" t="str">
            <v>Leslokaal 4610252</v>
          </cell>
          <cell r="D522">
            <v>330</v>
          </cell>
        </row>
        <row r="523">
          <cell r="C523" t="str">
            <v>Leslokaal 6610152</v>
          </cell>
          <cell r="D523">
            <v>330</v>
          </cell>
        </row>
        <row r="524">
          <cell r="C524" t="str">
            <v>Leslokaal 8610252</v>
          </cell>
          <cell r="D524">
            <v>330</v>
          </cell>
        </row>
        <row r="525">
          <cell r="C525" t="str">
            <v>Leslokaal 9610152</v>
          </cell>
          <cell r="D525">
            <v>330</v>
          </cell>
        </row>
        <row r="526">
          <cell r="C526" t="str">
            <v>Lift1202156</v>
          </cell>
          <cell r="D526">
            <v>110</v>
          </cell>
        </row>
        <row r="527">
          <cell r="C527" t="str">
            <v>Lift1202156</v>
          </cell>
          <cell r="D527">
            <v>110</v>
          </cell>
        </row>
        <row r="528">
          <cell r="C528" t="str">
            <v>Lift1202156</v>
          </cell>
          <cell r="D528">
            <v>110</v>
          </cell>
        </row>
        <row r="529">
          <cell r="C529" t="str">
            <v>Lift090252</v>
          </cell>
          <cell r="D529">
            <v>110</v>
          </cell>
        </row>
        <row r="530">
          <cell r="C530" t="str">
            <v>Lift1202254</v>
          </cell>
          <cell r="D530">
            <v>125</v>
          </cell>
        </row>
        <row r="531">
          <cell r="C531" t="str">
            <v>Lift1202254</v>
          </cell>
          <cell r="D531">
            <v>125</v>
          </cell>
        </row>
        <row r="532">
          <cell r="C532" t="str">
            <v>Lift1202156</v>
          </cell>
          <cell r="D532">
            <v>110</v>
          </cell>
        </row>
        <row r="533">
          <cell r="C533" t="str">
            <v>lunchkamer5002254</v>
          </cell>
          <cell r="D533">
            <v>275</v>
          </cell>
        </row>
        <row r="534">
          <cell r="C534" t="str">
            <v>Lunchkamer5002156</v>
          </cell>
          <cell r="D534">
            <v>185</v>
          </cell>
        </row>
        <row r="535">
          <cell r="C535" t="str">
            <v>Magazijn400312</v>
          </cell>
          <cell r="D535">
            <v>625</v>
          </cell>
        </row>
        <row r="536">
          <cell r="C536" t="str">
            <v>Magazijn4002156</v>
          </cell>
          <cell r="D536">
            <v>675</v>
          </cell>
        </row>
        <row r="537">
          <cell r="C537" t="str">
            <v>Magazijn400112</v>
          </cell>
          <cell r="D537">
            <v>525</v>
          </cell>
        </row>
        <row r="538">
          <cell r="C538" t="str">
            <v>Magazijn400112</v>
          </cell>
          <cell r="D538">
            <v>525</v>
          </cell>
        </row>
        <row r="539">
          <cell r="C539" t="str">
            <v>Magazijn4002 geb.1412</v>
          </cell>
          <cell r="D539">
            <v>525</v>
          </cell>
        </row>
        <row r="540">
          <cell r="C540" t="str">
            <v>Magazijn4002254</v>
          </cell>
          <cell r="D540">
            <v>850</v>
          </cell>
        </row>
        <row r="541">
          <cell r="C541" t="str">
            <v>Magazijn40020</v>
          </cell>
          <cell r="D541">
            <v>0</v>
          </cell>
        </row>
        <row r="542">
          <cell r="C542" t="str">
            <v>Magazijn400213</v>
          </cell>
          <cell r="D542">
            <v>525</v>
          </cell>
        </row>
        <row r="543">
          <cell r="C543" t="str">
            <v>Magazijn400352</v>
          </cell>
          <cell r="D543">
            <v>625</v>
          </cell>
        </row>
        <row r="544">
          <cell r="C544" t="str">
            <v>Magazijn400252</v>
          </cell>
          <cell r="D544">
            <v>525</v>
          </cell>
        </row>
        <row r="545">
          <cell r="C545" t="str">
            <v>Magazijn400352</v>
          </cell>
          <cell r="D545">
            <v>625</v>
          </cell>
        </row>
        <row r="546">
          <cell r="C546" t="str">
            <v>Magazijn400352</v>
          </cell>
          <cell r="D546">
            <v>625</v>
          </cell>
        </row>
        <row r="547">
          <cell r="C547" t="str">
            <v>Magazijn400152</v>
          </cell>
          <cell r="D547">
            <v>525</v>
          </cell>
        </row>
        <row r="548">
          <cell r="C548" t="str">
            <v>Magazijn400252</v>
          </cell>
          <cell r="D548">
            <v>525</v>
          </cell>
        </row>
        <row r="549">
          <cell r="C549" t="str">
            <v>Magazijn400252</v>
          </cell>
          <cell r="D549">
            <v>525</v>
          </cell>
        </row>
        <row r="550">
          <cell r="C550" t="str">
            <v>Magazijn400352</v>
          </cell>
          <cell r="D550">
            <v>625</v>
          </cell>
        </row>
        <row r="551">
          <cell r="C551" t="str">
            <v>Magazijn400352</v>
          </cell>
          <cell r="D551">
            <v>625</v>
          </cell>
        </row>
        <row r="552">
          <cell r="C552" t="str">
            <v>Magazijn400352</v>
          </cell>
          <cell r="D552">
            <v>625</v>
          </cell>
        </row>
        <row r="553">
          <cell r="C553" t="str">
            <v>Magazijn4003254</v>
          </cell>
          <cell r="D553">
            <v>850</v>
          </cell>
        </row>
        <row r="554">
          <cell r="C554" t="str">
            <v>Magazijn4003254</v>
          </cell>
          <cell r="D554">
            <v>850</v>
          </cell>
        </row>
        <row r="555">
          <cell r="C555" t="str">
            <v>magazijn40020</v>
          </cell>
          <cell r="D555">
            <v>0</v>
          </cell>
        </row>
        <row r="556">
          <cell r="C556" t="str">
            <v>magazijn40020</v>
          </cell>
          <cell r="D556">
            <v>0</v>
          </cell>
        </row>
        <row r="557">
          <cell r="C557" t="str">
            <v>magazijn40020</v>
          </cell>
          <cell r="D557">
            <v>0</v>
          </cell>
        </row>
        <row r="558">
          <cell r="C558" t="str">
            <v>Magazijn4003156</v>
          </cell>
          <cell r="D558">
            <v>675</v>
          </cell>
        </row>
        <row r="559">
          <cell r="C559" t="str">
            <v>Magazijn4001156</v>
          </cell>
          <cell r="D559">
            <v>525</v>
          </cell>
        </row>
        <row r="560">
          <cell r="C560" t="str">
            <v>Magazijn/archief4003156</v>
          </cell>
          <cell r="D560">
            <v>675</v>
          </cell>
        </row>
        <row r="561">
          <cell r="C561" t="str">
            <v>Magazijn/Archief4003156</v>
          </cell>
          <cell r="D561">
            <v>675</v>
          </cell>
        </row>
        <row r="562">
          <cell r="C562" t="str">
            <v>Magazijn/Archief4002156</v>
          </cell>
          <cell r="D562">
            <v>675</v>
          </cell>
        </row>
        <row r="563">
          <cell r="C563" t="str">
            <v>Magazijn/archief400152</v>
          </cell>
          <cell r="D563">
            <v>525</v>
          </cell>
        </row>
        <row r="564">
          <cell r="C564" t="str">
            <v>Magazijn/archief40028</v>
          </cell>
          <cell r="D564">
            <v>525</v>
          </cell>
        </row>
        <row r="565">
          <cell r="C565" t="str">
            <v>materialen archief0</v>
          </cell>
          <cell r="D565">
            <v>0</v>
          </cell>
        </row>
        <row r="566">
          <cell r="C566" t="str">
            <v>Netwerkruimte300152</v>
          </cell>
          <cell r="D566">
            <v>340</v>
          </cell>
        </row>
        <row r="567">
          <cell r="C567" t="str">
            <v>Netwerkruimte340252</v>
          </cell>
          <cell r="D567">
            <v>475</v>
          </cell>
        </row>
        <row r="568">
          <cell r="C568" t="str">
            <v>Netwerkruimte34020</v>
          </cell>
          <cell r="D568">
            <v>0</v>
          </cell>
        </row>
        <row r="569">
          <cell r="C569" t="str">
            <v>netwerkruimte0</v>
          </cell>
          <cell r="D569">
            <v>0</v>
          </cell>
        </row>
        <row r="570">
          <cell r="C570" t="str">
            <v>Netwerkruimte340212</v>
          </cell>
          <cell r="D570">
            <v>450</v>
          </cell>
        </row>
        <row r="571">
          <cell r="C571" t="str">
            <v>Oliehok46028</v>
          </cell>
          <cell r="D571">
            <v>125</v>
          </cell>
        </row>
        <row r="572">
          <cell r="C572" t="str">
            <v>Oliehok460213</v>
          </cell>
          <cell r="D572">
            <v>225</v>
          </cell>
        </row>
        <row r="573">
          <cell r="C573" t="str">
            <v>Oliehok46038</v>
          </cell>
          <cell r="D573">
            <v>125</v>
          </cell>
        </row>
        <row r="574">
          <cell r="C574" t="str">
            <v>Oliehok460313</v>
          </cell>
          <cell r="D574">
            <v>125</v>
          </cell>
        </row>
        <row r="575">
          <cell r="C575" t="str">
            <v>Oliehok9102 geb.1526</v>
          </cell>
          <cell r="D575">
            <v>675</v>
          </cell>
        </row>
        <row r="576">
          <cell r="C576" t="str">
            <v>Pantry5802254</v>
          </cell>
          <cell r="D576">
            <v>275</v>
          </cell>
        </row>
        <row r="577">
          <cell r="C577" t="str">
            <v>Pantry5802254</v>
          </cell>
          <cell r="D577">
            <v>275</v>
          </cell>
        </row>
        <row r="578">
          <cell r="C578" t="str">
            <v>Pantry5802254</v>
          </cell>
          <cell r="D578">
            <v>275</v>
          </cell>
        </row>
        <row r="579">
          <cell r="C579" t="str">
            <v>Pantry580252</v>
          </cell>
          <cell r="D579">
            <v>125</v>
          </cell>
        </row>
        <row r="580">
          <cell r="C580" t="str">
            <v>Pantry5803254</v>
          </cell>
          <cell r="D580">
            <v>265</v>
          </cell>
        </row>
        <row r="581">
          <cell r="C581" t="str">
            <v>Pantry5802254</v>
          </cell>
          <cell r="D581">
            <v>275</v>
          </cell>
        </row>
        <row r="582">
          <cell r="C582" t="str">
            <v>Pantry5802156</v>
          </cell>
          <cell r="D582">
            <v>185</v>
          </cell>
        </row>
        <row r="583">
          <cell r="C583" t="str">
            <v>Pantry5802156</v>
          </cell>
          <cell r="D583">
            <v>185</v>
          </cell>
        </row>
        <row r="584">
          <cell r="C584" t="str">
            <v>Pantry5802 156</v>
          </cell>
          <cell r="D584">
            <v>185</v>
          </cell>
        </row>
        <row r="585">
          <cell r="C585" t="str">
            <v>Pantry5802156</v>
          </cell>
          <cell r="D585">
            <v>185</v>
          </cell>
        </row>
        <row r="586">
          <cell r="C586" t="str">
            <v>Pantry5802/3l254</v>
          </cell>
          <cell r="D586">
            <v>265</v>
          </cell>
        </row>
        <row r="587">
          <cell r="C587" t="str">
            <v>Pantry5802/3l254</v>
          </cell>
          <cell r="D587">
            <v>265</v>
          </cell>
        </row>
        <row r="588">
          <cell r="C588" t="str">
            <v>Pantry5802/3l52</v>
          </cell>
          <cell r="D588">
            <v>125</v>
          </cell>
        </row>
        <row r="589">
          <cell r="C589" t="str">
            <v>Pantry5802/3l52</v>
          </cell>
          <cell r="D589">
            <v>125</v>
          </cell>
        </row>
        <row r="590">
          <cell r="C590" t="str">
            <v>Pantry5802156</v>
          </cell>
          <cell r="D590">
            <v>185</v>
          </cell>
        </row>
        <row r="591">
          <cell r="C591" t="str">
            <v>Pantry5803156</v>
          </cell>
          <cell r="D591">
            <v>185</v>
          </cell>
        </row>
        <row r="592">
          <cell r="C592" t="str">
            <v>Papier ophalen104</v>
          </cell>
          <cell r="D592">
            <v>2.5</v>
          </cell>
        </row>
        <row r="593">
          <cell r="C593" t="str">
            <v>Pauzeruimte5002156</v>
          </cell>
          <cell r="D593">
            <v>185</v>
          </cell>
        </row>
        <row r="594">
          <cell r="C594" t="str">
            <v>Pauzeruimte5002254</v>
          </cell>
          <cell r="D594">
            <v>275</v>
          </cell>
        </row>
        <row r="595">
          <cell r="C595" t="str">
            <v>Pauzeruimte5002156</v>
          </cell>
          <cell r="D595">
            <v>185</v>
          </cell>
        </row>
        <row r="596">
          <cell r="C596" t="str">
            <v>Pauzeruimte5002254</v>
          </cell>
          <cell r="D596">
            <v>275</v>
          </cell>
        </row>
        <row r="597">
          <cell r="C597" t="str">
            <v>Pauzeruimte5002254</v>
          </cell>
          <cell r="D597">
            <v>275</v>
          </cell>
        </row>
        <row r="598">
          <cell r="C598" t="str">
            <v>Pauzeruimte5002254</v>
          </cell>
          <cell r="D598">
            <v>275</v>
          </cell>
        </row>
        <row r="599">
          <cell r="C599" t="str">
            <v>Pauzeruimte5003156</v>
          </cell>
          <cell r="D599">
            <v>175</v>
          </cell>
        </row>
        <row r="600">
          <cell r="C600" t="str">
            <v>Pauzeruimte5003254</v>
          </cell>
          <cell r="D600">
            <v>250</v>
          </cell>
        </row>
        <row r="601">
          <cell r="C601" t="str">
            <v>Pauzeruimte5003254</v>
          </cell>
          <cell r="D601">
            <v>250</v>
          </cell>
        </row>
        <row r="602">
          <cell r="C602" t="str">
            <v>Pauzeruimte5001254</v>
          </cell>
          <cell r="D602">
            <v>225</v>
          </cell>
        </row>
        <row r="603">
          <cell r="C603" t="str">
            <v>Pauzeruimte5001254</v>
          </cell>
          <cell r="D603">
            <v>225</v>
          </cell>
        </row>
        <row r="604">
          <cell r="C604" t="str">
            <v>Pauzeruimte5002156</v>
          </cell>
          <cell r="D604">
            <v>185</v>
          </cell>
        </row>
        <row r="605">
          <cell r="C605" t="str">
            <v>Pauzeruimte5002104</v>
          </cell>
          <cell r="D605">
            <v>175</v>
          </cell>
        </row>
        <row r="606">
          <cell r="C606" t="str">
            <v>Pauzeruimte500252</v>
          </cell>
          <cell r="D606">
            <v>150</v>
          </cell>
        </row>
        <row r="607">
          <cell r="C607" t="str">
            <v>Pauzeruimte500213</v>
          </cell>
          <cell r="D607">
            <v>125</v>
          </cell>
        </row>
        <row r="608">
          <cell r="C608" t="str">
            <v>Pauzeruimte5002254</v>
          </cell>
          <cell r="D608">
            <v>275</v>
          </cell>
        </row>
        <row r="609">
          <cell r="C609" t="str">
            <v>Postkamer3602156</v>
          </cell>
          <cell r="D609">
            <v>360</v>
          </cell>
        </row>
        <row r="610">
          <cell r="C610" t="str">
            <v>Postkamer/Archief156</v>
          </cell>
          <cell r="D610">
            <v>380</v>
          </cell>
        </row>
        <row r="611">
          <cell r="C611" t="str">
            <v>Receptie0601254</v>
          </cell>
          <cell r="D611">
            <v>360</v>
          </cell>
        </row>
        <row r="612">
          <cell r="C612" t="str">
            <v>receptie0603254</v>
          </cell>
          <cell r="D612">
            <v>310</v>
          </cell>
        </row>
        <row r="613">
          <cell r="C613" t="str">
            <v>receptie0601254</v>
          </cell>
          <cell r="D613">
            <v>360</v>
          </cell>
        </row>
        <row r="614">
          <cell r="C614" t="str">
            <v>receptie0601156</v>
          </cell>
          <cell r="D614">
            <v>325</v>
          </cell>
        </row>
        <row r="615">
          <cell r="C615" t="str">
            <v>Repairruimte9103254</v>
          </cell>
          <cell r="D615">
            <v>875</v>
          </cell>
        </row>
        <row r="616">
          <cell r="C616" t="str">
            <v>Sanitaire ruimte2003254</v>
          </cell>
          <cell r="D616">
            <v>75</v>
          </cell>
        </row>
        <row r="617">
          <cell r="C617" t="str">
            <v>Sanitaire ruimte2003254</v>
          </cell>
          <cell r="D617">
            <v>75</v>
          </cell>
        </row>
        <row r="618">
          <cell r="C618" t="str">
            <v>Sanitaire ruimte2003254</v>
          </cell>
          <cell r="D618">
            <v>75</v>
          </cell>
        </row>
        <row r="619">
          <cell r="C619" t="str">
            <v>Sanitaire ruimte2003254</v>
          </cell>
          <cell r="D619">
            <v>75</v>
          </cell>
        </row>
        <row r="620">
          <cell r="C620" t="str">
            <v>Sanitaire ruimte2003254</v>
          </cell>
          <cell r="D620">
            <v>75</v>
          </cell>
        </row>
        <row r="621">
          <cell r="C621" t="str">
            <v>Sanitaire ruimte2003254</v>
          </cell>
          <cell r="D621">
            <v>75</v>
          </cell>
        </row>
        <row r="622">
          <cell r="C622" t="str">
            <v>Sanitaire ruimte2003254</v>
          </cell>
          <cell r="D622">
            <v>75</v>
          </cell>
        </row>
        <row r="623">
          <cell r="C623" t="str">
            <v>Sanitaire ruimte2003254</v>
          </cell>
          <cell r="D623">
            <v>75</v>
          </cell>
        </row>
        <row r="624">
          <cell r="C624" t="str">
            <v>Sanitaire ruimte2003254</v>
          </cell>
          <cell r="D624">
            <v>75</v>
          </cell>
        </row>
        <row r="625">
          <cell r="C625" t="str">
            <v>Sanitaire ruimte2003254</v>
          </cell>
          <cell r="D625">
            <v>75</v>
          </cell>
        </row>
        <row r="626">
          <cell r="C626" t="str">
            <v>Sanitaire ruimte2003254</v>
          </cell>
          <cell r="D626">
            <v>75</v>
          </cell>
        </row>
        <row r="627">
          <cell r="C627" t="str">
            <v>Sanitaire ruimte2003254</v>
          </cell>
          <cell r="D627">
            <v>75</v>
          </cell>
        </row>
        <row r="628">
          <cell r="C628" t="str">
            <v>Sanitaire ruimte2003254</v>
          </cell>
          <cell r="D628">
            <v>75</v>
          </cell>
        </row>
        <row r="629">
          <cell r="C629" t="str">
            <v>Sanitaire ruimte2003254</v>
          </cell>
          <cell r="D629">
            <v>75</v>
          </cell>
        </row>
        <row r="630">
          <cell r="C630" t="str">
            <v>Sanitaire ruimte2003254</v>
          </cell>
          <cell r="D630">
            <v>75</v>
          </cell>
        </row>
        <row r="631">
          <cell r="C631" t="str">
            <v>Sanitaire ruimte2003254</v>
          </cell>
          <cell r="D631">
            <v>75</v>
          </cell>
        </row>
        <row r="632">
          <cell r="C632" t="str">
            <v>Sanitaire ruimte2003254</v>
          </cell>
          <cell r="D632">
            <v>75</v>
          </cell>
        </row>
        <row r="633">
          <cell r="C633" t="str">
            <v>Sanitaire ruimte2003254</v>
          </cell>
          <cell r="D633">
            <v>75</v>
          </cell>
        </row>
        <row r="634">
          <cell r="C634" t="str">
            <v>Sanitaire ruimte2003254</v>
          </cell>
          <cell r="D634">
            <v>75</v>
          </cell>
        </row>
        <row r="635">
          <cell r="C635" t="str">
            <v>Sanitaire ruimte2003254</v>
          </cell>
          <cell r="D635">
            <v>75</v>
          </cell>
        </row>
        <row r="636">
          <cell r="C636" t="str">
            <v>Sanitaire ruimte2003254</v>
          </cell>
          <cell r="D636">
            <v>75</v>
          </cell>
        </row>
        <row r="637">
          <cell r="C637" t="str">
            <v>Sanitaire ruimte2003254</v>
          </cell>
          <cell r="D637">
            <v>75</v>
          </cell>
        </row>
        <row r="638">
          <cell r="C638" t="str">
            <v>softwareruimte0</v>
          </cell>
          <cell r="D638">
            <v>0</v>
          </cell>
        </row>
        <row r="639">
          <cell r="C639" t="str">
            <v>Spuithok9102/3l254</v>
          </cell>
          <cell r="D639">
            <v>125</v>
          </cell>
        </row>
        <row r="640">
          <cell r="C640" t="str">
            <v>technische ruimte88030</v>
          </cell>
          <cell r="D640">
            <v>450</v>
          </cell>
        </row>
        <row r="641">
          <cell r="C641" t="str">
            <v>tochtsluis/entrée0203254</v>
          </cell>
          <cell r="D641">
            <v>330</v>
          </cell>
        </row>
        <row r="642">
          <cell r="C642" t="str">
            <v>Toilet2003254</v>
          </cell>
          <cell r="D642">
            <v>75</v>
          </cell>
        </row>
        <row r="643">
          <cell r="C643" t="str">
            <v>Toilet2003254</v>
          </cell>
          <cell r="D643">
            <v>75</v>
          </cell>
        </row>
        <row r="644">
          <cell r="C644" t="str">
            <v>Toilet2003254</v>
          </cell>
          <cell r="D644">
            <v>75</v>
          </cell>
        </row>
        <row r="645">
          <cell r="C645" t="str">
            <v>Toilet2003254</v>
          </cell>
          <cell r="D645">
            <v>75</v>
          </cell>
        </row>
        <row r="646">
          <cell r="C646" t="str">
            <v>Toilet2003254</v>
          </cell>
          <cell r="D646">
            <v>75</v>
          </cell>
        </row>
        <row r="647">
          <cell r="C647" t="str">
            <v>Toilet2003254</v>
          </cell>
          <cell r="D647">
            <v>75</v>
          </cell>
        </row>
        <row r="648">
          <cell r="C648" t="str">
            <v>Toilet2003254</v>
          </cell>
          <cell r="D648">
            <v>75</v>
          </cell>
        </row>
        <row r="649">
          <cell r="C649" t="str">
            <v>Toilet2003254</v>
          </cell>
          <cell r="D649">
            <v>75</v>
          </cell>
        </row>
        <row r="650">
          <cell r="C650" t="str">
            <v>Toilet2003254</v>
          </cell>
          <cell r="D650">
            <v>75</v>
          </cell>
        </row>
        <row r="651">
          <cell r="C651" t="str">
            <v>Toilet2003254</v>
          </cell>
          <cell r="D651">
            <v>75</v>
          </cell>
        </row>
        <row r="652">
          <cell r="C652" t="str">
            <v>Toilet2003254</v>
          </cell>
          <cell r="D652">
            <v>75</v>
          </cell>
        </row>
        <row r="653">
          <cell r="C653" t="str">
            <v>Toilet2003254</v>
          </cell>
          <cell r="D653">
            <v>75</v>
          </cell>
        </row>
        <row r="654">
          <cell r="C654" t="str">
            <v>Toilet2003254</v>
          </cell>
          <cell r="D654">
            <v>75</v>
          </cell>
        </row>
        <row r="655">
          <cell r="C655" t="str">
            <v>Toilet2003254</v>
          </cell>
          <cell r="D655">
            <v>75</v>
          </cell>
        </row>
        <row r="656">
          <cell r="C656" t="str">
            <v>Toilet2003156</v>
          </cell>
          <cell r="D656">
            <v>65</v>
          </cell>
        </row>
        <row r="657">
          <cell r="C657" t="str">
            <v>Toilet2003254</v>
          </cell>
          <cell r="D657">
            <v>75</v>
          </cell>
        </row>
        <row r="658">
          <cell r="C658" t="str">
            <v>Toilet2003506</v>
          </cell>
          <cell r="D658">
            <v>110</v>
          </cell>
        </row>
        <row r="659">
          <cell r="C659" t="str">
            <v>Toilet2003254</v>
          </cell>
          <cell r="D659">
            <v>75</v>
          </cell>
        </row>
        <row r="660">
          <cell r="C660" t="str">
            <v>Toilet2003254</v>
          </cell>
          <cell r="D660">
            <v>75</v>
          </cell>
        </row>
        <row r="661">
          <cell r="C661" t="str">
            <v>Toilet2003254</v>
          </cell>
          <cell r="D661">
            <v>75</v>
          </cell>
        </row>
        <row r="662">
          <cell r="C662" t="str">
            <v>Toilet2003254</v>
          </cell>
          <cell r="D662">
            <v>75</v>
          </cell>
        </row>
        <row r="663">
          <cell r="C663" t="str">
            <v>Toilet2003254</v>
          </cell>
          <cell r="D663">
            <v>75</v>
          </cell>
        </row>
        <row r="664">
          <cell r="C664" t="str">
            <v>Toilet2003254</v>
          </cell>
          <cell r="D664">
            <v>75</v>
          </cell>
        </row>
        <row r="665">
          <cell r="C665" t="str">
            <v>Toilet2003254</v>
          </cell>
          <cell r="D665">
            <v>75</v>
          </cell>
        </row>
        <row r="666">
          <cell r="C666" t="str">
            <v>Toilet2003254</v>
          </cell>
          <cell r="D666">
            <v>75</v>
          </cell>
        </row>
        <row r="667">
          <cell r="C667" t="str">
            <v>Toilet2003254</v>
          </cell>
          <cell r="D667">
            <v>75</v>
          </cell>
        </row>
        <row r="668">
          <cell r="C668" t="str">
            <v>Toilet2003254</v>
          </cell>
          <cell r="D668">
            <v>75</v>
          </cell>
        </row>
        <row r="669">
          <cell r="C669" t="str">
            <v>toilet2003254</v>
          </cell>
          <cell r="D669">
            <v>75</v>
          </cell>
        </row>
        <row r="670">
          <cell r="C670" t="str">
            <v>toilet2003254</v>
          </cell>
          <cell r="D670">
            <v>75</v>
          </cell>
        </row>
        <row r="671">
          <cell r="C671" t="str">
            <v>toilet2003254</v>
          </cell>
          <cell r="D671">
            <v>75</v>
          </cell>
        </row>
        <row r="672">
          <cell r="C672" t="str">
            <v>toilet2003254</v>
          </cell>
          <cell r="D672">
            <v>75</v>
          </cell>
        </row>
        <row r="673">
          <cell r="C673" t="str">
            <v>Toilet2003254</v>
          </cell>
          <cell r="D673">
            <v>75</v>
          </cell>
        </row>
        <row r="674">
          <cell r="C674" t="str">
            <v>Toilet2003254</v>
          </cell>
          <cell r="D674">
            <v>75</v>
          </cell>
        </row>
        <row r="675">
          <cell r="C675" t="str">
            <v>Toilet2003254</v>
          </cell>
          <cell r="D675">
            <v>75</v>
          </cell>
        </row>
        <row r="676">
          <cell r="C676" t="str">
            <v>Toilet2003254</v>
          </cell>
          <cell r="D676">
            <v>75</v>
          </cell>
        </row>
        <row r="677">
          <cell r="C677" t="str">
            <v>Toilet 2003156</v>
          </cell>
          <cell r="D677">
            <v>65</v>
          </cell>
        </row>
        <row r="678">
          <cell r="C678" t="str">
            <v>Toilet 2003254</v>
          </cell>
          <cell r="D678">
            <v>75</v>
          </cell>
        </row>
        <row r="679">
          <cell r="C679" t="str">
            <v>Toilet 2003254</v>
          </cell>
          <cell r="D679">
            <v>75</v>
          </cell>
        </row>
        <row r="680">
          <cell r="C680" t="str">
            <v>Toilet Dames2003254</v>
          </cell>
          <cell r="D680">
            <v>75</v>
          </cell>
        </row>
        <row r="681">
          <cell r="C681" t="str">
            <v>Toilet dames2003254</v>
          </cell>
          <cell r="D681">
            <v>75</v>
          </cell>
        </row>
        <row r="682">
          <cell r="C682" t="str">
            <v>Toilet Dames2003156</v>
          </cell>
          <cell r="D682">
            <v>65</v>
          </cell>
        </row>
        <row r="683">
          <cell r="C683" t="str">
            <v>Toilet Dames2003254</v>
          </cell>
          <cell r="D683">
            <v>75</v>
          </cell>
        </row>
        <row r="684">
          <cell r="C684" t="str">
            <v>Toilet Dames2003254</v>
          </cell>
          <cell r="D684">
            <v>75</v>
          </cell>
        </row>
        <row r="685">
          <cell r="C685" t="str">
            <v>Toilet Dames2003254</v>
          </cell>
          <cell r="D685">
            <v>75</v>
          </cell>
        </row>
        <row r="686">
          <cell r="C686" t="str">
            <v>Toilet Heren2003254</v>
          </cell>
          <cell r="D686">
            <v>75</v>
          </cell>
        </row>
        <row r="687">
          <cell r="C687" t="str">
            <v>Toilet Heren2003254</v>
          </cell>
          <cell r="D687">
            <v>75</v>
          </cell>
        </row>
        <row r="688">
          <cell r="C688" t="str">
            <v>Toilet Heren2003254</v>
          </cell>
          <cell r="D688">
            <v>75</v>
          </cell>
        </row>
        <row r="689">
          <cell r="C689" t="str">
            <v>Toilet Heren2003254</v>
          </cell>
          <cell r="D689">
            <v>75</v>
          </cell>
        </row>
        <row r="690">
          <cell r="C690" t="str">
            <v>Toilet Heren2003254</v>
          </cell>
          <cell r="D690">
            <v>75</v>
          </cell>
        </row>
        <row r="691">
          <cell r="C691" t="str">
            <v>Toilet heren1103254</v>
          </cell>
          <cell r="D691">
            <v>75</v>
          </cell>
        </row>
        <row r="692">
          <cell r="C692" t="str">
            <v>Toilet Heren2003254</v>
          </cell>
          <cell r="D692">
            <v>75</v>
          </cell>
        </row>
        <row r="693">
          <cell r="C693" t="str">
            <v>Toilet Heren2003254</v>
          </cell>
          <cell r="D693">
            <v>75</v>
          </cell>
        </row>
        <row r="694">
          <cell r="C694" t="str">
            <v>Toilet Heren2003254</v>
          </cell>
          <cell r="D694">
            <v>75</v>
          </cell>
        </row>
        <row r="695">
          <cell r="C695" t="str">
            <v>Toilet Heren2003254</v>
          </cell>
          <cell r="D695">
            <v>75</v>
          </cell>
        </row>
        <row r="696">
          <cell r="C696" t="str">
            <v>Toilet heren2003156</v>
          </cell>
          <cell r="D696">
            <v>65</v>
          </cell>
        </row>
        <row r="697">
          <cell r="C697" t="str">
            <v>Toilet Heren2003254</v>
          </cell>
          <cell r="D697">
            <v>75</v>
          </cell>
        </row>
        <row r="698">
          <cell r="C698" t="str">
            <v>Toilet Heren2003254</v>
          </cell>
          <cell r="D698">
            <v>75</v>
          </cell>
        </row>
        <row r="699">
          <cell r="C699" t="str">
            <v>Toilet Heren2003254</v>
          </cell>
          <cell r="D699">
            <v>75</v>
          </cell>
        </row>
        <row r="700">
          <cell r="C700" t="str">
            <v>Toilet Heren200352</v>
          </cell>
          <cell r="D700">
            <v>45</v>
          </cell>
        </row>
        <row r="701">
          <cell r="C701" t="str">
            <v>Toilet Heren2003254</v>
          </cell>
          <cell r="D701">
            <v>75</v>
          </cell>
        </row>
        <row r="702">
          <cell r="C702" t="str">
            <v>Toilet Heren2003254</v>
          </cell>
          <cell r="D702">
            <v>75</v>
          </cell>
        </row>
        <row r="703">
          <cell r="C703" t="str">
            <v>Toilet Heren200352</v>
          </cell>
          <cell r="D703">
            <v>45</v>
          </cell>
        </row>
        <row r="704">
          <cell r="C704" t="str">
            <v>Toilet Heren200352</v>
          </cell>
          <cell r="D704">
            <v>45</v>
          </cell>
        </row>
        <row r="705">
          <cell r="C705" t="str">
            <v>Toilet Heren200352</v>
          </cell>
          <cell r="D705">
            <v>45</v>
          </cell>
        </row>
        <row r="706">
          <cell r="C706" t="str">
            <v>Toilet Heren2003254</v>
          </cell>
          <cell r="D706">
            <v>75</v>
          </cell>
        </row>
        <row r="707">
          <cell r="C707" t="str">
            <v>Toilet naloop2003254</v>
          </cell>
          <cell r="D707">
            <v>125</v>
          </cell>
        </row>
        <row r="708">
          <cell r="C708" t="str">
            <v>Toilet naloop2003254</v>
          </cell>
          <cell r="D708">
            <v>125</v>
          </cell>
        </row>
        <row r="709">
          <cell r="C709" t="str">
            <v>Toilet naloop2003254</v>
          </cell>
          <cell r="D709">
            <v>125</v>
          </cell>
        </row>
        <row r="710">
          <cell r="C710" t="str">
            <v>toiletten2003254</v>
          </cell>
          <cell r="D710">
            <v>75</v>
          </cell>
        </row>
        <row r="711">
          <cell r="C711" t="str">
            <v>toiletten2003254</v>
          </cell>
          <cell r="D711">
            <v>75</v>
          </cell>
        </row>
        <row r="712">
          <cell r="C712" t="str">
            <v>toiletten2003254</v>
          </cell>
          <cell r="D712">
            <v>75</v>
          </cell>
        </row>
        <row r="713">
          <cell r="C713" t="str">
            <v>toiletten2003254</v>
          </cell>
          <cell r="D713">
            <v>75</v>
          </cell>
        </row>
        <row r="714">
          <cell r="C714" t="str">
            <v>toiletten2003254</v>
          </cell>
          <cell r="D714">
            <v>75</v>
          </cell>
        </row>
        <row r="715">
          <cell r="C715" t="str">
            <v>Transportgang110252</v>
          </cell>
          <cell r="D715">
            <v>650</v>
          </cell>
        </row>
        <row r="716">
          <cell r="C716" t="str">
            <v>Transportgang110252</v>
          </cell>
          <cell r="D716">
            <v>650</v>
          </cell>
        </row>
        <row r="717">
          <cell r="C717" t="str">
            <v>Transportgang11020</v>
          </cell>
          <cell r="D717">
            <v>750</v>
          </cell>
        </row>
        <row r="718">
          <cell r="C718" t="str">
            <v>Transportgang110213</v>
          </cell>
          <cell r="D718">
            <v>525</v>
          </cell>
        </row>
        <row r="719">
          <cell r="C719" t="str">
            <v>Transportgang110252</v>
          </cell>
          <cell r="D719">
            <v>650</v>
          </cell>
        </row>
        <row r="720">
          <cell r="C720" t="str">
            <v>Transportgang11020</v>
          </cell>
          <cell r="D720">
            <v>750</v>
          </cell>
        </row>
        <row r="721">
          <cell r="C721" t="str">
            <v>Transportgang110213</v>
          </cell>
          <cell r="D721">
            <v>525</v>
          </cell>
        </row>
        <row r="722">
          <cell r="C722" t="str">
            <v>Transportgang110252</v>
          </cell>
          <cell r="D722">
            <v>650</v>
          </cell>
        </row>
        <row r="723">
          <cell r="C723" t="str">
            <v>Transportgang11020</v>
          </cell>
          <cell r="D723">
            <v>750</v>
          </cell>
        </row>
        <row r="724">
          <cell r="C724" t="str">
            <v>Transportgang110213</v>
          </cell>
          <cell r="D724">
            <v>525</v>
          </cell>
        </row>
        <row r="725">
          <cell r="C725" t="str">
            <v>Transportgang110252</v>
          </cell>
          <cell r="D725">
            <v>650</v>
          </cell>
        </row>
        <row r="726">
          <cell r="C726" t="str">
            <v>Transportgang11020</v>
          </cell>
          <cell r="D726">
            <v>750</v>
          </cell>
        </row>
        <row r="727">
          <cell r="C727" t="str">
            <v>Transportgang110213</v>
          </cell>
          <cell r="D727">
            <v>525</v>
          </cell>
        </row>
        <row r="728">
          <cell r="C728" t="str">
            <v>Transportgang110352</v>
          </cell>
          <cell r="D728">
            <v>625</v>
          </cell>
        </row>
        <row r="729">
          <cell r="C729" t="str">
            <v>Transportgang110252</v>
          </cell>
          <cell r="D729">
            <v>650</v>
          </cell>
        </row>
        <row r="730">
          <cell r="C730" t="str">
            <v>Transportgang110252</v>
          </cell>
          <cell r="D730">
            <v>650</v>
          </cell>
        </row>
        <row r="731">
          <cell r="C731" t="str">
            <v>Transportgang110252</v>
          </cell>
          <cell r="D731">
            <v>650</v>
          </cell>
        </row>
        <row r="732">
          <cell r="C732" t="str">
            <v>Transportgang11020</v>
          </cell>
          <cell r="D732">
            <v>750</v>
          </cell>
        </row>
        <row r="733">
          <cell r="C733" t="str">
            <v>Transportgang110252</v>
          </cell>
          <cell r="D733">
            <v>650</v>
          </cell>
        </row>
        <row r="734">
          <cell r="C734" t="str">
            <v>Transportgang11020</v>
          </cell>
          <cell r="D734">
            <v>750</v>
          </cell>
        </row>
        <row r="735">
          <cell r="C735" t="str">
            <v>Transportgang110252</v>
          </cell>
          <cell r="D735">
            <v>650</v>
          </cell>
        </row>
        <row r="736">
          <cell r="C736" t="str">
            <v>Transportgang110252</v>
          </cell>
          <cell r="D736">
            <v>650</v>
          </cell>
        </row>
        <row r="737">
          <cell r="C737" t="str">
            <v>Transportgang110252</v>
          </cell>
          <cell r="D737">
            <v>650</v>
          </cell>
        </row>
        <row r="738">
          <cell r="C738" t="str">
            <v>Transportgang110252</v>
          </cell>
          <cell r="D738">
            <v>650</v>
          </cell>
        </row>
        <row r="739">
          <cell r="C739" t="str">
            <v>Transportgang1102156</v>
          </cell>
          <cell r="D739">
            <v>650</v>
          </cell>
        </row>
        <row r="740">
          <cell r="C740" t="str">
            <v>Trappenhuis1003156</v>
          </cell>
          <cell r="D740">
            <v>325</v>
          </cell>
        </row>
        <row r="741">
          <cell r="C741" t="str">
            <v>Trappenhuis100352</v>
          </cell>
          <cell r="D741">
            <v>275</v>
          </cell>
        </row>
        <row r="742">
          <cell r="C742" t="str">
            <v>Trappenhuis100352</v>
          </cell>
          <cell r="D742">
            <v>275</v>
          </cell>
        </row>
        <row r="743">
          <cell r="C743" t="str">
            <v>Trappenhuis100352</v>
          </cell>
          <cell r="D743">
            <v>275</v>
          </cell>
        </row>
        <row r="744">
          <cell r="C744" t="str">
            <v>Trappenhuis100352</v>
          </cell>
          <cell r="D744">
            <v>275</v>
          </cell>
        </row>
        <row r="745">
          <cell r="C745" t="str">
            <v>Trappenhuis1003254</v>
          </cell>
          <cell r="D745">
            <v>325</v>
          </cell>
        </row>
        <row r="746">
          <cell r="C746" t="str">
            <v>Trappenhuis1003156</v>
          </cell>
          <cell r="D746">
            <v>300</v>
          </cell>
        </row>
        <row r="747">
          <cell r="C747" t="str">
            <v>Trappenhuis1003156</v>
          </cell>
          <cell r="D747">
            <v>300</v>
          </cell>
        </row>
        <row r="748">
          <cell r="C748" t="str">
            <v>Trappenhuis1003156</v>
          </cell>
          <cell r="D748">
            <v>300</v>
          </cell>
        </row>
        <row r="749">
          <cell r="C749" t="str">
            <v>Trappenhuis1003156</v>
          </cell>
          <cell r="D749">
            <v>300</v>
          </cell>
        </row>
        <row r="750">
          <cell r="C750" t="str">
            <v>Trappenhuis1003156</v>
          </cell>
          <cell r="D750">
            <v>300</v>
          </cell>
        </row>
        <row r="751">
          <cell r="C751" t="str">
            <v>Trappenhuis1002156</v>
          </cell>
          <cell r="D751">
            <v>300</v>
          </cell>
        </row>
        <row r="752">
          <cell r="C752" t="str">
            <v>Trappenhuis1003156</v>
          </cell>
          <cell r="D752">
            <v>300</v>
          </cell>
        </row>
        <row r="753">
          <cell r="C753" t="str">
            <v>Trappenhuis1001156</v>
          </cell>
          <cell r="D753">
            <v>325</v>
          </cell>
        </row>
        <row r="754">
          <cell r="C754" t="str">
            <v>Trappenhuis1003156</v>
          </cell>
          <cell r="D754">
            <v>300</v>
          </cell>
        </row>
        <row r="755">
          <cell r="C755" t="str">
            <v>Trappenhuis1001156</v>
          </cell>
          <cell r="D755">
            <v>325</v>
          </cell>
        </row>
        <row r="756">
          <cell r="C756" t="str">
            <v>Trappenhuis1003156</v>
          </cell>
          <cell r="D756">
            <v>300</v>
          </cell>
        </row>
        <row r="757">
          <cell r="C757" t="str">
            <v>Trappenhuis1001156</v>
          </cell>
          <cell r="D757">
            <v>325</v>
          </cell>
        </row>
        <row r="758">
          <cell r="C758" t="str">
            <v>Trappenhuis1003156</v>
          </cell>
          <cell r="D758">
            <v>300</v>
          </cell>
        </row>
        <row r="759">
          <cell r="C759" t="str">
            <v>Trappenhuis1001156</v>
          </cell>
          <cell r="D759">
            <v>325</v>
          </cell>
        </row>
        <row r="760">
          <cell r="C760" t="str">
            <v>Trappenhuis1003156</v>
          </cell>
          <cell r="D760">
            <v>300</v>
          </cell>
        </row>
        <row r="761">
          <cell r="C761" t="str">
            <v>Trappenhuis1001156</v>
          </cell>
          <cell r="D761">
            <v>325</v>
          </cell>
        </row>
        <row r="762">
          <cell r="C762" t="str">
            <v>Trappenhuis1003156</v>
          </cell>
          <cell r="D762">
            <v>300</v>
          </cell>
        </row>
        <row r="763">
          <cell r="C763" t="str">
            <v>Trappenhuis1001156</v>
          </cell>
          <cell r="D763">
            <v>325</v>
          </cell>
        </row>
        <row r="764">
          <cell r="C764" t="str">
            <v>Trappenhuis1001156</v>
          </cell>
          <cell r="D764">
            <v>325</v>
          </cell>
        </row>
        <row r="765">
          <cell r="C765" t="str">
            <v>Trappenhuis1002156</v>
          </cell>
          <cell r="D765">
            <v>325</v>
          </cell>
        </row>
        <row r="766">
          <cell r="C766" t="str">
            <v>Trappenhuis1002156</v>
          </cell>
          <cell r="D766">
            <v>325</v>
          </cell>
        </row>
        <row r="767">
          <cell r="C767" t="str">
            <v>Trappenhuis1002156</v>
          </cell>
          <cell r="D767">
            <v>325</v>
          </cell>
        </row>
        <row r="768">
          <cell r="C768" t="str">
            <v>Trappenhuis1002156</v>
          </cell>
          <cell r="D768">
            <v>325</v>
          </cell>
        </row>
        <row r="769">
          <cell r="C769" t="str">
            <v>Trappenhuis1002156</v>
          </cell>
          <cell r="D769">
            <v>325</v>
          </cell>
        </row>
        <row r="770">
          <cell r="C770" t="str">
            <v>Trappenhuis1002254</v>
          </cell>
          <cell r="D770">
            <v>350</v>
          </cell>
        </row>
        <row r="771">
          <cell r="C771" t="str">
            <v>Trappenhuis1002254</v>
          </cell>
          <cell r="D771">
            <v>350</v>
          </cell>
        </row>
        <row r="772">
          <cell r="C772" t="str">
            <v>Trappenhuis1002156</v>
          </cell>
          <cell r="D772">
            <v>325</v>
          </cell>
        </row>
        <row r="773">
          <cell r="C773" t="str">
            <v>Trappenhuis1002156</v>
          </cell>
          <cell r="D773">
            <v>325</v>
          </cell>
        </row>
        <row r="774">
          <cell r="C774" t="str">
            <v>Trappenhuis1002156</v>
          </cell>
          <cell r="D774">
            <v>325</v>
          </cell>
        </row>
        <row r="775">
          <cell r="C775" t="str">
            <v>Trappenhuis100352</v>
          </cell>
          <cell r="D775">
            <v>275</v>
          </cell>
        </row>
        <row r="776">
          <cell r="C776" t="str">
            <v>trappenhuis1002254</v>
          </cell>
          <cell r="D776">
            <v>425</v>
          </cell>
        </row>
        <row r="777">
          <cell r="C777" t="str">
            <v>trappenhuis1002254</v>
          </cell>
          <cell r="D777">
            <v>425</v>
          </cell>
        </row>
        <row r="778">
          <cell r="C778" t="str">
            <v>trappenhuis1002254</v>
          </cell>
          <cell r="D778">
            <v>425</v>
          </cell>
        </row>
        <row r="779">
          <cell r="C779" t="str">
            <v>trappenhuis1002254</v>
          </cell>
          <cell r="D779">
            <v>425</v>
          </cell>
        </row>
        <row r="780">
          <cell r="C780" t="str">
            <v>Trappenhuis1003/3l254</v>
          </cell>
          <cell r="D780">
            <v>325</v>
          </cell>
        </row>
        <row r="781">
          <cell r="C781" t="str">
            <v>Trappenhuis1002/3l254</v>
          </cell>
          <cell r="D781">
            <v>325</v>
          </cell>
        </row>
        <row r="782">
          <cell r="C782" t="str">
            <v>Trappenhuis1003254</v>
          </cell>
          <cell r="D782">
            <v>325</v>
          </cell>
        </row>
        <row r="783">
          <cell r="C783" t="str">
            <v>Trappenhuis1002254</v>
          </cell>
          <cell r="D783">
            <v>425</v>
          </cell>
        </row>
        <row r="784">
          <cell r="C784" t="str">
            <v>Trappenhuis1002104</v>
          </cell>
          <cell r="D784">
            <v>325</v>
          </cell>
        </row>
        <row r="785">
          <cell r="C785" t="str">
            <v>Trappenhuis1002254</v>
          </cell>
          <cell r="D785">
            <v>425</v>
          </cell>
        </row>
        <row r="786">
          <cell r="C786" t="str">
            <v>Trappenhuis1002254</v>
          </cell>
          <cell r="D786">
            <v>425</v>
          </cell>
        </row>
        <row r="787">
          <cell r="C787" t="str">
            <v>Trappenhuis1003156</v>
          </cell>
          <cell r="D787">
            <v>300</v>
          </cell>
        </row>
        <row r="788">
          <cell r="C788" t="str">
            <v>Trappenhuis100352</v>
          </cell>
          <cell r="D788">
            <v>275</v>
          </cell>
        </row>
        <row r="789">
          <cell r="C789" t="str">
            <v>Trappenhuis1003156</v>
          </cell>
          <cell r="D789">
            <v>300</v>
          </cell>
        </row>
        <row r="790">
          <cell r="C790" t="str">
            <v>Trappenhuis100352</v>
          </cell>
          <cell r="D790">
            <v>275</v>
          </cell>
        </row>
        <row r="791">
          <cell r="C791" t="str">
            <v>Trappenhuis100352</v>
          </cell>
          <cell r="D791">
            <v>275</v>
          </cell>
        </row>
        <row r="792">
          <cell r="C792" t="str">
            <v>Trappenhuis1003156</v>
          </cell>
          <cell r="D792">
            <v>300</v>
          </cell>
        </row>
        <row r="793">
          <cell r="C793" t="str">
            <v>Trappenhuis1003156</v>
          </cell>
          <cell r="D793">
            <v>300</v>
          </cell>
        </row>
        <row r="794">
          <cell r="C794" t="str">
            <v>Trappenhuis1003156</v>
          </cell>
          <cell r="D794">
            <v>300</v>
          </cell>
        </row>
        <row r="795">
          <cell r="C795" t="str">
            <v>Trappenhuis1002104</v>
          </cell>
          <cell r="D795">
            <v>325</v>
          </cell>
        </row>
        <row r="796">
          <cell r="C796" t="str">
            <v>Vergaderruimte3201156</v>
          </cell>
          <cell r="D796">
            <v>385</v>
          </cell>
        </row>
        <row r="797">
          <cell r="C797" t="str">
            <v>Vergaderruimte3201156</v>
          </cell>
          <cell r="D797">
            <v>385</v>
          </cell>
        </row>
        <row r="798">
          <cell r="C798" t="str">
            <v>Vergaderruimte3202130</v>
          </cell>
          <cell r="D798">
            <v>375</v>
          </cell>
        </row>
        <row r="799">
          <cell r="C799" t="str">
            <v>Vergaderruimte320226</v>
          </cell>
          <cell r="D799">
            <v>250</v>
          </cell>
        </row>
        <row r="800">
          <cell r="C800" t="str">
            <v>Vergaderruimte320226</v>
          </cell>
          <cell r="D800">
            <v>250</v>
          </cell>
        </row>
        <row r="801">
          <cell r="C801" t="str">
            <v>Vergaderruimte32028</v>
          </cell>
          <cell r="D801">
            <v>125</v>
          </cell>
        </row>
        <row r="802">
          <cell r="C802" t="str">
            <v>Vergaderruimte3201156</v>
          </cell>
          <cell r="D802">
            <v>385</v>
          </cell>
        </row>
        <row r="803">
          <cell r="C803" t="str">
            <v>Vergaderruimte3201156</v>
          </cell>
          <cell r="D803">
            <v>385</v>
          </cell>
        </row>
        <row r="804">
          <cell r="C804" t="str">
            <v>Vergaderruimte3201156</v>
          </cell>
          <cell r="D804">
            <v>385</v>
          </cell>
        </row>
        <row r="805">
          <cell r="C805" t="str">
            <v>Vergaderruimte3201156</v>
          </cell>
          <cell r="D805">
            <v>385</v>
          </cell>
        </row>
        <row r="806">
          <cell r="C806" t="str">
            <v>Vergaderruimte3201254</v>
          </cell>
          <cell r="D806">
            <v>400</v>
          </cell>
        </row>
        <row r="807">
          <cell r="C807" t="str">
            <v>Vergaderruimte3201254</v>
          </cell>
          <cell r="D807">
            <v>400</v>
          </cell>
        </row>
        <row r="808">
          <cell r="C808" t="str">
            <v>Vergaderruimte3201254</v>
          </cell>
          <cell r="D808">
            <v>400</v>
          </cell>
        </row>
        <row r="809">
          <cell r="C809" t="str">
            <v>Vergaderruimte3201254</v>
          </cell>
          <cell r="D809">
            <v>400</v>
          </cell>
        </row>
        <row r="810">
          <cell r="C810" t="str">
            <v>Vergaderruimte3201254</v>
          </cell>
          <cell r="D810">
            <v>400</v>
          </cell>
        </row>
        <row r="811">
          <cell r="C811" t="str">
            <v>Vergaderruimte3201254</v>
          </cell>
          <cell r="D811">
            <v>400</v>
          </cell>
        </row>
        <row r="812">
          <cell r="C812" t="str">
            <v>Vergaderruimte3201254</v>
          </cell>
          <cell r="D812">
            <v>400</v>
          </cell>
        </row>
        <row r="813">
          <cell r="C813" t="str">
            <v>Vergaderruimte3201254</v>
          </cell>
          <cell r="D813">
            <v>400</v>
          </cell>
        </row>
        <row r="814">
          <cell r="C814" t="str">
            <v>Vergaderruimte3201156</v>
          </cell>
          <cell r="D814">
            <v>385</v>
          </cell>
        </row>
        <row r="815">
          <cell r="C815" t="str">
            <v>Vergaderruimte3201156</v>
          </cell>
          <cell r="D815">
            <v>385</v>
          </cell>
        </row>
        <row r="816">
          <cell r="C816" t="str">
            <v>Vergaderruimte3201156</v>
          </cell>
          <cell r="D816">
            <v>385</v>
          </cell>
        </row>
        <row r="817">
          <cell r="C817" t="str">
            <v>Vergaderruimte3201156</v>
          </cell>
          <cell r="D817">
            <v>385</v>
          </cell>
        </row>
        <row r="818">
          <cell r="C818" t="str">
            <v>Vergaderruimte3201156</v>
          </cell>
          <cell r="D818">
            <v>385</v>
          </cell>
        </row>
        <row r="819">
          <cell r="C819" t="str">
            <v>Vergaderruimte3201156</v>
          </cell>
          <cell r="D819">
            <v>385</v>
          </cell>
        </row>
        <row r="820">
          <cell r="C820" t="str">
            <v>Vergaderruimte3201156</v>
          </cell>
          <cell r="D820">
            <v>385</v>
          </cell>
        </row>
        <row r="821">
          <cell r="C821" t="str">
            <v>Vergaderruimte3201156</v>
          </cell>
          <cell r="D821">
            <v>385</v>
          </cell>
        </row>
        <row r="822">
          <cell r="C822" t="str">
            <v>Vergaderruimte3201156</v>
          </cell>
          <cell r="D822">
            <v>385</v>
          </cell>
        </row>
        <row r="823">
          <cell r="C823" t="str">
            <v>Vergaderruimte3201156</v>
          </cell>
          <cell r="D823">
            <v>385</v>
          </cell>
        </row>
        <row r="824">
          <cell r="C824" t="str">
            <v>Vergaderruimte3201156</v>
          </cell>
          <cell r="D824">
            <v>385</v>
          </cell>
        </row>
        <row r="825">
          <cell r="C825" t="str">
            <v>Vergaderruimte320152</v>
          </cell>
          <cell r="D825">
            <v>300</v>
          </cell>
        </row>
        <row r="826">
          <cell r="C826" t="str">
            <v>Vergaderruimte320152</v>
          </cell>
          <cell r="D826">
            <v>300</v>
          </cell>
        </row>
        <row r="827">
          <cell r="C827" t="str">
            <v>Vergaderruimte3201156</v>
          </cell>
          <cell r="D827">
            <v>385</v>
          </cell>
        </row>
        <row r="828">
          <cell r="C828" t="str">
            <v>Vergaderruimte3202/3l254</v>
          </cell>
          <cell r="D828">
            <v>400</v>
          </cell>
        </row>
        <row r="829">
          <cell r="C829" t="str">
            <v>Vergaderruimte3202/3l254</v>
          </cell>
          <cell r="D829">
            <v>400</v>
          </cell>
        </row>
        <row r="830">
          <cell r="C830" t="str">
            <v>Vergaderruimte3202156</v>
          </cell>
          <cell r="D830">
            <v>385</v>
          </cell>
        </row>
        <row r="831">
          <cell r="C831" t="str">
            <v>Vergaderruimte3202156</v>
          </cell>
          <cell r="D831">
            <v>385</v>
          </cell>
        </row>
        <row r="832">
          <cell r="C832" t="str">
            <v>Vergaderruimte3202156</v>
          </cell>
          <cell r="D832">
            <v>385</v>
          </cell>
        </row>
        <row r="833">
          <cell r="C833" t="str">
            <v>Vergaderruimte3201156</v>
          </cell>
          <cell r="D833">
            <v>385</v>
          </cell>
        </row>
        <row r="834">
          <cell r="C834" t="str">
            <v>Vergaderruimte320152</v>
          </cell>
          <cell r="D834">
            <v>300</v>
          </cell>
        </row>
        <row r="835">
          <cell r="C835" t="str">
            <v>Vergaderruimte3202156</v>
          </cell>
          <cell r="D835">
            <v>385</v>
          </cell>
        </row>
        <row r="836">
          <cell r="C836" t="str">
            <v>Vergaderruimte320152</v>
          </cell>
          <cell r="D836">
            <v>300</v>
          </cell>
        </row>
        <row r="837">
          <cell r="C837" t="str">
            <v>Vergaderruimte3201156</v>
          </cell>
          <cell r="D837">
            <v>385</v>
          </cell>
        </row>
        <row r="838">
          <cell r="C838" t="str">
            <v>Vergaderruimte3201156</v>
          </cell>
          <cell r="D838">
            <v>385</v>
          </cell>
        </row>
        <row r="839">
          <cell r="C839" t="str">
            <v>Vergaderruimte320152</v>
          </cell>
          <cell r="D839">
            <v>300</v>
          </cell>
        </row>
        <row r="840">
          <cell r="C840" t="str">
            <v>Vergaderruimte3201254</v>
          </cell>
          <cell r="D840">
            <v>400</v>
          </cell>
        </row>
        <row r="841">
          <cell r="C841" t="str">
            <v>Vergaderruimte3201156</v>
          </cell>
          <cell r="D841">
            <v>385</v>
          </cell>
        </row>
        <row r="842">
          <cell r="C842" t="str">
            <v>vergaderzaal3201254</v>
          </cell>
          <cell r="D842">
            <v>400</v>
          </cell>
        </row>
        <row r="843">
          <cell r="C843" t="str">
            <v>vergaderzaal3201254</v>
          </cell>
          <cell r="D843">
            <v>400</v>
          </cell>
        </row>
        <row r="844">
          <cell r="C844" t="str">
            <v>Verkeersruimte1102156</v>
          </cell>
          <cell r="D844">
            <v>650</v>
          </cell>
        </row>
        <row r="845">
          <cell r="C845" t="str">
            <v>Verkeersruimte1103156</v>
          </cell>
          <cell r="D845">
            <v>675</v>
          </cell>
        </row>
        <row r="846">
          <cell r="C846" t="str">
            <v>Verkeersruimte1102156</v>
          </cell>
          <cell r="D846">
            <v>650</v>
          </cell>
        </row>
        <row r="847">
          <cell r="C847" t="str">
            <v>Verkeersruimte1103156</v>
          </cell>
          <cell r="D847">
            <v>675</v>
          </cell>
        </row>
        <row r="848">
          <cell r="C848" t="str">
            <v>Verkeersruimte950012</v>
          </cell>
          <cell r="D848">
            <v>675</v>
          </cell>
        </row>
        <row r="849">
          <cell r="C849" t="str">
            <v>Verkeersruimte1102156</v>
          </cell>
          <cell r="D849">
            <v>650</v>
          </cell>
        </row>
        <row r="850">
          <cell r="C850" t="str">
            <v>Verkeersruimte1102156</v>
          </cell>
          <cell r="D850">
            <v>650</v>
          </cell>
        </row>
        <row r="851">
          <cell r="C851" t="str">
            <v>Verkeersruimte9500104</v>
          </cell>
          <cell r="D851">
            <v>675</v>
          </cell>
        </row>
        <row r="852">
          <cell r="C852" t="str">
            <v>Verkeersruimte950052</v>
          </cell>
          <cell r="D852">
            <v>675</v>
          </cell>
        </row>
        <row r="853">
          <cell r="C853" t="str">
            <v>Verkeersruimte1102156</v>
          </cell>
          <cell r="D853">
            <v>650</v>
          </cell>
        </row>
        <row r="854">
          <cell r="C854" t="str">
            <v>Verkeersruimte1102156</v>
          </cell>
          <cell r="D854">
            <v>650</v>
          </cell>
        </row>
        <row r="855">
          <cell r="C855" t="str">
            <v>Verkeersruimte1102156</v>
          </cell>
          <cell r="D855">
            <v>650</v>
          </cell>
        </row>
        <row r="856">
          <cell r="C856" t="str">
            <v>Verkeersruimte1102156</v>
          </cell>
          <cell r="D856">
            <v>650</v>
          </cell>
        </row>
        <row r="857">
          <cell r="C857" t="str">
            <v>Verkeersruimte1102156</v>
          </cell>
          <cell r="D857">
            <v>650</v>
          </cell>
        </row>
        <row r="858">
          <cell r="C858" t="str">
            <v>Verkeersruimte1103156</v>
          </cell>
          <cell r="D858">
            <v>675</v>
          </cell>
        </row>
        <row r="859">
          <cell r="C859" t="str">
            <v>Verkeersruimte1102156</v>
          </cell>
          <cell r="D859">
            <v>650</v>
          </cell>
        </row>
        <row r="860">
          <cell r="C860" t="str">
            <v>Verkeersruimte1103156</v>
          </cell>
          <cell r="D860">
            <v>675</v>
          </cell>
        </row>
        <row r="861">
          <cell r="C861" t="str">
            <v>Verkeersruimte1101156</v>
          </cell>
          <cell r="D861">
            <v>625</v>
          </cell>
        </row>
        <row r="862">
          <cell r="C862" t="str">
            <v>Verkeersruimte1102254</v>
          </cell>
          <cell r="D862">
            <v>675</v>
          </cell>
        </row>
        <row r="863">
          <cell r="C863" t="str">
            <v>Verkeersruimte1103254</v>
          </cell>
          <cell r="D863">
            <v>650</v>
          </cell>
        </row>
        <row r="864">
          <cell r="C864" t="str">
            <v>Verkeersruimte1101156</v>
          </cell>
          <cell r="D864">
            <v>625</v>
          </cell>
        </row>
        <row r="865">
          <cell r="C865" t="str">
            <v>Verkeersruimte1101156</v>
          </cell>
          <cell r="D865">
            <v>625</v>
          </cell>
        </row>
        <row r="866">
          <cell r="C866" t="str">
            <v>Verkeersruimte1103156</v>
          </cell>
          <cell r="D866">
            <v>675</v>
          </cell>
        </row>
        <row r="867">
          <cell r="C867" t="str">
            <v>Verkeersruimte1103156</v>
          </cell>
          <cell r="D867">
            <v>675</v>
          </cell>
        </row>
        <row r="868">
          <cell r="C868" t="str">
            <v>Verkeersruimte1103156</v>
          </cell>
          <cell r="D868">
            <v>675</v>
          </cell>
        </row>
        <row r="869">
          <cell r="C869" t="str">
            <v>Verkeersruimte1101156</v>
          </cell>
          <cell r="D869">
            <v>625</v>
          </cell>
        </row>
        <row r="870">
          <cell r="C870" t="str">
            <v>Verkeersruimte1101156</v>
          </cell>
          <cell r="D870">
            <v>625</v>
          </cell>
        </row>
        <row r="871">
          <cell r="C871" t="str">
            <v>Verkeersruimte1101156</v>
          </cell>
          <cell r="D871">
            <v>625</v>
          </cell>
        </row>
        <row r="872">
          <cell r="C872" t="str">
            <v>Verkeersruimte1101156</v>
          </cell>
          <cell r="D872">
            <v>625</v>
          </cell>
        </row>
        <row r="873">
          <cell r="C873" t="str">
            <v>Verkeersruimte110252</v>
          </cell>
          <cell r="D873">
            <v>650</v>
          </cell>
        </row>
        <row r="874">
          <cell r="C874" t="str">
            <v>verkeersruimte1101156</v>
          </cell>
          <cell r="D874">
            <v>625</v>
          </cell>
        </row>
        <row r="875">
          <cell r="C875" t="str">
            <v>Verkeersruimte1101254</v>
          </cell>
          <cell r="D875">
            <v>750</v>
          </cell>
        </row>
        <row r="876">
          <cell r="C876" t="str">
            <v>Verkeersruimte1101254</v>
          </cell>
          <cell r="D876">
            <v>750</v>
          </cell>
        </row>
        <row r="877">
          <cell r="C877" t="str">
            <v>Verkeersruimte1101156</v>
          </cell>
          <cell r="D877">
            <v>625</v>
          </cell>
        </row>
        <row r="878">
          <cell r="C878" t="str">
            <v>Verkeersruimte1101156</v>
          </cell>
          <cell r="D878">
            <v>625</v>
          </cell>
        </row>
        <row r="879">
          <cell r="C879" t="str">
            <v>Verkeersruimte1101156</v>
          </cell>
          <cell r="D879">
            <v>625</v>
          </cell>
        </row>
        <row r="880">
          <cell r="C880" t="str">
            <v>Verkeersruimte110252</v>
          </cell>
          <cell r="D880">
            <v>650</v>
          </cell>
        </row>
        <row r="881">
          <cell r="C881" t="str">
            <v>Verkeersruimte110252</v>
          </cell>
          <cell r="D881">
            <v>650</v>
          </cell>
        </row>
        <row r="882">
          <cell r="C882" t="str">
            <v>Verkeersruimte110252</v>
          </cell>
          <cell r="D882">
            <v>650</v>
          </cell>
        </row>
        <row r="883">
          <cell r="C883" t="str">
            <v>Verkeersruimte1101156</v>
          </cell>
          <cell r="D883">
            <v>625</v>
          </cell>
        </row>
        <row r="884">
          <cell r="C884" t="str">
            <v>Verkeersruimte110252</v>
          </cell>
          <cell r="D884">
            <v>650</v>
          </cell>
        </row>
        <row r="885">
          <cell r="C885" t="str">
            <v>Verkeersruimte110252</v>
          </cell>
          <cell r="D885">
            <v>650</v>
          </cell>
        </row>
        <row r="886">
          <cell r="C886" t="str">
            <v>Verkeersruimte110252</v>
          </cell>
          <cell r="D886">
            <v>650</v>
          </cell>
        </row>
        <row r="887">
          <cell r="C887" t="str">
            <v>Verkeersruimte1101156</v>
          </cell>
          <cell r="D887">
            <v>625</v>
          </cell>
        </row>
        <row r="888">
          <cell r="C888" t="str">
            <v>Verkeersruimte1101156</v>
          </cell>
          <cell r="D888">
            <v>625</v>
          </cell>
        </row>
        <row r="889">
          <cell r="C889" t="str">
            <v>Verkeersruimte1101254</v>
          </cell>
          <cell r="D889">
            <v>750</v>
          </cell>
        </row>
        <row r="890">
          <cell r="C890" t="str">
            <v>Verkeersruimte1101254</v>
          </cell>
          <cell r="D890">
            <v>750</v>
          </cell>
        </row>
        <row r="891">
          <cell r="C891" t="str">
            <v>Verkeersruimte1101254</v>
          </cell>
          <cell r="D891">
            <v>750</v>
          </cell>
        </row>
        <row r="892">
          <cell r="C892" t="str">
            <v>Verkeersruimte1101156</v>
          </cell>
          <cell r="D892">
            <v>625</v>
          </cell>
        </row>
        <row r="893">
          <cell r="C893" t="str">
            <v>Verkeersruimte1101156</v>
          </cell>
          <cell r="D893">
            <v>625</v>
          </cell>
        </row>
        <row r="894">
          <cell r="C894" t="str">
            <v>Verkeersruimte1102156</v>
          </cell>
          <cell r="D894">
            <v>650</v>
          </cell>
        </row>
        <row r="895">
          <cell r="C895" t="str">
            <v>Verkeersruimte1102156</v>
          </cell>
          <cell r="D895">
            <v>650</v>
          </cell>
        </row>
        <row r="896">
          <cell r="C896" t="str">
            <v>Verkeersruimte1102156</v>
          </cell>
          <cell r="D896">
            <v>650</v>
          </cell>
        </row>
        <row r="897">
          <cell r="C897" t="str">
            <v>Verkeersruimte1102156</v>
          </cell>
          <cell r="D897">
            <v>650</v>
          </cell>
        </row>
        <row r="898">
          <cell r="C898" t="str">
            <v>Verkeersruimte1102156</v>
          </cell>
          <cell r="D898">
            <v>650</v>
          </cell>
        </row>
        <row r="899">
          <cell r="C899" t="str">
            <v>Verkeersruimte1102156</v>
          </cell>
          <cell r="D899">
            <v>650</v>
          </cell>
        </row>
        <row r="900">
          <cell r="C900" t="str">
            <v>Verkeersruimte1103156</v>
          </cell>
          <cell r="D900">
            <v>675</v>
          </cell>
        </row>
        <row r="901">
          <cell r="C901" t="str">
            <v>Verkeersruimte1103156</v>
          </cell>
          <cell r="D901">
            <v>675</v>
          </cell>
        </row>
        <row r="902">
          <cell r="C902" t="str">
            <v>Verkeersruimte1103156</v>
          </cell>
          <cell r="D902">
            <v>675</v>
          </cell>
        </row>
        <row r="903">
          <cell r="C903" t="str">
            <v>Verkeersruimte1101156</v>
          </cell>
          <cell r="D903">
            <v>625</v>
          </cell>
        </row>
        <row r="904">
          <cell r="C904" t="str">
            <v>Verkeersruimte1101156</v>
          </cell>
          <cell r="D904">
            <v>625</v>
          </cell>
        </row>
        <row r="905">
          <cell r="C905" t="str">
            <v>Verkeersruimte1101156</v>
          </cell>
          <cell r="D905">
            <v>625</v>
          </cell>
        </row>
        <row r="906">
          <cell r="C906" t="str">
            <v>Verkeersruimte1103254</v>
          </cell>
          <cell r="D906">
            <v>650</v>
          </cell>
        </row>
        <row r="907">
          <cell r="C907" t="str">
            <v>Verkeersruimte1103254</v>
          </cell>
          <cell r="D907">
            <v>650</v>
          </cell>
        </row>
        <row r="908">
          <cell r="C908" t="str">
            <v>Verkeersruimte1101254</v>
          </cell>
          <cell r="D908">
            <v>750</v>
          </cell>
        </row>
        <row r="909">
          <cell r="C909" t="str">
            <v>Verkeersruimte1103254</v>
          </cell>
          <cell r="D909">
            <v>650</v>
          </cell>
        </row>
        <row r="910">
          <cell r="C910" t="str">
            <v>Verkeersruimte1101156</v>
          </cell>
          <cell r="D910">
            <v>625</v>
          </cell>
        </row>
        <row r="911">
          <cell r="C911" t="str">
            <v>Verkeersruimte1101156</v>
          </cell>
          <cell r="D911">
            <v>625</v>
          </cell>
        </row>
        <row r="912">
          <cell r="C912" t="str">
            <v>Verkeersruimte1102156</v>
          </cell>
          <cell r="D912">
            <v>650</v>
          </cell>
        </row>
        <row r="913">
          <cell r="C913" t="str">
            <v>Verkeersruimte1102156</v>
          </cell>
          <cell r="D913">
            <v>650</v>
          </cell>
        </row>
        <row r="914">
          <cell r="C914" t="str">
            <v>Verkeersruimte1102156</v>
          </cell>
          <cell r="D914">
            <v>650</v>
          </cell>
        </row>
        <row r="915">
          <cell r="C915" t="str">
            <v>verkeersruimte1102254</v>
          </cell>
          <cell r="D915">
            <v>675</v>
          </cell>
        </row>
        <row r="916">
          <cell r="C916" t="str">
            <v>verkeersruimte1102254</v>
          </cell>
          <cell r="D916">
            <v>675</v>
          </cell>
        </row>
        <row r="917">
          <cell r="C917" t="str">
            <v>verkeersruimte1102254</v>
          </cell>
          <cell r="D917">
            <v>675</v>
          </cell>
        </row>
        <row r="918">
          <cell r="C918" t="str">
            <v>verkeersruimte1102254</v>
          </cell>
          <cell r="D918">
            <v>675</v>
          </cell>
        </row>
        <row r="919">
          <cell r="C919" t="str">
            <v>Verkeersruimte1103254</v>
          </cell>
          <cell r="D919">
            <v>650</v>
          </cell>
        </row>
        <row r="920">
          <cell r="C920" t="str">
            <v>Verkeersruimte1102156</v>
          </cell>
          <cell r="D920">
            <v>650</v>
          </cell>
        </row>
        <row r="921">
          <cell r="C921" t="str">
            <v>Verkeersruimte1102104</v>
          </cell>
          <cell r="D921">
            <v>475</v>
          </cell>
        </row>
        <row r="922">
          <cell r="C922" t="str">
            <v>verkeersruimte1102254</v>
          </cell>
          <cell r="D922">
            <v>675</v>
          </cell>
        </row>
        <row r="923">
          <cell r="C923" t="str">
            <v>verkeersruimte1102254</v>
          </cell>
          <cell r="D923">
            <v>675</v>
          </cell>
        </row>
        <row r="924">
          <cell r="C924" t="str">
            <v>verkeersruimte1102254</v>
          </cell>
          <cell r="D924">
            <v>675</v>
          </cell>
        </row>
        <row r="925">
          <cell r="C925" t="str">
            <v>verkeersruimte1101254</v>
          </cell>
          <cell r="D925">
            <v>750</v>
          </cell>
        </row>
        <row r="926">
          <cell r="C926" t="str">
            <v>Verkeersruimte1102156</v>
          </cell>
          <cell r="D926">
            <v>650</v>
          </cell>
        </row>
        <row r="927">
          <cell r="C927" t="str">
            <v>Verkeersruimte1102156</v>
          </cell>
          <cell r="D927">
            <v>650</v>
          </cell>
        </row>
        <row r="928">
          <cell r="C928" t="str">
            <v>Verkeersruimte1102254</v>
          </cell>
          <cell r="D928">
            <v>675</v>
          </cell>
        </row>
        <row r="929">
          <cell r="C929" t="str">
            <v>Verkeersruimte1102156</v>
          </cell>
          <cell r="D929">
            <v>650</v>
          </cell>
        </row>
        <row r="930">
          <cell r="C930" t="str">
            <v>Verkeersruimte1102156</v>
          </cell>
          <cell r="D930">
            <v>650</v>
          </cell>
        </row>
        <row r="931">
          <cell r="C931" t="str">
            <v>Verkeersruimte1102156</v>
          </cell>
          <cell r="D931">
            <v>650</v>
          </cell>
        </row>
        <row r="932">
          <cell r="C932" t="str">
            <v>Verkeersruimte110252</v>
          </cell>
          <cell r="D932">
            <v>650</v>
          </cell>
        </row>
        <row r="933">
          <cell r="C933" t="str">
            <v>Verkeersruimte1103156</v>
          </cell>
          <cell r="D933">
            <v>675</v>
          </cell>
        </row>
        <row r="934">
          <cell r="C934" t="str">
            <v>Verkeersruimte1103156</v>
          </cell>
          <cell r="D934">
            <v>675</v>
          </cell>
        </row>
        <row r="935">
          <cell r="C935" t="str">
            <v>Verkeersruimte110313</v>
          </cell>
          <cell r="D935">
            <v>600</v>
          </cell>
        </row>
        <row r="936">
          <cell r="C936" t="str">
            <v>Verkeersruimte110352</v>
          </cell>
          <cell r="D936">
            <v>625</v>
          </cell>
        </row>
        <row r="937">
          <cell r="C937" t="str">
            <v>Verkeersruimte110213</v>
          </cell>
          <cell r="D937">
            <v>525</v>
          </cell>
        </row>
        <row r="938">
          <cell r="C938" t="str">
            <v>Verkeersruimte1102156</v>
          </cell>
          <cell r="D938">
            <v>650</v>
          </cell>
        </row>
        <row r="939">
          <cell r="C939" t="str">
            <v>Verkeersruimte1103156</v>
          </cell>
          <cell r="D939">
            <v>675</v>
          </cell>
        </row>
        <row r="940">
          <cell r="C940" t="str">
            <v>Verkeersruimte1102156</v>
          </cell>
          <cell r="D940">
            <v>650</v>
          </cell>
        </row>
        <row r="941">
          <cell r="C941" t="str">
            <v>verkeersruimte1103156</v>
          </cell>
          <cell r="D941">
            <v>675</v>
          </cell>
        </row>
        <row r="942">
          <cell r="C942" t="str">
            <v>Verkeersruimte1101156</v>
          </cell>
          <cell r="D942">
            <v>625</v>
          </cell>
        </row>
        <row r="943">
          <cell r="C943" t="str">
            <v>Verkeersruimte1103156</v>
          </cell>
          <cell r="D943">
            <v>675</v>
          </cell>
        </row>
        <row r="944">
          <cell r="C944" t="str">
            <v>Verkeersruimte1102156</v>
          </cell>
          <cell r="D944">
            <v>650</v>
          </cell>
        </row>
        <row r="945">
          <cell r="C945" t="str">
            <v>Verkeersruimte110252</v>
          </cell>
          <cell r="D945">
            <v>650</v>
          </cell>
        </row>
        <row r="946">
          <cell r="C946" t="str">
            <v>Verkeersruimte110252</v>
          </cell>
          <cell r="D946">
            <v>650</v>
          </cell>
        </row>
        <row r="947">
          <cell r="C947" t="str">
            <v>Verkeersruimte110352</v>
          </cell>
          <cell r="D947">
            <v>625</v>
          </cell>
        </row>
        <row r="948">
          <cell r="C948" t="str">
            <v>Verkeersruimte110352</v>
          </cell>
          <cell r="D948">
            <v>625</v>
          </cell>
        </row>
        <row r="949">
          <cell r="C949" t="str">
            <v>Verkeersruimte110352</v>
          </cell>
          <cell r="D949">
            <v>625</v>
          </cell>
        </row>
        <row r="950">
          <cell r="C950" t="str">
            <v>Verkeersruimte +110252</v>
          </cell>
          <cell r="D950">
            <v>650</v>
          </cell>
        </row>
        <row r="951">
          <cell r="C951" t="str">
            <v>Verkeersruimte ingang1102156</v>
          </cell>
          <cell r="D951">
            <v>650</v>
          </cell>
        </row>
        <row r="952">
          <cell r="C952" t="str">
            <v>wachtruimte3201254</v>
          </cell>
          <cell r="D952">
            <v>400</v>
          </cell>
        </row>
        <row r="953">
          <cell r="C953" t="str">
            <v>Wachtruimte dokter760226</v>
          </cell>
          <cell r="D953">
            <v>175</v>
          </cell>
        </row>
        <row r="954">
          <cell r="C954" t="str">
            <v>Was-/kleedruimte2202254</v>
          </cell>
          <cell r="D954">
            <v>285</v>
          </cell>
        </row>
        <row r="955">
          <cell r="C955" t="str">
            <v>Wasruimte2203254</v>
          </cell>
          <cell r="D955">
            <v>175</v>
          </cell>
        </row>
        <row r="956">
          <cell r="C956" t="str">
            <v>Wasruimte2203254</v>
          </cell>
          <cell r="D956">
            <v>175</v>
          </cell>
        </row>
        <row r="957">
          <cell r="C957" t="str">
            <v>Wasruimte2203254</v>
          </cell>
          <cell r="D957">
            <v>175</v>
          </cell>
        </row>
        <row r="958">
          <cell r="C958" t="str">
            <v>Wasruimte2202254</v>
          </cell>
          <cell r="D958">
            <v>285</v>
          </cell>
        </row>
        <row r="959">
          <cell r="C959" t="str">
            <v>Wasruimte2203156</v>
          </cell>
          <cell r="D959">
            <v>125</v>
          </cell>
        </row>
        <row r="960">
          <cell r="C960" t="str">
            <v>Wasruimte2203254</v>
          </cell>
          <cell r="D960">
            <v>175</v>
          </cell>
        </row>
        <row r="961">
          <cell r="C961" t="str">
            <v>Wasruimte2201254</v>
          </cell>
          <cell r="D961">
            <v>285</v>
          </cell>
        </row>
        <row r="962">
          <cell r="C962" t="str">
            <v>Wasruimte2203156</v>
          </cell>
          <cell r="D962">
            <v>125</v>
          </cell>
        </row>
        <row r="963">
          <cell r="C963" t="str">
            <v>Wasruimte2203156</v>
          </cell>
          <cell r="D963">
            <v>125</v>
          </cell>
        </row>
        <row r="964">
          <cell r="C964" t="str">
            <v>Wasruimte2203156</v>
          </cell>
          <cell r="D964">
            <v>125</v>
          </cell>
        </row>
        <row r="965">
          <cell r="C965" t="str">
            <v>Wasruimte220352</v>
          </cell>
          <cell r="D965">
            <v>50</v>
          </cell>
        </row>
        <row r="966">
          <cell r="C966" t="str">
            <v>Wasruimte2203156</v>
          </cell>
          <cell r="D966">
            <v>125</v>
          </cell>
        </row>
        <row r="967">
          <cell r="C967" t="str">
            <v>Wasruimte220352</v>
          </cell>
          <cell r="D967">
            <v>50</v>
          </cell>
        </row>
        <row r="968">
          <cell r="C968" t="str">
            <v>Wasruimte2203254</v>
          </cell>
          <cell r="D968">
            <v>175</v>
          </cell>
        </row>
        <row r="969">
          <cell r="C969" t="str">
            <v>Wasruimte220352</v>
          </cell>
          <cell r="D969">
            <v>50</v>
          </cell>
        </row>
        <row r="970">
          <cell r="C970" t="str">
            <v>Wasruimte (nat)2203254</v>
          </cell>
          <cell r="D970">
            <v>175</v>
          </cell>
        </row>
        <row r="971">
          <cell r="C971" t="str">
            <v>Werkkast Gom2703156</v>
          </cell>
          <cell r="D971">
            <v>0</v>
          </cell>
        </row>
        <row r="972">
          <cell r="C972" t="str">
            <v>Werkkast Gom27030</v>
          </cell>
          <cell r="D972">
            <v>0</v>
          </cell>
        </row>
        <row r="973">
          <cell r="C973" t="str">
            <v>Werkplaats960312</v>
          </cell>
          <cell r="D973">
            <v>675</v>
          </cell>
        </row>
        <row r="974">
          <cell r="C974" t="str">
            <v>Werkplaats960312</v>
          </cell>
          <cell r="D974">
            <v>675</v>
          </cell>
        </row>
        <row r="975">
          <cell r="C975" t="str">
            <v>Werkplaats9103156</v>
          </cell>
          <cell r="D975">
            <v>675</v>
          </cell>
        </row>
        <row r="976">
          <cell r="C976" t="str">
            <v>Werkplaats9102156</v>
          </cell>
          <cell r="D976">
            <v>675</v>
          </cell>
        </row>
        <row r="977">
          <cell r="C977" t="str">
            <v>Werkplaats9103156</v>
          </cell>
          <cell r="D977">
            <v>675</v>
          </cell>
        </row>
        <row r="978">
          <cell r="C978" t="str">
            <v>Werkplaats9102156</v>
          </cell>
          <cell r="D978">
            <v>675</v>
          </cell>
        </row>
        <row r="979">
          <cell r="C979" t="str">
            <v>Werkplaats9103254</v>
          </cell>
          <cell r="D979">
            <v>875</v>
          </cell>
        </row>
        <row r="980">
          <cell r="C980" t="str">
            <v>Werkplaats950052</v>
          </cell>
          <cell r="D980">
            <v>675</v>
          </cell>
        </row>
        <row r="981">
          <cell r="C981" t="str">
            <v>Werkplaats950012</v>
          </cell>
          <cell r="D981">
            <v>675</v>
          </cell>
        </row>
        <row r="982">
          <cell r="C982" t="str">
            <v>Werkplaats9103156</v>
          </cell>
          <cell r="D982">
            <v>675</v>
          </cell>
        </row>
        <row r="983">
          <cell r="C983" t="str">
            <v>Werkplaats9103156</v>
          </cell>
          <cell r="D983">
            <v>675</v>
          </cell>
        </row>
        <row r="984">
          <cell r="C984" t="str">
            <v>Werkplaats9500104</v>
          </cell>
          <cell r="D984">
            <v>675</v>
          </cell>
        </row>
        <row r="985">
          <cell r="C985" t="str">
            <v>Werkplaats950052</v>
          </cell>
          <cell r="D985">
            <v>675</v>
          </cell>
        </row>
        <row r="986">
          <cell r="C986" t="str">
            <v>Werkplaats9103156</v>
          </cell>
          <cell r="D986">
            <v>675</v>
          </cell>
        </row>
        <row r="987">
          <cell r="C987" t="str">
            <v>Werkplaats9500104</v>
          </cell>
          <cell r="D987">
            <v>675</v>
          </cell>
        </row>
        <row r="988">
          <cell r="C988" t="str">
            <v>Werkplaats950052</v>
          </cell>
          <cell r="D988">
            <v>675</v>
          </cell>
        </row>
        <row r="989">
          <cell r="C989" t="str">
            <v>Werkplaats9103156</v>
          </cell>
          <cell r="D989">
            <v>675</v>
          </cell>
        </row>
        <row r="990">
          <cell r="C990" t="str">
            <v>Werkplaats9500104</v>
          </cell>
          <cell r="D990">
            <v>675</v>
          </cell>
        </row>
        <row r="991">
          <cell r="C991" t="str">
            <v>Werkplaats950052</v>
          </cell>
          <cell r="D991">
            <v>675</v>
          </cell>
        </row>
        <row r="992">
          <cell r="C992" t="str">
            <v>Werkplaats9103156</v>
          </cell>
          <cell r="D992">
            <v>675</v>
          </cell>
        </row>
        <row r="993">
          <cell r="C993" t="str">
            <v>Werkplaats9500104</v>
          </cell>
          <cell r="D993">
            <v>675</v>
          </cell>
        </row>
        <row r="994">
          <cell r="C994" t="str">
            <v>Werkplaats950052</v>
          </cell>
          <cell r="D994">
            <v>675</v>
          </cell>
        </row>
        <row r="995">
          <cell r="C995" t="str">
            <v>Werkplaats9103156</v>
          </cell>
          <cell r="D995">
            <v>675</v>
          </cell>
        </row>
        <row r="996">
          <cell r="C996" t="str">
            <v>Werkplaats950052</v>
          </cell>
          <cell r="D996">
            <v>675</v>
          </cell>
        </row>
        <row r="997">
          <cell r="C997" t="str">
            <v>Werkplaats9102156</v>
          </cell>
          <cell r="D997">
            <v>675</v>
          </cell>
        </row>
        <row r="998">
          <cell r="C998" t="str">
            <v>Werkplaats9102156</v>
          </cell>
          <cell r="D998">
            <v>675</v>
          </cell>
        </row>
        <row r="999">
          <cell r="C999" t="str">
            <v>Werkplaats950012</v>
          </cell>
          <cell r="D999">
            <v>675</v>
          </cell>
        </row>
        <row r="1000">
          <cell r="C1000" t="str">
            <v>Werkplaats9102156</v>
          </cell>
          <cell r="D1000">
            <v>675</v>
          </cell>
        </row>
        <row r="1001">
          <cell r="C1001" t="str">
            <v>Werkplaats9102156</v>
          </cell>
          <cell r="D1001">
            <v>675</v>
          </cell>
        </row>
        <row r="1002">
          <cell r="C1002" t="str">
            <v>Werkplaats9102156</v>
          </cell>
          <cell r="D1002">
            <v>675</v>
          </cell>
        </row>
        <row r="1003">
          <cell r="C1003" t="str">
            <v>Werkplaats9102254</v>
          </cell>
          <cell r="D1003">
            <v>875</v>
          </cell>
        </row>
        <row r="1004">
          <cell r="C1004" t="str">
            <v>Werkplaats9500254</v>
          </cell>
          <cell r="D1004">
            <v>875</v>
          </cell>
        </row>
        <row r="1005">
          <cell r="C1005" t="str">
            <v>Werkplaats950052</v>
          </cell>
          <cell r="D1005">
            <v>675</v>
          </cell>
        </row>
        <row r="1006">
          <cell r="C1006" t="str">
            <v>Werkplaats950012</v>
          </cell>
          <cell r="D1006">
            <v>675</v>
          </cell>
        </row>
        <row r="1007">
          <cell r="C1007" t="str">
            <v>Werkplaats9102254</v>
          </cell>
          <cell r="D1007">
            <v>875</v>
          </cell>
        </row>
        <row r="1008">
          <cell r="C1008" t="str">
            <v>Werkplaats9500254</v>
          </cell>
          <cell r="D1008">
            <v>875</v>
          </cell>
        </row>
        <row r="1009">
          <cell r="C1009" t="str">
            <v>Werkplaats950052</v>
          </cell>
          <cell r="D1009">
            <v>675</v>
          </cell>
        </row>
        <row r="1010">
          <cell r="C1010" t="str">
            <v>Werkplaats950012</v>
          </cell>
          <cell r="D1010">
            <v>675</v>
          </cell>
        </row>
        <row r="1011">
          <cell r="C1011" t="str">
            <v>Werkplaats9102254</v>
          </cell>
          <cell r="D1011">
            <v>875</v>
          </cell>
        </row>
        <row r="1012">
          <cell r="C1012" t="str">
            <v>Werkplaats9500254</v>
          </cell>
          <cell r="D1012">
            <v>875</v>
          </cell>
        </row>
        <row r="1013">
          <cell r="C1013" t="str">
            <v>Werkplaats950052</v>
          </cell>
          <cell r="D1013">
            <v>675</v>
          </cell>
        </row>
        <row r="1014">
          <cell r="C1014" t="str">
            <v>Werkplaats950012</v>
          </cell>
          <cell r="D1014">
            <v>675</v>
          </cell>
        </row>
        <row r="1015">
          <cell r="C1015" t="str">
            <v>Werkplaats950012</v>
          </cell>
          <cell r="D1015">
            <v>675</v>
          </cell>
        </row>
        <row r="1016">
          <cell r="C1016" t="str">
            <v>Werkplaats9102254</v>
          </cell>
          <cell r="D1016">
            <v>875</v>
          </cell>
        </row>
        <row r="1017">
          <cell r="C1017" t="str">
            <v>Werkplaats9500254</v>
          </cell>
          <cell r="D1017">
            <v>875</v>
          </cell>
        </row>
        <row r="1018">
          <cell r="C1018" t="str">
            <v>Werkplaats950052</v>
          </cell>
          <cell r="D1018">
            <v>675</v>
          </cell>
        </row>
        <row r="1019">
          <cell r="C1019" t="str">
            <v>Werkplaats950012</v>
          </cell>
          <cell r="D1019">
            <v>675</v>
          </cell>
        </row>
        <row r="1020">
          <cell r="C1020" t="str">
            <v>Werkplaats9102254</v>
          </cell>
          <cell r="D1020">
            <v>875</v>
          </cell>
        </row>
        <row r="1021">
          <cell r="C1021" t="str">
            <v>Werkplaats9500254</v>
          </cell>
          <cell r="D1021">
            <v>875</v>
          </cell>
        </row>
        <row r="1022">
          <cell r="C1022" t="str">
            <v>Werkplaats950052</v>
          </cell>
          <cell r="D1022">
            <v>675</v>
          </cell>
        </row>
        <row r="1023">
          <cell r="C1023" t="str">
            <v>Werkplaats950012</v>
          </cell>
          <cell r="D1023">
            <v>675</v>
          </cell>
        </row>
        <row r="1024">
          <cell r="C1024" t="str">
            <v>Werkplaats9102156</v>
          </cell>
          <cell r="D1024">
            <v>675</v>
          </cell>
        </row>
        <row r="1025">
          <cell r="C1025" t="str">
            <v>Werkplaats9102 geb.15254</v>
          </cell>
          <cell r="D1025">
            <v>675</v>
          </cell>
        </row>
        <row r="1026">
          <cell r="C1026" t="str">
            <v>Werkplaats9102 geb.1526</v>
          </cell>
          <cell r="D1026">
            <v>675</v>
          </cell>
        </row>
        <row r="1027">
          <cell r="C1027" t="str">
            <v>Werkplaats9102 geb.15254</v>
          </cell>
          <cell r="D1027">
            <v>675</v>
          </cell>
        </row>
        <row r="1028">
          <cell r="C1028" t="str">
            <v>Werkplaats9102 geb.1526</v>
          </cell>
          <cell r="D1028">
            <v>675</v>
          </cell>
        </row>
        <row r="1029">
          <cell r="C1029" t="str">
            <v>Werkplaats9102 geb.15254</v>
          </cell>
          <cell r="D1029">
            <v>675</v>
          </cell>
        </row>
        <row r="1030">
          <cell r="C1030" t="str">
            <v>Werkplaats9102 geb.1526</v>
          </cell>
          <cell r="D1030">
            <v>675</v>
          </cell>
        </row>
        <row r="1031">
          <cell r="C1031" t="str">
            <v>Werkplaats9102 geb.15254</v>
          </cell>
          <cell r="D1031">
            <v>675</v>
          </cell>
        </row>
        <row r="1032">
          <cell r="C1032" t="str">
            <v>Werkplaats9102 geb.1512</v>
          </cell>
          <cell r="D1032">
            <v>675</v>
          </cell>
        </row>
        <row r="1033">
          <cell r="C1033" t="str">
            <v>Werkplaats9102 geb.15254</v>
          </cell>
          <cell r="D1033">
            <v>675</v>
          </cell>
        </row>
        <row r="1034">
          <cell r="C1034" t="str">
            <v>Werkplaats9102 geb.1526</v>
          </cell>
          <cell r="D1034">
            <v>675</v>
          </cell>
        </row>
        <row r="1035">
          <cell r="C1035" t="str">
            <v>Werkplaats9102 geb.15254</v>
          </cell>
          <cell r="D1035">
            <v>675</v>
          </cell>
        </row>
        <row r="1036">
          <cell r="C1036" t="str">
            <v>Werkplaats9102 geb.1526</v>
          </cell>
          <cell r="D1036">
            <v>675</v>
          </cell>
        </row>
        <row r="1037">
          <cell r="C1037" t="str">
            <v>Werkplaats9102 geb.15254</v>
          </cell>
          <cell r="D1037">
            <v>675</v>
          </cell>
        </row>
        <row r="1038">
          <cell r="C1038" t="str">
            <v>Werkplaats9102 geb.1526</v>
          </cell>
          <cell r="D1038">
            <v>675</v>
          </cell>
        </row>
        <row r="1039">
          <cell r="C1039" t="str">
            <v>Werkplaats9102 geb.15254</v>
          </cell>
          <cell r="D1039">
            <v>675</v>
          </cell>
        </row>
        <row r="1040">
          <cell r="C1040" t="str">
            <v>Werkplaats9102 geb.1526</v>
          </cell>
          <cell r="D1040">
            <v>675</v>
          </cell>
        </row>
        <row r="1041">
          <cell r="C1041" t="str">
            <v>Werkplaats9102 geb.15254</v>
          </cell>
          <cell r="D1041">
            <v>675</v>
          </cell>
        </row>
        <row r="1042">
          <cell r="C1042" t="str">
            <v>Werkplaats9102 geb.1526</v>
          </cell>
          <cell r="D1042">
            <v>675</v>
          </cell>
        </row>
        <row r="1043">
          <cell r="C1043" t="str">
            <v>Werkplaats9102 geb.15254</v>
          </cell>
          <cell r="D1043">
            <v>675</v>
          </cell>
        </row>
        <row r="1044">
          <cell r="C1044" t="str">
            <v>Werkplaats9102 geb.1552</v>
          </cell>
          <cell r="D1044">
            <v>675</v>
          </cell>
        </row>
        <row r="1045">
          <cell r="C1045" t="str">
            <v>Werkplaats9102 geb.15254</v>
          </cell>
          <cell r="D1045">
            <v>675</v>
          </cell>
        </row>
        <row r="1046">
          <cell r="C1046" t="str">
            <v>Werkplaats9102 geb.1552</v>
          </cell>
          <cell r="D1046">
            <v>675</v>
          </cell>
        </row>
        <row r="1047">
          <cell r="C1047" t="str">
            <v>Werkplaats9102 geb.15254</v>
          </cell>
          <cell r="D1047">
            <v>675</v>
          </cell>
        </row>
        <row r="1048">
          <cell r="C1048" t="str">
            <v>Werkplaats9102 geb.1552</v>
          </cell>
          <cell r="D1048">
            <v>675</v>
          </cell>
        </row>
        <row r="1049">
          <cell r="C1049" t="str">
            <v>Werkplaats9102 geb.15254</v>
          </cell>
          <cell r="D1049">
            <v>675</v>
          </cell>
        </row>
        <row r="1050">
          <cell r="C1050" t="str">
            <v>Werkplaats9102 geb.15254</v>
          </cell>
          <cell r="D1050">
            <v>675</v>
          </cell>
        </row>
        <row r="1051">
          <cell r="C1051" t="str">
            <v>Werkplaats9102 geb.1513</v>
          </cell>
          <cell r="D1051">
            <v>675</v>
          </cell>
        </row>
        <row r="1052">
          <cell r="C1052" t="str">
            <v>Werkplaats9102 geb.15254</v>
          </cell>
          <cell r="D1052">
            <v>675</v>
          </cell>
        </row>
        <row r="1053">
          <cell r="C1053" t="str">
            <v>Werkplaats9102 geb.1526</v>
          </cell>
          <cell r="D1053">
            <v>675</v>
          </cell>
        </row>
        <row r="1054">
          <cell r="C1054" t="str">
            <v>Werkplaats9102 geb.15254</v>
          </cell>
          <cell r="D1054">
            <v>675</v>
          </cell>
        </row>
        <row r="1055">
          <cell r="C1055" t="str">
            <v>Werkplaats9102 geb.1526</v>
          </cell>
          <cell r="D1055">
            <v>675</v>
          </cell>
        </row>
        <row r="1056">
          <cell r="C1056" t="str">
            <v>Werkplaats9102 geb.15254</v>
          </cell>
          <cell r="D1056">
            <v>675</v>
          </cell>
        </row>
        <row r="1057">
          <cell r="C1057" t="str">
            <v>Werkplaats9102 geb.1526</v>
          </cell>
          <cell r="D1057">
            <v>675</v>
          </cell>
        </row>
        <row r="1058">
          <cell r="C1058" t="str">
            <v>Werkplaats9102 geb.15254</v>
          </cell>
          <cell r="D1058">
            <v>675</v>
          </cell>
        </row>
        <row r="1059">
          <cell r="C1059" t="str">
            <v>Werkplaats9102 geb.1512</v>
          </cell>
          <cell r="D1059">
            <v>675</v>
          </cell>
        </row>
        <row r="1060">
          <cell r="C1060" t="str">
            <v>Werkplaats9102 geb.15254</v>
          </cell>
          <cell r="D1060">
            <v>675</v>
          </cell>
        </row>
        <row r="1061">
          <cell r="C1061" t="str">
            <v>Werkplaats9102 geb.1512</v>
          </cell>
          <cell r="D1061">
            <v>675</v>
          </cell>
        </row>
        <row r="1062">
          <cell r="C1062" t="str">
            <v>Werkplaats9102 geb.15254</v>
          </cell>
          <cell r="D1062">
            <v>675</v>
          </cell>
        </row>
        <row r="1063">
          <cell r="C1063" t="str">
            <v>Werkplaats9102 geb.1512</v>
          </cell>
          <cell r="D1063">
            <v>675</v>
          </cell>
        </row>
        <row r="1064">
          <cell r="C1064" t="str">
            <v>Werkplaats9102 geb.15254</v>
          </cell>
          <cell r="D1064">
            <v>675</v>
          </cell>
        </row>
        <row r="1065">
          <cell r="C1065" t="str">
            <v>Werkplaats9102 geb.1552</v>
          </cell>
          <cell r="D1065">
            <v>675</v>
          </cell>
        </row>
        <row r="1066">
          <cell r="C1066" t="str">
            <v>Werkplaats9102 geb.15254</v>
          </cell>
          <cell r="D1066">
            <v>675</v>
          </cell>
        </row>
        <row r="1067">
          <cell r="C1067" t="str">
            <v>Werkplaats9102 geb.1526</v>
          </cell>
          <cell r="D1067">
            <v>675</v>
          </cell>
        </row>
        <row r="1068">
          <cell r="C1068" t="str">
            <v>Werkplaats9102 geb.15254</v>
          </cell>
          <cell r="D1068">
            <v>675</v>
          </cell>
        </row>
        <row r="1069">
          <cell r="C1069" t="str">
            <v>Werkplaats9102 geb.1526</v>
          </cell>
          <cell r="D1069">
            <v>675</v>
          </cell>
        </row>
        <row r="1070">
          <cell r="C1070" t="str">
            <v>Werkplaats9102 geb.47254</v>
          </cell>
          <cell r="D1070">
            <v>675</v>
          </cell>
        </row>
        <row r="1071">
          <cell r="C1071" t="str">
            <v>Werkplaats9102 geb.470</v>
          </cell>
          <cell r="D1071">
            <v>675</v>
          </cell>
        </row>
        <row r="1072">
          <cell r="C1072" t="str">
            <v>Werkplaats9102 geb.4713</v>
          </cell>
          <cell r="D1072">
            <v>675</v>
          </cell>
        </row>
        <row r="1073">
          <cell r="C1073" t="str">
            <v>Werkplaats9102 geb.47254</v>
          </cell>
          <cell r="D1073">
            <v>675</v>
          </cell>
        </row>
        <row r="1074">
          <cell r="C1074" t="str">
            <v>Werkplaats9102 geb.470</v>
          </cell>
          <cell r="D1074">
            <v>675</v>
          </cell>
        </row>
        <row r="1075">
          <cell r="C1075" t="str">
            <v>Werkplaats9102 geb.4713</v>
          </cell>
          <cell r="D1075">
            <v>675</v>
          </cell>
        </row>
        <row r="1076">
          <cell r="C1076" t="str">
            <v>Werkplaats9102 geb.47254</v>
          </cell>
          <cell r="D1076">
            <v>675</v>
          </cell>
        </row>
        <row r="1077">
          <cell r="C1077" t="str">
            <v>Werkplaats9102 geb.470</v>
          </cell>
          <cell r="D1077">
            <v>675</v>
          </cell>
        </row>
        <row r="1078">
          <cell r="C1078" t="str">
            <v>Werkplaats9102 geb.4713</v>
          </cell>
          <cell r="D1078">
            <v>675</v>
          </cell>
        </row>
        <row r="1079">
          <cell r="C1079" t="str">
            <v>Werkplaats9102 geb.47254</v>
          </cell>
          <cell r="D1079">
            <v>675</v>
          </cell>
        </row>
        <row r="1080">
          <cell r="C1080" t="str">
            <v>Werkplaats9102 geb.470</v>
          </cell>
          <cell r="D1080">
            <v>675</v>
          </cell>
        </row>
        <row r="1081">
          <cell r="C1081" t="str">
            <v>Werkplaats9102 geb.4713</v>
          </cell>
          <cell r="D1081">
            <v>675</v>
          </cell>
        </row>
        <row r="1082">
          <cell r="C1082" t="str">
            <v>Werkplaats9102 geb.47254</v>
          </cell>
          <cell r="D1082">
            <v>675</v>
          </cell>
        </row>
        <row r="1083">
          <cell r="C1083" t="str">
            <v>Werkplaats9102 geb.470</v>
          </cell>
          <cell r="D1083">
            <v>675</v>
          </cell>
        </row>
        <row r="1084">
          <cell r="C1084" t="str">
            <v>Werkplaats9102 geb.4713</v>
          </cell>
          <cell r="D1084">
            <v>675</v>
          </cell>
        </row>
        <row r="1085">
          <cell r="C1085" t="str">
            <v>Werkplaats91020</v>
          </cell>
          <cell r="D1085">
            <v>0</v>
          </cell>
        </row>
        <row r="1086">
          <cell r="C1086" t="str">
            <v>Werkplaats910213</v>
          </cell>
          <cell r="D1086">
            <v>675</v>
          </cell>
        </row>
        <row r="1087">
          <cell r="C1087" t="str">
            <v>Werkplaats9102254</v>
          </cell>
          <cell r="D1087">
            <v>875</v>
          </cell>
        </row>
        <row r="1088">
          <cell r="C1088" t="str">
            <v>Werkplaats91020</v>
          </cell>
          <cell r="D1088">
            <v>0</v>
          </cell>
        </row>
        <row r="1089">
          <cell r="C1089" t="str">
            <v>Werkplaats910213</v>
          </cell>
          <cell r="D1089">
            <v>675</v>
          </cell>
        </row>
        <row r="1090">
          <cell r="C1090" t="str">
            <v>Werkplaats9102254</v>
          </cell>
          <cell r="D1090">
            <v>875</v>
          </cell>
        </row>
        <row r="1091">
          <cell r="C1091" t="str">
            <v>Werkplaats91020</v>
          </cell>
          <cell r="D1091">
            <v>0</v>
          </cell>
        </row>
        <row r="1092">
          <cell r="C1092" t="str">
            <v>Werkplaats910213</v>
          </cell>
          <cell r="D1092">
            <v>675</v>
          </cell>
        </row>
        <row r="1093">
          <cell r="C1093" t="str">
            <v>Werkplaats9102254</v>
          </cell>
          <cell r="D1093">
            <v>875</v>
          </cell>
        </row>
        <row r="1094">
          <cell r="C1094" t="str">
            <v>Werkplaats91020</v>
          </cell>
          <cell r="D1094">
            <v>0</v>
          </cell>
        </row>
        <row r="1095">
          <cell r="C1095" t="str">
            <v>Werkplaats910213</v>
          </cell>
          <cell r="D1095">
            <v>675</v>
          </cell>
        </row>
        <row r="1096">
          <cell r="C1096" t="str">
            <v>Werkplaats9102254</v>
          </cell>
          <cell r="D1096">
            <v>875</v>
          </cell>
        </row>
        <row r="1097">
          <cell r="C1097" t="str">
            <v>Werkplaats91020</v>
          </cell>
          <cell r="D1097">
            <v>0</v>
          </cell>
        </row>
        <row r="1098">
          <cell r="C1098" t="str">
            <v>Werkplaats910213</v>
          </cell>
          <cell r="D1098">
            <v>675</v>
          </cell>
        </row>
        <row r="1099">
          <cell r="C1099" t="str">
            <v>Werkplaats9102254</v>
          </cell>
          <cell r="D1099">
            <v>875</v>
          </cell>
        </row>
        <row r="1100">
          <cell r="C1100" t="str">
            <v>Werkplaats91020</v>
          </cell>
          <cell r="D1100">
            <v>0</v>
          </cell>
        </row>
        <row r="1101">
          <cell r="C1101" t="str">
            <v>Werkplaats910213</v>
          </cell>
          <cell r="D1101">
            <v>675</v>
          </cell>
        </row>
        <row r="1102">
          <cell r="C1102" t="str">
            <v>Werkplaats9102254</v>
          </cell>
          <cell r="D1102">
            <v>875</v>
          </cell>
        </row>
        <row r="1103">
          <cell r="C1103" t="str">
            <v>Werkplaats91020</v>
          </cell>
          <cell r="D1103">
            <v>0</v>
          </cell>
        </row>
        <row r="1104">
          <cell r="C1104" t="str">
            <v>Werkplaats910213</v>
          </cell>
          <cell r="D1104">
            <v>675</v>
          </cell>
        </row>
        <row r="1105">
          <cell r="C1105" t="str">
            <v>Werkplaats9102254</v>
          </cell>
          <cell r="D1105">
            <v>875</v>
          </cell>
        </row>
        <row r="1106">
          <cell r="C1106" t="str">
            <v>Werkplaats91020</v>
          </cell>
          <cell r="D1106">
            <v>0</v>
          </cell>
        </row>
        <row r="1107">
          <cell r="C1107" t="str">
            <v>Werkplaats910213</v>
          </cell>
          <cell r="D1107">
            <v>675</v>
          </cell>
        </row>
        <row r="1108">
          <cell r="C1108" t="str">
            <v>Werkplaats9103156</v>
          </cell>
          <cell r="D1108">
            <v>675</v>
          </cell>
        </row>
        <row r="1109">
          <cell r="C1109" t="str">
            <v>Werkplaats9103156</v>
          </cell>
          <cell r="D1109">
            <v>675</v>
          </cell>
        </row>
        <row r="1110">
          <cell r="C1110" t="str">
            <v>Werkplaats9103156</v>
          </cell>
          <cell r="D1110">
            <v>675</v>
          </cell>
        </row>
        <row r="1111">
          <cell r="C1111" t="str">
            <v>Werkplaats9103254</v>
          </cell>
          <cell r="D1111">
            <v>875</v>
          </cell>
        </row>
        <row r="1112">
          <cell r="C1112" t="str">
            <v>Werkplaats9103156</v>
          </cell>
          <cell r="D1112">
            <v>675</v>
          </cell>
        </row>
        <row r="1113">
          <cell r="C1113" t="str">
            <v>Werkplaats9103156</v>
          </cell>
          <cell r="D1113">
            <v>675</v>
          </cell>
        </row>
        <row r="1114">
          <cell r="C1114" t="str">
            <v>Werkplaats9103156</v>
          </cell>
          <cell r="D1114">
            <v>675</v>
          </cell>
        </row>
        <row r="1115">
          <cell r="C1115" t="str">
            <v>Werkplaats91030</v>
          </cell>
          <cell r="D1115">
            <v>675</v>
          </cell>
        </row>
        <row r="1116">
          <cell r="C1116" t="str">
            <v>Werkplaats91030</v>
          </cell>
          <cell r="D1116">
            <v>675</v>
          </cell>
        </row>
        <row r="1117">
          <cell r="C1117" t="str">
            <v>Werkplaats910213</v>
          </cell>
          <cell r="D1117">
            <v>675</v>
          </cell>
        </row>
        <row r="1118">
          <cell r="C1118" t="str">
            <v>Werkplaats91030</v>
          </cell>
          <cell r="D1118">
            <v>675</v>
          </cell>
        </row>
        <row r="1119">
          <cell r="C1119" t="str">
            <v>Werkplaats91030</v>
          </cell>
          <cell r="D1119">
            <v>675</v>
          </cell>
        </row>
        <row r="1120">
          <cell r="C1120" t="str">
            <v>Werkplaats910352</v>
          </cell>
          <cell r="D1120">
            <v>675</v>
          </cell>
        </row>
        <row r="1121">
          <cell r="C1121" t="str">
            <v>Werkplaats910352</v>
          </cell>
          <cell r="D1121">
            <v>675</v>
          </cell>
        </row>
        <row r="1122">
          <cell r="C1122" t="str">
            <v>Werkplaats910352</v>
          </cell>
          <cell r="D1122">
            <v>675</v>
          </cell>
        </row>
        <row r="1123">
          <cell r="C1123" t="str">
            <v>Werkplaats9102156</v>
          </cell>
          <cell r="D1123">
            <v>675</v>
          </cell>
        </row>
        <row r="1124">
          <cell r="C1124" t="str">
            <v>Werkplaats9102156</v>
          </cell>
          <cell r="D1124">
            <v>675</v>
          </cell>
        </row>
        <row r="1125">
          <cell r="C1125" t="str">
            <v>Werkplaats91020</v>
          </cell>
          <cell r="D1125">
            <v>0</v>
          </cell>
        </row>
        <row r="1126">
          <cell r="C1126" t="str">
            <v>Werkplaats91020</v>
          </cell>
          <cell r="D1126">
            <v>0</v>
          </cell>
        </row>
        <row r="1127">
          <cell r="C1127" t="str">
            <v>Werkplaats910352</v>
          </cell>
          <cell r="D1127">
            <v>675</v>
          </cell>
        </row>
        <row r="1128">
          <cell r="C1128" t="str">
            <v>Werkplaats910352</v>
          </cell>
          <cell r="D1128">
            <v>675</v>
          </cell>
        </row>
        <row r="1129">
          <cell r="C1129" t="str">
            <v>Werkplaats910352</v>
          </cell>
          <cell r="D1129">
            <v>675</v>
          </cell>
        </row>
        <row r="1130">
          <cell r="C1130" t="str">
            <v>Zaal6801254</v>
          </cell>
          <cell r="D1130">
            <v>550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  <sheetName val="Basis_ruimtestaat"/>
      <sheetName val="atir.xls"/>
      <sheetName val="#REF"/>
      <sheetName val="Omreken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V4" t="str">
            <v>PROJECT</v>
          </cell>
        </row>
        <row r="7">
          <cell r="K7" t="str">
            <v>PROGR. CODE MA-VR</v>
          </cell>
          <cell r="L7" t="str">
            <v>PROGR. CODE NALOOP</v>
          </cell>
          <cell r="M7" t="str">
            <v>PROGR. CODE ZA-ZO</v>
          </cell>
          <cell r="N7" t="str">
            <v>FREQ. NOTATIE</v>
          </cell>
          <cell r="O7" t="str">
            <v>KENG. CODE MA-VR</v>
          </cell>
          <cell r="P7" t="str">
            <v>UREN P/JR        MA-VR</v>
          </cell>
          <cell r="Q7" t="str">
            <v>KENG. CODE NALOOP</v>
          </cell>
          <cell r="R7" t="str">
            <v>UREN P/JR     NALOOP</v>
          </cell>
          <cell r="S7" t="str">
            <v>KENG. CODE ZA-ZO</v>
          </cell>
          <cell r="T7" t="str">
            <v>UREN P/JR     ZA-ZO</v>
          </cell>
          <cell r="U7" t="str">
            <v>BIJZONDERHEDEN</v>
          </cell>
          <cell r="V7" t="str">
            <v>MUTATIE DATUM</v>
          </cell>
        </row>
        <row r="8"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W8">
            <v>0</v>
          </cell>
        </row>
        <row r="9"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W9">
            <v>0</v>
          </cell>
        </row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W10">
            <v>0</v>
          </cell>
        </row>
        <row r="11"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W14">
            <v>0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W15">
            <v>0</v>
          </cell>
        </row>
        <row r="16"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W16">
            <v>0</v>
          </cell>
        </row>
        <row r="17"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W17">
            <v>0</v>
          </cell>
        </row>
        <row r="18"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W18">
            <v>0</v>
          </cell>
        </row>
        <row r="19"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W19">
            <v>0</v>
          </cell>
        </row>
        <row r="20"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W20">
            <v>0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W21">
            <v>0</v>
          </cell>
        </row>
        <row r="22"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W22">
            <v>0</v>
          </cell>
        </row>
        <row r="23"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W23">
            <v>0</v>
          </cell>
        </row>
        <row r="24"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W24">
            <v>0</v>
          </cell>
        </row>
        <row r="25"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W25">
            <v>0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W26">
            <v>0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W27">
            <v>0</v>
          </cell>
        </row>
        <row r="28"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W28">
            <v>0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W29">
            <v>0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W30">
            <v>0</v>
          </cell>
        </row>
        <row r="31"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W31">
            <v>0</v>
          </cell>
        </row>
        <row r="32"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W32">
            <v>0</v>
          </cell>
        </row>
        <row r="33"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W33">
            <v>0</v>
          </cell>
        </row>
        <row r="34"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W34">
            <v>0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W35">
            <v>0</v>
          </cell>
        </row>
        <row r="36"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W36">
            <v>0</v>
          </cell>
        </row>
        <row r="37"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W37">
            <v>0</v>
          </cell>
        </row>
        <row r="38"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W38">
            <v>0</v>
          </cell>
        </row>
        <row r="39"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W39">
            <v>0</v>
          </cell>
        </row>
        <row r="40"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W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W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W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W43">
            <v>0</v>
          </cell>
        </row>
        <row r="44"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W44">
            <v>0</v>
          </cell>
        </row>
        <row r="45"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W45">
            <v>0</v>
          </cell>
        </row>
        <row r="46"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W46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W47">
            <v>0</v>
          </cell>
        </row>
        <row r="48"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W48">
            <v>0</v>
          </cell>
        </row>
        <row r="49"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W49">
            <v>0</v>
          </cell>
        </row>
        <row r="50"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W50">
            <v>0</v>
          </cell>
        </row>
        <row r="51"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W51">
            <v>0</v>
          </cell>
        </row>
        <row r="52"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W52">
            <v>0</v>
          </cell>
        </row>
        <row r="53"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W53">
            <v>0</v>
          </cell>
        </row>
        <row r="54"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W54">
            <v>0</v>
          </cell>
        </row>
        <row r="55"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W55">
            <v>0</v>
          </cell>
        </row>
        <row r="56"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W56">
            <v>0</v>
          </cell>
        </row>
        <row r="57"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W57">
            <v>0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W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W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W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W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W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W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W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W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W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W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W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W69">
            <v>0</v>
          </cell>
        </row>
        <row r="70"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W70">
            <v>0</v>
          </cell>
        </row>
        <row r="71"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W71">
            <v>0</v>
          </cell>
        </row>
        <row r="72"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W72">
            <v>0</v>
          </cell>
        </row>
        <row r="73"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W73">
            <v>0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W74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W75">
            <v>0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W76">
            <v>0</v>
          </cell>
        </row>
        <row r="77"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W77">
            <v>0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W78">
            <v>0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W79">
            <v>0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W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W81">
            <v>0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W82">
            <v>0</v>
          </cell>
        </row>
        <row r="83"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W83">
            <v>0</v>
          </cell>
        </row>
        <row r="84"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W84">
            <v>0</v>
          </cell>
        </row>
        <row r="85"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W85">
            <v>0</v>
          </cell>
        </row>
        <row r="86"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W86">
            <v>0</v>
          </cell>
        </row>
        <row r="87"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W87">
            <v>0</v>
          </cell>
        </row>
        <row r="88"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W88">
            <v>0</v>
          </cell>
        </row>
        <row r="89"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W90">
            <v>0</v>
          </cell>
        </row>
        <row r="91"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</row>
        <row r="92"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W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W93">
            <v>0</v>
          </cell>
        </row>
        <row r="94"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W94">
            <v>0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W95">
            <v>0</v>
          </cell>
        </row>
        <row r="96"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W96">
            <v>0</v>
          </cell>
        </row>
        <row r="97"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W97">
            <v>0</v>
          </cell>
        </row>
        <row r="98"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W98">
            <v>0</v>
          </cell>
        </row>
        <row r="99"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W99">
            <v>0</v>
          </cell>
        </row>
        <row r="100"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W100">
            <v>0</v>
          </cell>
        </row>
        <row r="101"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W101">
            <v>0</v>
          </cell>
        </row>
        <row r="102"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W102">
            <v>0</v>
          </cell>
        </row>
        <row r="103"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W103">
            <v>0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W104">
            <v>0</v>
          </cell>
        </row>
        <row r="105"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W105">
            <v>0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W106">
            <v>0</v>
          </cell>
        </row>
        <row r="107"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W107">
            <v>0</v>
          </cell>
        </row>
        <row r="108"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W108">
            <v>0</v>
          </cell>
        </row>
        <row r="109"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W109">
            <v>0</v>
          </cell>
        </row>
        <row r="110"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W110">
            <v>0</v>
          </cell>
        </row>
        <row r="111"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W111">
            <v>0</v>
          </cell>
        </row>
        <row r="112"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W112">
            <v>0</v>
          </cell>
        </row>
        <row r="113"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W113">
            <v>0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W114">
            <v>0</v>
          </cell>
        </row>
        <row r="115"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W115">
            <v>0</v>
          </cell>
        </row>
        <row r="116"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W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W117">
            <v>0</v>
          </cell>
        </row>
        <row r="118"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W118">
            <v>0</v>
          </cell>
        </row>
        <row r="119"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W119">
            <v>0</v>
          </cell>
        </row>
        <row r="120"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W120">
            <v>0</v>
          </cell>
        </row>
        <row r="121"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W121">
            <v>0</v>
          </cell>
        </row>
        <row r="122"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W122">
            <v>0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W123">
            <v>0</v>
          </cell>
        </row>
        <row r="124"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W124">
            <v>0</v>
          </cell>
        </row>
        <row r="125"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W125">
            <v>0</v>
          </cell>
        </row>
        <row r="126"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W126">
            <v>0</v>
          </cell>
        </row>
        <row r="127"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W127">
            <v>0</v>
          </cell>
        </row>
        <row r="128"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W128">
            <v>0</v>
          </cell>
        </row>
        <row r="129"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W129">
            <v>0</v>
          </cell>
        </row>
        <row r="130"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W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W131">
            <v>0</v>
          </cell>
        </row>
        <row r="132"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W132">
            <v>0</v>
          </cell>
        </row>
        <row r="133"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W133">
            <v>0</v>
          </cell>
        </row>
        <row r="134"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W134">
            <v>0</v>
          </cell>
        </row>
        <row r="135"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W135">
            <v>0</v>
          </cell>
        </row>
        <row r="136"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W136">
            <v>0</v>
          </cell>
        </row>
        <row r="137"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W137">
            <v>0</v>
          </cell>
        </row>
        <row r="138"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W138">
            <v>0</v>
          </cell>
        </row>
        <row r="139"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W139">
            <v>0</v>
          </cell>
        </row>
        <row r="140"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W140">
            <v>0</v>
          </cell>
        </row>
        <row r="141"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W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W142">
            <v>0</v>
          </cell>
        </row>
        <row r="143"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W143">
            <v>0</v>
          </cell>
        </row>
        <row r="144"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W144">
            <v>0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W145">
            <v>0</v>
          </cell>
        </row>
        <row r="146"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W146">
            <v>0</v>
          </cell>
        </row>
        <row r="147"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W147">
            <v>0</v>
          </cell>
        </row>
        <row r="148"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W148">
            <v>0</v>
          </cell>
        </row>
        <row r="149"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W149">
            <v>0</v>
          </cell>
        </row>
        <row r="150"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W150">
            <v>0</v>
          </cell>
        </row>
        <row r="151"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W151">
            <v>0</v>
          </cell>
        </row>
        <row r="152"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W152">
            <v>0</v>
          </cell>
        </row>
        <row r="153"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W153">
            <v>0</v>
          </cell>
        </row>
        <row r="154"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W154">
            <v>0</v>
          </cell>
        </row>
        <row r="155"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W155">
            <v>0</v>
          </cell>
        </row>
        <row r="156"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W156">
            <v>0</v>
          </cell>
        </row>
        <row r="157"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W157">
            <v>0</v>
          </cell>
        </row>
        <row r="158"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W158">
            <v>0</v>
          </cell>
        </row>
        <row r="159"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W159">
            <v>0</v>
          </cell>
        </row>
        <row r="160"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W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W161">
            <v>0</v>
          </cell>
        </row>
        <row r="162"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W162">
            <v>0</v>
          </cell>
        </row>
        <row r="163"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W163">
            <v>0</v>
          </cell>
        </row>
        <row r="164"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W164">
            <v>0</v>
          </cell>
        </row>
        <row r="165"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W165">
            <v>0</v>
          </cell>
        </row>
        <row r="166"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W166">
            <v>0</v>
          </cell>
        </row>
        <row r="167"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W167">
            <v>0</v>
          </cell>
        </row>
        <row r="168"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W168">
            <v>0</v>
          </cell>
        </row>
        <row r="169"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W169">
            <v>0</v>
          </cell>
        </row>
        <row r="170"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W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W171">
            <v>0</v>
          </cell>
        </row>
        <row r="172"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W172">
            <v>0</v>
          </cell>
        </row>
        <row r="173"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W173">
            <v>0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W174">
            <v>0</v>
          </cell>
        </row>
        <row r="175"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W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W176">
            <v>0</v>
          </cell>
        </row>
        <row r="177"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W177">
            <v>0</v>
          </cell>
        </row>
        <row r="178"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W178">
            <v>0</v>
          </cell>
        </row>
        <row r="179"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W179">
            <v>0</v>
          </cell>
        </row>
        <row r="180"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W180">
            <v>0</v>
          </cell>
        </row>
        <row r="181"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W181">
            <v>0</v>
          </cell>
        </row>
        <row r="182"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W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W183">
            <v>0</v>
          </cell>
        </row>
        <row r="184"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W184">
            <v>0</v>
          </cell>
        </row>
        <row r="185"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W185">
            <v>0</v>
          </cell>
        </row>
        <row r="186"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W186">
            <v>0</v>
          </cell>
        </row>
        <row r="187"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W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W188">
            <v>0</v>
          </cell>
        </row>
        <row r="189"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W189">
            <v>0</v>
          </cell>
        </row>
        <row r="190"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W190">
            <v>0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W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W192">
            <v>0</v>
          </cell>
        </row>
        <row r="193"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W193">
            <v>0</v>
          </cell>
        </row>
        <row r="194"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W194">
            <v>0</v>
          </cell>
        </row>
        <row r="195"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W195">
            <v>0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W196">
            <v>0</v>
          </cell>
        </row>
        <row r="197"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W197">
            <v>0</v>
          </cell>
        </row>
        <row r="198"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W198">
            <v>0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W199">
            <v>0</v>
          </cell>
        </row>
        <row r="200"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W200">
            <v>0</v>
          </cell>
        </row>
        <row r="201"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W201">
            <v>0</v>
          </cell>
        </row>
        <row r="202"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W202">
            <v>0</v>
          </cell>
        </row>
        <row r="203"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W203">
            <v>0</v>
          </cell>
        </row>
        <row r="204"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W204">
            <v>0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W205">
            <v>0</v>
          </cell>
        </row>
        <row r="206"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W206">
            <v>0</v>
          </cell>
        </row>
        <row r="207"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W207">
            <v>0</v>
          </cell>
        </row>
        <row r="208"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W208">
            <v>0</v>
          </cell>
        </row>
        <row r="209"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W209">
            <v>0</v>
          </cell>
        </row>
        <row r="210"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W210">
            <v>0</v>
          </cell>
        </row>
        <row r="211"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W211">
            <v>0</v>
          </cell>
        </row>
        <row r="212"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W212">
            <v>0</v>
          </cell>
        </row>
        <row r="213"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W213">
            <v>0</v>
          </cell>
        </row>
        <row r="214"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W214">
            <v>0</v>
          </cell>
        </row>
        <row r="215"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W215">
            <v>0</v>
          </cell>
        </row>
        <row r="216"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W216">
            <v>0</v>
          </cell>
        </row>
        <row r="217"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W217">
            <v>0</v>
          </cell>
        </row>
        <row r="218"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W218">
            <v>0</v>
          </cell>
        </row>
        <row r="219"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W219">
            <v>0</v>
          </cell>
        </row>
        <row r="220"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W220">
            <v>0</v>
          </cell>
        </row>
        <row r="221"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W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W222">
            <v>0</v>
          </cell>
        </row>
        <row r="223"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W223">
            <v>0</v>
          </cell>
        </row>
        <row r="224"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W224">
            <v>0</v>
          </cell>
        </row>
        <row r="225"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W225">
            <v>0</v>
          </cell>
        </row>
        <row r="226"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W226">
            <v>0</v>
          </cell>
        </row>
        <row r="227"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W227">
            <v>0</v>
          </cell>
        </row>
        <row r="228"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W228">
            <v>0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W229">
            <v>0</v>
          </cell>
        </row>
        <row r="230"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W230">
            <v>0</v>
          </cell>
        </row>
        <row r="231"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W231">
            <v>0</v>
          </cell>
        </row>
        <row r="232"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W232">
            <v>0</v>
          </cell>
        </row>
        <row r="233"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W233">
            <v>0</v>
          </cell>
        </row>
        <row r="234"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W234">
            <v>0</v>
          </cell>
        </row>
        <row r="235"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W235">
            <v>0</v>
          </cell>
        </row>
        <row r="236"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W236">
            <v>0</v>
          </cell>
        </row>
        <row r="237"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W237">
            <v>0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W238">
            <v>0</v>
          </cell>
        </row>
        <row r="239"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W239">
            <v>0</v>
          </cell>
        </row>
        <row r="240"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W240">
            <v>0</v>
          </cell>
        </row>
        <row r="241"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W241">
            <v>0</v>
          </cell>
        </row>
        <row r="242"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W242">
            <v>0</v>
          </cell>
        </row>
        <row r="243"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W243">
            <v>0</v>
          </cell>
        </row>
        <row r="244"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W244">
            <v>0</v>
          </cell>
        </row>
        <row r="245"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W245">
            <v>0</v>
          </cell>
        </row>
        <row r="246"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W246">
            <v>0</v>
          </cell>
        </row>
        <row r="247"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W247">
            <v>0</v>
          </cell>
        </row>
        <row r="248"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W248">
            <v>0</v>
          </cell>
        </row>
        <row r="249"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W249">
            <v>0</v>
          </cell>
        </row>
        <row r="250"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W250">
            <v>0</v>
          </cell>
        </row>
        <row r="251"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W251">
            <v>0</v>
          </cell>
        </row>
        <row r="252"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W252">
            <v>0</v>
          </cell>
        </row>
        <row r="253"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W253">
            <v>0</v>
          </cell>
        </row>
        <row r="254"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W254">
            <v>0</v>
          </cell>
        </row>
        <row r="255"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W255">
            <v>0</v>
          </cell>
        </row>
        <row r="256"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W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W257">
            <v>0</v>
          </cell>
        </row>
        <row r="258"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W258">
            <v>0</v>
          </cell>
        </row>
        <row r="259"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W259">
            <v>0</v>
          </cell>
        </row>
        <row r="260"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W260">
            <v>0</v>
          </cell>
        </row>
        <row r="261"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W261">
            <v>0</v>
          </cell>
        </row>
        <row r="262"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W262">
            <v>0</v>
          </cell>
        </row>
        <row r="263"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W263">
            <v>0</v>
          </cell>
        </row>
        <row r="264"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W264">
            <v>0</v>
          </cell>
        </row>
        <row r="265"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W265">
            <v>0</v>
          </cell>
        </row>
        <row r="266"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W266">
            <v>0</v>
          </cell>
        </row>
        <row r="267"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W267">
            <v>0</v>
          </cell>
        </row>
        <row r="268"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W268">
            <v>0</v>
          </cell>
        </row>
        <row r="269"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W269">
            <v>0</v>
          </cell>
        </row>
        <row r="270"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W270">
            <v>0</v>
          </cell>
        </row>
        <row r="271"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W271">
            <v>0</v>
          </cell>
        </row>
        <row r="272"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W272">
            <v>0</v>
          </cell>
        </row>
        <row r="273"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W273">
            <v>0</v>
          </cell>
        </row>
        <row r="274"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W274">
            <v>0</v>
          </cell>
        </row>
        <row r="275"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W275">
            <v>0</v>
          </cell>
        </row>
        <row r="276"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W276">
            <v>0</v>
          </cell>
        </row>
        <row r="277"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W277">
            <v>0</v>
          </cell>
        </row>
        <row r="278"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W278">
            <v>0</v>
          </cell>
        </row>
        <row r="279"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W279">
            <v>0</v>
          </cell>
        </row>
        <row r="280"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W280">
            <v>0</v>
          </cell>
        </row>
        <row r="281"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W281">
            <v>0</v>
          </cell>
        </row>
        <row r="282"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W282">
            <v>0</v>
          </cell>
        </row>
        <row r="283"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W283">
            <v>0</v>
          </cell>
        </row>
        <row r="284"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W284">
            <v>0</v>
          </cell>
        </row>
        <row r="285"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W285">
            <v>0</v>
          </cell>
        </row>
        <row r="286"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W286">
            <v>0</v>
          </cell>
        </row>
        <row r="287"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W287">
            <v>0</v>
          </cell>
        </row>
        <row r="288"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W288">
            <v>0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</row>
        <row r="290"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</row>
        <row r="291"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W291">
            <v>0</v>
          </cell>
        </row>
        <row r="292"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W292">
            <v>0</v>
          </cell>
        </row>
        <row r="293"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W293">
            <v>0</v>
          </cell>
        </row>
        <row r="294"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</row>
        <row r="295"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</row>
        <row r="296"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W296">
            <v>0</v>
          </cell>
        </row>
        <row r="297"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</row>
        <row r="298"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</row>
        <row r="299"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W299">
            <v>0</v>
          </cell>
        </row>
        <row r="300"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W300">
            <v>0</v>
          </cell>
        </row>
        <row r="301"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</row>
        <row r="302"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W302">
            <v>0</v>
          </cell>
        </row>
        <row r="303"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W303">
            <v>0</v>
          </cell>
        </row>
        <row r="304"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</row>
        <row r="305"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</row>
        <row r="306"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W306">
            <v>0</v>
          </cell>
        </row>
        <row r="307"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W307">
            <v>0</v>
          </cell>
        </row>
        <row r="308"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</row>
        <row r="309"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W309">
            <v>0</v>
          </cell>
        </row>
        <row r="310"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W310">
            <v>0</v>
          </cell>
        </row>
        <row r="311"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W311">
            <v>0</v>
          </cell>
        </row>
        <row r="312"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W312">
            <v>0</v>
          </cell>
        </row>
        <row r="313"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W313">
            <v>0</v>
          </cell>
        </row>
        <row r="314"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W314">
            <v>0</v>
          </cell>
        </row>
        <row r="315"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W315">
            <v>0</v>
          </cell>
        </row>
        <row r="316"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W316">
            <v>0</v>
          </cell>
        </row>
        <row r="317"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W317">
            <v>0</v>
          </cell>
        </row>
        <row r="318"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</row>
        <row r="319"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</row>
        <row r="320"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W320">
            <v>0</v>
          </cell>
        </row>
        <row r="321"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W321">
            <v>0</v>
          </cell>
        </row>
        <row r="322"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</row>
        <row r="323"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W323">
            <v>0</v>
          </cell>
        </row>
        <row r="324"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W324">
            <v>0</v>
          </cell>
        </row>
        <row r="325"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W325">
            <v>0</v>
          </cell>
        </row>
        <row r="326"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W326">
            <v>0</v>
          </cell>
        </row>
        <row r="327"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W327">
            <v>0</v>
          </cell>
        </row>
        <row r="328"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</row>
        <row r="329"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</row>
        <row r="330"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W330">
            <v>0</v>
          </cell>
        </row>
        <row r="331"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</row>
        <row r="332"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W332">
            <v>0</v>
          </cell>
        </row>
        <row r="333"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W333">
            <v>0</v>
          </cell>
        </row>
        <row r="334"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W334">
            <v>0</v>
          </cell>
        </row>
        <row r="335"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W335">
            <v>0</v>
          </cell>
        </row>
        <row r="336"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</row>
        <row r="337"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W337">
            <v>0</v>
          </cell>
        </row>
        <row r="338"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W338">
            <v>0</v>
          </cell>
        </row>
        <row r="339"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W339">
            <v>0</v>
          </cell>
        </row>
        <row r="340"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W340">
            <v>0</v>
          </cell>
        </row>
        <row r="341"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W341">
            <v>0</v>
          </cell>
        </row>
        <row r="342"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W342">
            <v>0</v>
          </cell>
        </row>
        <row r="343"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W343">
            <v>0</v>
          </cell>
        </row>
        <row r="344"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W344">
            <v>0</v>
          </cell>
        </row>
        <row r="345"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W345">
            <v>0</v>
          </cell>
        </row>
        <row r="346"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W346">
            <v>0</v>
          </cell>
        </row>
        <row r="347"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W347">
            <v>0</v>
          </cell>
        </row>
        <row r="348"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W348">
            <v>0</v>
          </cell>
        </row>
        <row r="349"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W349">
            <v>0</v>
          </cell>
        </row>
        <row r="350"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W350">
            <v>0</v>
          </cell>
        </row>
        <row r="351"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W351">
            <v>0</v>
          </cell>
        </row>
        <row r="352"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W352">
            <v>0</v>
          </cell>
        </row>
        <row r="353"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W353">
            <v>0</v>
          </cell>
        </row>
        <row r="354"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W354">
            <v>0</v>
          </cell>
        </row>
        <row r="355"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W355">
            <v>0</v>
          </cell>
        </row>
        <row r="356"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W356">
            <v>0</v>
          </cell>
        </row>
        <row r="357"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W357">
            <v>0</v>
          </cell>
        </row>
        <row r="358"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W358">
            <v>0</v>
          </cell>
        </row>
        <row r="359"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W359">
            <v>0</v>
          </cell>
        </row>
        <row r="360"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W360">
            <v>0</v>
          </cell>
        </row>
        <row r="361"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W361">
            <v>0</v>
          </cell>
        </row>
        <row r="362"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</row>
        <row r="363"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W363">
            <v>0</v>
          </cell>
        </row>
        <row r="364"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W364">
            <v>0</v>
          </cell>
        </row>
        <row r="365"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W365">
            <v>0</v>
          </cell>
        </row>
        <row r="366"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W366">
            <v>0</v>
          </cell>
        </row>
        <row r="367"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</row>
        <row r="368"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W368">
            <v>0</v>
          </cell>
        </row>
        <row r="369"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W369">
            <v>0</v>
          </cell>
        </row>
        <row r="370"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W370">
            <v>0</v>
          </cell>
        </row>
        <row r="371"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W371">
            <v>0</v>
          </cell>
        </row>
        <row r="372"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W372">
            <v>0</v>
          </cell>
        </row>
        <row r="373"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W373">
            <v>0</v>
          </cell>
        </row>
        <row r="374"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W374">
            <v>0</v>
          </cell>
        </row>
        <row r="375"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W375">
            <v>0</v>
          </cell>
        </row>
        <row r="376"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W376">
            <v>0</v>
          </cell>
        </row>
        <row r="377"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W377">
            <v>0</v>
          </cell>
        </row>
        <row r="378"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W378">
            <v>0</v>
          </cell>
        </row>
        <row r="379"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W379">
            <v>0</v>
          </cell>
        </row>
        <row r="380"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W380">
            <v>0</v>
          </cell>
        </row>
        <row r="381"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W381">
            <v>0</v>
          </cell>
        </row>
        <row r="382"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</row>
        <row r="383"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</row>
        <row r="384"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</row>
        <row r="385"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W385">
            <v>0</v>
          </cell>
        </row>
        <row r="386"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W386">
            <v>0</v>
          </cell>
        </row>
        <row r="387"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W387">
            <v>0</v>
          </cell>
        </row>
        <row r="388"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W388">
            <v>0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W389">
            <v>0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W390">
            <v>0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W391">
            <v>0</v>
          </cell>
        </row>
        <row r="392"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W392">
            <v>0</v>
          </cell>
        </row>
        <row r="393"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W393">
            <v>0</v>
          </cell>
        </row>
        <row r="394"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W394">
            <v>0</v>
          </cell>
        </row>
        <row r="395"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</row>
        <row r="396"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W396">
            <v>0</v>
          </cell>
        </row>
        <row r="397"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</row>
        <row r="398"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</row>
        <row r="399"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</row>
        <row r="400"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</row>
        <row r="401"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W401">
            <v>0</v>
          </cell>
        </row>
        <row r="402"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W402">
            <v>0</v>
          </cell>
        </row>
        <row r="403"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W403">
            <v>0</v>
          </cell>
        </row>
        <row r="404"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W404">
            <v>0</v>
          </cell>
        </row>
        <row r="405"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W405">
            <v>0</v>
          </cell>
        </row>
        <row r="406"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W406">
            <v>0</v>
          </cell>
        </row>
        <row r="407"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W407">
            <v>0</v>
          </cell>
        </row>
        <row r="408"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</row>
        <row r="409"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W409">
            <v>0</v>
          </cell>
        </row>
        <row r="410"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W410">
            <v>0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</row>
        <row r="413"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W413">
            <v>0</v>
          </cell>
        </row>
        <row r="414"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</row>
        <row r="415"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</row>
        <row r="416"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W416">
            <v>0</v>
          </cell>
        </row>
        <row r="417"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W417">
            <v>0</v>
          </cell>
        </row>
        <row r="418"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W418">
            <v>0</v>
          </cell>
        </row>
        <row r="419"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W419">
            <v>0</v>
          </cell>
        </row>
        <row r="420"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W420">
            <v>0</v>
          </cell>
        </row>
        <row r="421"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W421">
            <v>0</v>
          </cell>
        </row>
        <row r="422"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W422">
            <v>0</v>
          </cell>
        </row>
        <row r="423"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W423">
            <v>0</v>
          </cell>
        </row>
        <row r="424"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W424">
            <v>0</v>
          </cell>
        </row>
        <row r="425"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W425">
            <v>0</v>
          </cell>
        </row>
        <row r="426"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W426">
            <v>0</v>
          </cell>
        </row>
        <row r="427"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W427">
            <v>0</v>
          </cell>
        </row>
        <row r="428"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W428">
            <v>0</v>
          </cell>
        </row>
        <row r="429"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W429">
            <v>0</v>
          </cell>
        </row>
        <row r="430"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W430">
            <v>0</v>
          </cell>
        </row>
        <row r="431"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W431">
            <v>0</v>
          </cell>
        </row>
        <row r="432"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W432">
            <v>0</v>
          </cell>
        </row>
        <row r="433"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W433">
            <v>0</v>
          </cell>
        </row>
        <row r="434"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W434">
            <v>0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W435">
            <v>0</v>
          </cell>
        </row>
        <row r="436"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W436">
            <v>0</v>
          </cell>
        </row>
        <row r="437"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W437">
            <v>0</v>
          </cell>
        </row>
        <row r="438"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W438">
            <v>0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W439">
            <v>0</v>
          </cell>
        </row>
        <row r="440"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W440">
            <v>0</v>
          </cell>
        </row>
        <row r="441"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W441">
            <v>0</v>
          </cell>
        </row>
        <row r="442"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W442">
            <v>0</v>
          </cell>
        </row>
        <row r="443"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W443">
            <v>0</v>
          </cell>
        </row>
        <row r="444"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W444">
            <v>0</v>
          </cell>
        </row>
        <row r="445"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W445">
            <v>0</v>
          </cell>
        </row>
        <row r="446"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W446">
            <v>0</v>
          </cell>
        </row>
        <row r="447"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W447">
            <v>0</v>
          </cell>
        </row>
        <row r="448"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W448">
            <v>0</v>
          </cell>
        </row>
        <row r="449"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W449">
            <v>0</v>
          </cell>
        </row>
        <row r="450"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W450">
            <v>0</v>
          </cell>
        </row>
        <row r="451"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W451">
            <v>0</v>
          </cell>
        </row>
        <row r="452"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W452">
            <v>0</v>
          </cell>
        </row>
        <row r="453"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W453">
            <v>0</v>
          </cell>
        </row>
        <row r="454"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W454">
            <v>0</v>
          </cell>
        </row>
        <row r="455"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W455">
            <v>0</v>
          </cell>
        </row>
        <row r="456"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W456">
            <v>0</v>
          </cell>
        </row>
        <row r="457"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W457">
            <v>0</v>
          </cell>
        </row>
        <row r="458"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</row>
        <row r="459"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W459">
            <v>0</v>
          </cell>
        </row>
        <row r="460"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W460">
            <v>0</v>
          </cell>
        </row>
        <row r="461"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</row>
        <row r="462"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W462">
            <v>0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</row>
        <row r="464"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W464">
            <v>0</v>
          </cell>
        </row>
        <row r="465"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W465">
            <v>0</v>
          </cell>
        </row>
        <row r="466"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W466">
            <v>0</v>
          </cell>
        </row>
        <row r="467"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W467">
            <v>0</v>
          </cell>
        </row>
        <row r="468"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W468">
            <v>0</v>
          </cell>
        </row>
        <row r="469"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W469">
            <v>0</v>
          </cell>
        </row>
        <row r="470"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W470">
            <v>0</v>
          </cell>
        </row>
        <row r="471"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W472">
            <v>0</v>
          </cell>
        </row>
        <row r="473"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W473">
            <v>0</v>
          </cell>
        </row>
        <row r="474"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W474">
            <v>0</v>
          </cell>
        </row>
        <row r="475"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W475">
            <v>0</v>
          </cell>
        </row>
        <row r="476"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W476">
            <v>0</v>
          </cell>
        </row>
        <row r="477"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W477">
            <v>0</v>
          </cell>
        </row>
        <row r="478"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W478">
            <v>0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W479">
            <v>0</v>
          </cell>
        </row>
        <row r="480"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W480">
            <v>0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W481">
            <v>0</v>
          </cell>
        </row>
        <row r="482"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W482">
            <v>0</v>
          </cell>
        </row>
        <row r="483"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W483">
            <v>0</v>
          </cell>
        </row>
        <row r="484"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W484">
            <v>0</v>
          </cell>
        </row>
        <row r="485"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W485">
            <v>0</v>
          </cell>
        </row>
        <row r="486"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W486">
            <v>0</v>
          </cell>
        </row>
        <row r="487"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W487">
            <v>0</v>
          </cell>
        </row>
        <row r="488"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W488">
            <v>0</v>
          </cell>
        </row>
        <row r="489"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W489">
            <v>0</v>
          </cell>
        </row>
        <row r="490"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W490">
            <v>0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W491">
            <v>0</v>
          </cell>
        </row>
        <row r="492"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W492">
            <v>0</v>
          </cell>
        </row>
        <row r="493"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W493">
            <v>0</v>
          </cell>
        </row>
        <row r="494"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W494">
            <v>0</v>
          </cell>
        </row>
        <row r="495"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W495">
            <v>0</v>
          </cell>
        </row>
        <row r="496"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W496">
            <v>0</v>
          </cell>
        </row>
        <row r="497"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W497">
            <v>0</v>
          </cell>
        </row>
        <row r="498"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W498">
            <v>0</v>
          </cell>
        </row>
        <row r="499"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W499">
            <v>0</v>
          </cell>
        </row>
        <row r="500"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W500">
            <v>0</v>
          </cell>
        </row>
        <row r="501"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W501">
            <v>0</v>
          </cell>
        </row>
        <row r="502"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W502">
            <v>0</v>
          </cell>
        </row>
        <row r="503"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W503">
            <v>0</v>
          </cell>
        </row>
        <row r="504"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W504">
            <v>0</v>
          </cell>
        </row>
        <row r="505"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W505">
            <v>0</v>
          </cell>
        </row>
        <row r="506"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W506">
            <v>0</v>
          </cell>
        </row>
        <row r="507"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W507">
            <v>0</v>
          </cell>
        </row>
        <row r="508"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W508">
            <v>0</v>
          </cell>
        </row>
        <row r="509"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W509">
            <v>0</v>
          </cell>
        </row>
        <row r="510"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W510">
            <v>0</v>
          </cell>
        </row>
        <row r="511"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W511">
            <v>0</v>
          </cell>
        </row>
        <row r="512"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W512">
            <v>0</v>
          </cell>
        </row>
        <row r="513"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W513">
            <v>0</v>
          </cell>
        </row>
        <row r="514"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W514">
            <v>0</v>
          </cell>
        </row>
        <row r="515"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W515">
            <v>0</v>
          </cell>
        </row>
        <row r="516"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W516">
            <v>0</v>
          </cell>
        </row>
        <row r="517"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W517">
            <v>0</v>
          </cell>
        </row>
        <row r="518"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W518">
            <v>0</v>
          </cell>
        </row>
        <row r="519"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W519">
            <v>0</v>
          </cell>
        </row>
        <row r="520"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W520">
            <v>0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W521">
            <v>0</v>
          </cell>
        </row>
        <row r="522"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W522">
            <v>0</v>
          </cell>
        </row>
        <row r="523"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W523">
            <v>0</v>
          </cell>
        </row>
        <row r="524"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W524">
            <v>0</v>
          </cell>
        </row>
        <row r="525"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W525">
            <v>0</v>
          </cell>
        </row>
        <row r="526"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W526">
            <v>0</v>
          </cell>
        </row>
        <row r="527"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W527">
            <v>0</v>
          </cell>
        </row>
        <row r="528"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W528">
            <v>0</v>
          </cell>
        </row>
        <row r="529"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W529">
            <v>0</v>
          </cell>
        </row>
        <row r="530"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W530">
            <v>0</v>
          </cell>
        </row>
        <row r="531"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W531">
            <v>0</v>
          </cell>
        </row>
        <row r="532"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W532">
            <v>0</v>
          </cell>
        </row>
        <row r="533"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W533">
            <v>0</v>
          </cell>
        </row>
        <row r="534"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W534">
            <v>0</v>
          </cell>
        </row>
        <row r="535"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W535">
            <v>0</v>
          </cell>
        </row>
        <row r="536"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W536">
            <v>0</v>
          </cell>
        </row>
        <row r="537"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W537">
            <v>0</v>
          </cell>
        </row>
        <row r="538"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W538">
            <v>0</v>
          </cell>
        </row>
        <row r="539"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W539">
            <v>0</v>
          </cell>
        </row>
        <row r="540"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W540">
            <v>0</v>
          </cell>
        </row>
        <row r="541"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W541">
            <v>0</v>
          </cell>
        </row>
        <row r="542"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W542">
            <v>0</v>
          </cell>
        </row>
        <row r="543"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W543">
            <v>0</v>
          </cell>
        </row>
        <row r="544"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W544">
            <v>0</v>
          </cell>
        </row>
        <row r="545"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W545">
            <v>0</v>
          </cell>
        </row>
        <row r="546"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W546">
            <v>0</v>
          </cell>
        </row>
        <row r="547"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W547">
            <v>0</v>
          </cell>
        </row>
        <row r="548"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W548">
            <v>0</v>
          </cell>
        </row>
        <row r="549"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W549">
            <v>0</v>
          </cell>
        </row>
        <row r="550"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W550">
            <v>0</v>
          </cell>
        </row>
        <row r="551"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W551">
            <v>0</v>
          </cell>
        </row>
        <row r="552"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W552">
            <v>0</v>
          </cell>
        </row>
        <row r="553"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W553">
            <v>0</v>
          </cell>
        </row>
        <row r="554"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W554">
            <v>0</v>
          </cell>
        </row>
        <row r="555"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W555">
            <v>0</v>
          </cell>
        </row>
        <row r="556"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W556">
            <v>0</v>
          </cell>
        </row>
        <row r="557"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W557">
            <v>0</v>
          </cell>
        </row>
        <row r="558"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W558">
            <v>0</v>
          </cell>
        </row>
        <row r="559"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W559">
            <v>0</v>
          </cell>
        </row>
        <row r="560"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W560">
            <v>0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W561">
            <v>0</v>
          </cell>
        </row>
        <row r="562"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W562">
            <v>0</v>
          </cell>
        </row>
        <row r="563"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W563">
            <v>0</v>
          </cell>
        </row>
        <row r="564"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W564">
            <v>0</v>
          </cell>
        </row>
        <row r="565"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W565">
            <v>0</v>
          </cell>
        </row>
        <row r="566"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W566">
            <v>0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W567">
            <v>0</v>
          </cell>
        </row>
        <row r="568"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W568">
            <v>0</v>
          </cell>
        </row>
        <row r="569"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W569">
            <v>0</v>
          </cell>
        </row>
        <row r="570"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W570">
            <v>0</v>
          </cell>
        </row>
        <row r="571"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W571">
            <v>0</v>
          </cell>
        </row>
        <row r="572"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W572">
            <v>0</v>
          </cell>
        </row>
        <row r="573"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W573">
            <v>0</v>
          </cell>
        </row>
        <row r="574"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W574">
            <v>0</v>
          </cell>
        </row>
        <row r="575"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W575">
            <v>0</v>
          </cell>
        </row>
        <row r="576"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W576">
            <v>0</v>
          </cell>
        </row>
        <row r="577"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W577">
            <v>0</v>
          </cell>
        </row>
        <row r="578"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W578">
            <v>0</v>
          </cell>
        </row>
        <row r="579"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W579">
            <v>0</v>
          </cell>
        </row>
        <row r="580"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W580">
            <v>0</v>
          </cell>
        </row>
        <row r="581"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W581">
            <v>0</v>
          </cell>
        </row>
        <row r="582"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W582">
            <v>0</v>
          </cell>
        </row>
        <row r="583"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W583">
            <v>0</v>
          </cell>
        </row>
        <row r="584"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W584">
            <v>0</v>
          </cell>
        </row>
        <row r="585"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W585">
            <v>0</v>
          </cell>
        </row>
        <row r="586"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W586">
            <v>0</v>
          </cell>
        </row>
        <row r="587"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W587">
            <v>0</v>
          </cell>
        </row>
        <row r="588"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W588">
            <v>0</v>
          </cell>
        </row>
        <row r="589"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W589">
            <v>0</v>
          </cell>
        </row>
        <row r="590"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W590">
            <v>0</v>
          </cell>
        </row>
        <row r="591"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W591">
            <v>0</v>
          </cell>
        </row>
        <row r="592"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W592">
            <v>0</v>
          </cell>
        </row>
        <row r="593"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W593">
            <v>0</v>
          </cell>
        </row>
        <row r="594"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W594">
            <v>0</v>
          </cell>
        </row>
        <row r="595"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W595">
            <v>0</v>
          </cell>
        </row>
        <row r="596"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W596">
            <v>0</v>
          </cell>
        </row>
        <row r="597"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W597">
            <v>0</v>
          </cell>
        </row>
        <row r="598"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W598">
            <v>0</v>
          </cell>
        </row>
        <row r="599"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W599">
            <v>0</v>
          </cell>
        </row>
        <row r="600"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W600">
            <v>0</v>
          </cell>
        </row>
        <row r="601"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W601">
            <v>0</v>
          </cell>
        </row>
        <row r="602"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W602">
            <v>0</v>
          </cell>
        </row>
        <row r="603"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W603">
            <v>0</v>
          </cell>
        </row>
        <row r="604"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W604">
            <v>0</v>
          </cell>
        </row>
        <row r="605"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W605">
            <v>0</v>
          </cell>
        </row>
        <row r="606"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W606">
            <v>0</v>
          </cell>
        </row>
        <row r="607"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W607">
            <v>0</v>
          </cell>
        </row>
        <row r="608"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W608">
            <v>0</v>
          </cell>
        </row>
        <row r="609"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W609">
            <v>0</v>
          </cell>
        </row>
        <row r="610"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W610">
            <v>0</v>
          </cell>
        </row>
        <row r="611"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W611">
            <v>0</v>
          </cell>
        </row>
        <row r="612"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W612">
            <v>0</v>
          </cell>
        </row>
        <row r="613"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W613">
            <v>0</v>
          </cell>
        </row>
        <row r="614"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W614">
            <v>0</v>
          </cell>
        </row>
        <row r="615"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W615">
            <v>0</v>
          </cell>
        </row>
        <row r="616"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W616">
            <v>0</v>
          </cell>
        </row>
        <row r="617"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W617">
            <v>0</v>
          </cell>
        </row>
        <row r="618"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W618">
            <v>0</v>
          </cell>
        </row>
        <row r="619"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W619">
            <v>0</v>
          </cell>
        </row>
        <row r="620"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W620">
            <v>0</v>
          </cell>
        </row>
        <row r="621"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W621">
            <v>0</v>
          </cell>
        </row>
        <row r="622"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W622">
            <v>0</v>
          </cell>
        </row>
        <row r="623"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W623">
            <v>0</v>
          </cell>
        </row>
        <row r="624"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W624">
            <v>0</v>
          </cell>
        </row>
        <row r="625"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W625">
            <v>0</v>
          </cell>
        </row>
        <row r="626"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W626">
            <v>0</v>
          </cell>
        </row>
        <row r="627"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W627">
            <v>0</v>
          </cell>
        </row>
        <row r="628"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W628">
            <v>0</v>
          </cell>
        </row>
        <row r="629"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W629">
            <v>0</v>
          </cell>
        </row>
        <row r="630"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W630">
            <v>0</v>
          </cell>
        </row>
        <row r="631"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W631">
            <v>0</v>
          </cell>
        </row>
        <row r="632"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W632">
            <v>0</v>
          </cell>
        </row>
        <row r="633"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W633">
            <v>0</v>
          </cell>
        </row>
        <row r="634"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W634">
            <v>0</v>
          </cell>
        </row>
        <row r="635"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W635">
            <v>0</v>
          </cell>
        </row>
        <row r="636"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W636">
            <v>0</v>
          </cell>
        </row>
        <row r="637"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W637">
            <v>0</v>
          </cell>
        </row>
        <row r="638"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W638">
            <v>0</v>
          </cell>
        </row>
        <row r="639"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W639">
            <v>0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W640">
            <v>0</v>
          </cell>
        </row>
        <row r="641"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W641">
            <v>0</v>
          </cell>
        </row>
        <row r="642"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W642">
            <v>0</v>
          </cell>
        </row>
        <row r="643"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W643">
            <v>0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W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W645">
            <v>0</v>
          </cell>
        </row>
        <row r="646"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W646">
            <v>0</v>
          </cell>
        </row>
        <row r="647"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W647">
            <v>0</v>
          </cell>
        </row>
        <row r="648"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W648">
            <v>0</v>
          </cell>
        </row>
        <row r="649"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W649">
            <v>0</v>
          </cell>
        </row>
        <row r="650"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W650">
            <v>0</v>
          </cell>
        </row>
        <row r="651"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W651">
            <v>0</v>
          </cell>
        </row>
        <row r="652"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W652">
            <v>0</v>
          </cell>
        </row>
        <row r="653"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W653">
            <v>0</v>
          </cell>
        </row>
        <row r="654"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W654">
            <v>0</v>
          </cell>
        </row>
        <row r="655"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W655">
            <v>0</v>
          </cell>
        </row>
        <row r="656"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W656">
            <v>0</v>
          </cell>
        </row>
        <row r="657"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W657">
            <v>0</v>
          </cell>
        </row>
        <row r="658"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W658">
            <v>0</v>
          </cell>
        </row>
        <row r="659"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W659">
            <v>0</v>
          </cell>
        </row>
        <row r="660"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W660">
            <v>0</v>
          </cell>
        </row>
        <row r="661"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W661">
            <v>0</v>
          </cell>
        </row>
        <row r="662"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W662">
            <v>0</v>
          </cell>
        </row>
        <row r="663"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W663">
            <v>0</v>
          </cell>
        </row>
        <row r="664"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W664">
            <v>0</v>
          </cell>
        </row>
        <row r="665"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W665">
            <v>0</v>
          </cell>
        </row>
        <row r="666"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W666">
            <v>0</v>
          </cell>
        </row>
        <row r="667"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W667">
            <v>0</v>
          </cell>
        </row>
        <row r="668"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W668">
            <v>0</v>
          </cell>
        </row>
        <row r="669"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W669">
            <v>0</v>
          </cell>
        </row>
        <row r="670"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W670">
            <v>0</v>
          </cell>
        </row>
        <row r="671"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W671">
            <v>0</v>
          </cell>
        </row>
        <row r="672"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W672">
            <v>0</v>
          </cell>
        </row>
        <row r="673"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W673">
            <v>0</v>
          </cell>
        </row>
        <row r="674"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W674">
            <v>0</v>
          </cell>
        </row>
        <row r="675"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W675">
            <v>0</v>
          </cell>
        </row>
        <row r="676"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W676">
            <v>0</v>
          </cell>
        </row>
        <row r="677"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W677">
            <v>0</v>
          </cell>
        </row>
        <row r="678"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W678">
            <v>0</v>
          </cell>
        </row>
        <row r="679"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W679">
            <v>0</v>
          </cell>
        </row>
        <row r="680"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W680">
            <v>0</v>
          </cell>
        </row>
        <row r="681"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W681">
            <v>0</v>
          </cell>
        </row>
        <row r="682"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W682">
            <v>0</v>
          </cell>
        </row>
        <row r="683"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W683">
            <v>0</v>
          </cell>
        </row>
        <row r="684"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W684">
            <v>0</v>
          </cell>
        </row>
        <row r="685"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W685">
            <v>0</v>
          </cell>
        </row>
        <row r="686"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W686">
            <v>0</v>
          </cell>
        </row>
        <row r="687"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W687">
            <v>0</v>
          </cell>
        </row>
        <row r="688"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W688">
            <v>0</v>
          </cell>
        </row>
        <row r="689"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W689">
            <v>0</v>
          </cell>
        </row>
        <row r="690"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W690">
            <v>0</v>
          </cell>
        </row>
        <row r="691"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W691">
            <v>0</v>
          </cell>
        </row>
        <row r="692"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W692">
            <v>0</v>
          </cell>
        </row>
        <row r="693"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W693">
            <v>0</v>
          </cell>
        </row>
        <row r="694"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W694">
            <v>0</v>
          </cell>
        </row>
        <row r="695"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W695">
            <v>0</v>
          </cell>
        </row>
        <row r="696"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W696">
            <v>0</v>
          </cell>
        </row>
        <row r="697"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W697">
            <v>0</v>
          </cell>
        </row>
        <row r="698"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W698">
            <v>0</v>
          </cell>
        </row>
        <row r="699"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W699">
            <v>0</v>
          </cell>
        </row>
        <row r="700"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W700">
            <v>0</v>
          </cell>
        </row>
        <row r="701"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W701">
            <v>0</v>
          </cell>
        </row>
        <row r="702"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W702">
            <v>0</v>
          </cell>
        </row>
        <row r="703"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W703">
            <v>0</v>
          </cell>
        </row>
        <row r="704"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W704">
            <v>0</v>
          </cell>
        </row>
        <row r="705"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W705">
            <v>0</v>
          </cell>
        </row>
        <row r="706"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W706">
            <v>0</v>
          </cell>
        </row>
        <row r="707"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W707">
            <v>0</v>
          </cell>
        </row>
        <row r="708"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W708">
            <v>0</v>
          </cell>
        </row>
        <row r="709"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W709">
            <v>0</v>
          </cell>
        </row>
        <row r="710"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W710">
            <v>0</v>
          </cell>
        </row>
        <row r="711"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W711">
            <v>0</v>
          </cell>
        </row>
        <row r="712"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W712">
            <v>0</v>
          </cell>
        </row>
        <row r="713"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W713">
            <v>0</v>
          </cell>
        </row>
        <row r="714"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W714">
            <v>0</v>
          </cell>
        </row>
        <row r="715"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W715">
            <v>0</v>
          </cell>
        </row>
        <row r="716"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W716">
            <v>0</v>
          </cell>
        </row>
        <row r="717"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W717">
            <v>0</v>
          </cell>
        </row>
        <row r="718"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W718">
            <v>0</v>
          </cell>
        </row>
        <row r="719"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W719">
            <v>0</v>
          </cell>
        </row>
        <row r="720"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W720">
            <v>0</v>
          </cell>
        </row>
        <row r="721"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W721">
            <v>0</v>
          </cell>
        </row>
        <row r="722"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W722">
            <v>0</v>
          </cell>
        </row>
        <row r="723"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W723">
            <v>0</v>
          </cell>
        </row>
        <row r="724"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W724">
            <v>0</v>
          </cell>
        </row>
        <row r="725"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W725">
            <v>0</v>
          </cell>
        </row>
        <row r="726"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W726">
            <v>0</v>
          </cell>
        </row>
        <row r="727"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W727">
            <v>0</v>
          </cell>
        </row>
        <row r="728"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W728">
            <v>0</v>
          </cell>
        </row>
        <row r="729"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W729">
            <v>0</v>
          </cell>
        </row>
        <row r="730"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</row>
        <row r="731"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</row>
        <row r="732"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</row>
        <row r="733"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</row>
        <row r="734"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</row>
        <row r="735"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</row>
        <row r="736"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W736">
            <v>0</v>
          </cell>
        </row>
        <row r="737"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W737">
            <v>0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W738">
            <v>0</v>
          </cell>
        </row>
        <row r="739"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W739">
            <v>0</v>
          </cell>
        </row>
        <row r="740"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W740">
            <v>0</v>
          </cell>
        </row>
        <row r="741"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W741">
            <v>0</v>
          </cell>
        </row>
        <row r="742"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W742">
            <v>0</v>
          </cell>
        </row>
        <row r="743"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W743">
            <v>0</v>
          </cell>
        </row>
        <row r="744"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W744">
            <v>0</v>
          </cell>
        </row>
        <row r="745"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W745">
            <v>0</v>
          </cell>
        </row>
        <row r="746"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</row>
        <row r="747"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W747">
            <v>0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</row>
        <row r="749"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W749">
            <v>0</v>
          </cell>
        </row>
        <row r="750"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W750">
            <v>0</v>
          </cell>
        </row>
        <row r="751"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W751">
            <v>0</v>
          </cell>
        </row>
        <row r="752"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W752">
            <v>0</v>
          </cell>
        </row>
        <row r="753"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W753">
            <v>0</v>
          </cell>
        </row>
        <row r="754"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W754">
            <v>0</v>
          </cell>
        </row>
        <row r="755"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W755">
            <v>0</v>
          </cell>
        </row>
        <row r="756"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W756">
            <v>0</v>
          </cell>
        </row>
        <row r="757"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W757">
            <v>0</v>
          </cell>
        </row>
        <row r="758"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W758">
            <v>0</v>
          </cell>
        </row>
        <row r="759"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W759">
            <v>0</v>
          </cell>
        </row>
        <row r="760"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W760">
            <v>0</v>
          </cell>
        </row>
        <row r="761"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W761">
            <v>0</v>
          </cell>
        </row>
        <row r="762"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W762">
            <v>0</v>
          </cell>
        </row>
        <row r="763"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W763">
            <v>0</v>
          </cell>
        </row>
        <row r="764"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W764">
            <v>0</v>
          </cell>
        </row>
        <row r="765"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W765">
            <v>0</v>
          </cell>
        </row>
        <row r="766"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W766">
            <v>0</v>
          </cell>
        </row>
        <row r="767"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W767">
            <v>0</v>
          </cell>
        </row>
        <row r="768"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W768">
            <v>0</v>
          </cell>
        </row>
        <row r="769"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W769">
            <v>0</v>
          </cell>
        </row>
        <row r="770"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W770">
            <v>0</v>
          </cell>
        </row>
        <row r="771"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W771">
            <v>0</v>
          </cell>
        </row>
        <row r="772"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W772">
            <v>0</v>
          </cell>
        </row>
        <row r="773"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W773">
            <v>0</v>
          </cell>
        </row>
        <row r="774"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W774">
            <v>0</v>
          </cell>
        </row>
        <row r="775"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W775">
            <v>0</v>
          </cell>
        </row>
        <row r="776"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W776">
            <v>0</v>
          </cell>
        </row>
        <row r="777"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W777">
            <v>0</v>
          </cell>
        </row>
        <row r="778"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W778">
            <v>0</v>
          </cell>
        </row>
        <row r="779"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W779">
            <v>0</v>
          </cell>
        </row>
        <row r="780"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W780">
            <v>0</v>
          </cell>
        </row>
        <row r="781"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W781">
            <v>0</v>
          </cell>
        </row>
        <row r="782"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W782">
            <v>0</v>
          </cell>
        </row>
        <row r="783"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W783">
            <v>0</v>
          </cell>
        </row>
        <row r="784"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W784">
            <v>0</v>
          </cell>
        </row>
        <row r="785"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W785">
            <v>0</v>
          </cell>
        </row>
        <row r="786"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W786">
            <v>0</v>
          </cell>
        </row>
        <row r="787"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W787">
            <v>0</v>
          </cell>
        </row>
        <row r="788"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W788">
            <v>0</v>
          </cell>
        </row>
        <row r="789"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W789">
            <v>0</v>
          </cell>
        </row>
        <row r="790"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W790">
            <v>0</v>
          </cell>
        </row>
        <row r="791"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W791">
            <v>0</v>
          </cell>
        </row>
        <row r="792"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W792">
            <v>0</v>
          </cell>
        </row>
        <row r="793"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W793">
            <v>0</v>
          </cell>
        </row>
        <row r="794"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W794">
            <v>0</v>
          </cell>
        </row>
        <row r="795"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W795">
            <v>0</v>
          </cell>
        </row>
        <row r="796"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W796">
            <v>0</v>
          </cell>
        </row>
        <row r="797"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W797">
            <v>0</v>
          </cell>
        </row>
        <row r="798"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W798">
            <v>0</v>
          </cell>
        </row>
        <row r="799"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W799">
            <v>0</v>
          </cell>
        </row>
        <row r="800"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W800">
            <v>0</v>
          </cell>
        </row>
        <row r="801"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W801">
            <v>0</v>
          </cell>
        </row>
        <row r="802"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W802">
            <v>0</v>
          </cell>
        </row>
        <row r="803"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W803">
            <v>0</v>
          </cell>
        </row>
        <row r="804"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W804">
            <v>0</v>
          </cell>
        </row>
        <row r="805"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W805">
            <v>0</v>
          </cell>
        </row>
        <row r="806"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W806">
            <v>0</v>
          </cell>
        </row>
        <row r="807"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W807">
            <v>0</v>
          </cell>
        </row>
        <row r="808"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W808">
            <v>0</v>
          </cell>
        </row>
        <row r="809"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W809">
            <v>0</v>
          </cell>
        </row>
        <row r="810"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W810">
            <v>0</v>
          </cell>
        </row>
        <row r="811"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W811">
            <v>0</v>
          </cell>
        </row>
        <row r="812"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W812">
            <v>0</v>
          </cell>
        </row>
        <row r="813"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W813">
            <v>0</v>
          </cell>
        </row>
        <row r="814"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W814">
            <v>0</v>
          </cell>
        </row>
        <row r="815"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W815">
            <v>0</v>
          </cell>
        </row>
        <row r="816"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W816">
            <v>0</v>
          </cell>
        </row>
        <row r="817"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W817">
            <v>0</v>
          </cell>
        </row>
        <row r="818"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W818">
            <v>0</v>
          </cell>
        </row>
        <row r="819"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W819">
            <v>0</v>
          </cell>
        </row>
        <row r="820"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W820">
            <v>0</v>
          </cell>
        </row>
        <row r="821"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W821">
            <v>0</v>
          </cell>
        </row>
        <row r="822"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W822">
            <v>0</v>
          </cell>
        </row>
        <row r="823"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W823">
            <v>0</v>
          </cell>
        </row>
        <row r="824"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W824">
            <v>0</v>
          </cell>
        </row>
        <row r="825"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W825">
            <v>0</v>
          </cell>
        </row>
        <row r="826"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W826">
            <v>0</v>
          </cell>
        </row>
        <row r="827"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W827">
            <v>0</v>
          </cell>
        </row>
        <row r="828"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W828">
            <v>0</v>
          </cell>
        </row>
        <row r="829"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W829">
            <v>0</v>
          </cell>
        </row>
        <row r="830"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W830">
            <v>0</v>
          </cell>
        </row>
        <row r="831"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W831">
            <v>0</v>
          </cell>
        </row>
        <row r="832"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W832">
            <v>0</v>
          </cell>
        </row>
        <row r="833"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W833">
            <v>0</v>
          </cell>
        </row>
        <row r="834"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W834">
            <v>0</v>
          </cell>
        </row>
        <row r="835"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W835">
            <v>0</v>
          </cell>
        </row>
        <row r="836"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W836">
            <v>0</v>
          </cell>
        </row>
        <row r="837"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W837">
            <v>0</v>
          </cell>
        </row>
        <row r="838"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W838">
            <v>0</v>
          </cell>
        </row>
        <row r="839"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W839">
            <v>0</v>
          </cell>
        </row>
        <row r="840"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W840">
            <v>0</v>
          </cell>
        </row>
        <row r="841"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W841">
            <v>0</v>
          </cell>
        </row>
        <row r="842"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W842">
            <v>0</v>
          </cell>
        </row>
        <row r="843"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W843">
            <v>0</v>
          </cell>
        </row>
        <row r="844"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W844">
            <v>0</v>
          </cell>
        </row>
        <row r="845"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W845">
            <v>0</v>
          </cell>
        </row>
        <row r="846"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W846">
            <v>0</v>
          </cell>
        </row>
        <row r="847"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W847">
            <v>0</v>
          </cell>
        </row>
        <row r="848"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W848">
            <v>0</v>
          </cell>
        </row>
        <row r="849"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W849">
            <v>0</v>
          </cell>
        </row>
        <row r="850"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W850">
            <v>0</v>
          </cell>
        </row>
        <row r="851"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W851">
            <v>0</v>
          </cell>
        </row>
        <row r="852"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W852">
            <v>0</v>
          </cell>
        </row>
        <row r="853"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W853">
            <v>0</v>
          </cell>
        </row>
        <row r="854"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W854">
            <v>0</v>
          </cell>
        </row>
        <row r="855"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W855">
            <v>0</v>
          </cell>
        </row>
        <row r="856"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W856">
            <v>0</v>
          </cell>
        </row>
        <row r="857"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W857">
            <v>0</v>
          </cell>
        </row>
        <row r="858"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W858">
            <v>0</v>
          </cell>
        </row>
        <row r="859"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W859">
            <v>0</v>
          </cell>
        </row>
        <row r="860"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W860">
            <v>0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W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W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W863">
            <v>0</v>
          </cell>
        </row>
        <row r="864"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W864">
            <v>0</v>
          </cell>
        </row>
        <row r="865"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W865">
            <v>0</v>
          </cell>
        </row>
        <row r="866"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W866">
            <v>0</v>
          </cell>
        </row>
        <row r="867"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W867">
            <v>0</v>
          </cell>
        </row>
        <row r="868"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W868">
            <v>0</v>
          </cell>
        </row>
        <row r="869"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W869">
            <v>0</v>
          </cell>
        </row>
        <row r="870"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W870">
            <v>0</v>
          </cell>
        </row>
        <row r="871"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W871">
            <v>0</v>
          </cell>
        </row>
        <row r="872"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W872">
            <v>0</v>
          </cell>
        </row>
        <row r="873"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W873">
            <v>0</v>
          </cell>
        </row>
        <row r="874"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W874">
            <v>0</v>
          </cell>
        </row>
        <row r="875"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W875">
            <v>0</v>
          </cell>
        </row>
        <row r="876"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W876">
            <v>0</v>
          </cell>
        </row>
        <row r="877"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W877">
            <v>0</v>
          </cell>
        </row>
        <row r="878"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W878">
            <v>0</v>
          </cell>
        </row>
        <row r="879"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W879">
            <v>0</v>
          </cell>
        </row>
        <row r="880"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W880">
            <v>0</v>
          </cell>
        </row>
        <row r="881"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W881">
            <v>0</v>
          </cell>
        </row>
        <row r="882"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W882">
            <v>0</v>
          </cell>
        </row>
        <row r="883"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W883">
            <v>0</v>
          </cell>
        </row>
        <row r="884"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W884">
            <v>0</v>
          </cell>
        </row>
        <row r="885"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W885">
            <v>0</v>
          </cell>
        </row>
        <row r="886"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W886">
            <v>0</v>
          </cell>
        </row>
        <row r="887"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W887">
            <v>0</v>
          </cell>
        </row>
        <row r="888"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W888">
            <v>0</v>
          </cell>
        </row>
        <row r="889"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W889">
            <v>0</v>
          </cell>
        </row>
        <row r="890"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W890">
            <v>0</v>
          </cell>
        </row>
        <row r="891"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W891">
            <v>0</v>
          </cell>
        </row>
        <row r="892"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W892">
            <v>0</v>
          </cell>
        </row>
        <row r="893"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W893">
            <v>0</v>
          </cell>
        </row>
        <row r="894"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W894">
            <v>0</v>
          </cell>
        </row>
        <row r="895"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W895">
            <v>0</v>
          </cell>
        </row>
        <row r="896"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W896">
            <v>0</v>
          </cell>
        </row>
        <row r="897"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W897">
            <v>0</v>
          </cell>
        </row>
        <row r="898"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W898">
            <v>0</v>
          </cell>
        </row>
        <row r="899"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W899">
            <v>0</v>
          </cell>
        </row>
        <row r="900"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W900">
            <v>0</v>
          </cell>
        </row>
        <row r="901"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W901">
            <v>0</v>
          </cell>
        </row>
        <row r="902"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W902">
            <v>0</v>
          </cell>
        </row>
        <row r="903"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W903">
            <v>0</v>
          </cell>
        </row>
        <row r="904"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W904">
            <v>0</v>
          </cell>
        </row>
        <row r="905"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W905">
            <v>0</v>
          </cell>
        </row>
        <row r="906"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W906">
            <v>0</v>
          </cell>
        </row>
        <row r="907"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W907">
            <v>0</v>
          </cell>
        </row>
        <row r="908"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W908">
            <v>0</v>
          </cell>
        </row>
        <row r="909"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W909">
            <v>0</v>
          </cell>
        </row>
        <row r="910"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W910">
            <v>0</v>
          </cell>
        </row>
        <row r="911"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W911">
            <v>0</v>
          </cell>
        </row>
        <row r="912"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W912">
            <v>0</v>
          </cell>
        </row>
        <row r="913"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W913">
            <v>0</v>
          </cell>
        </row>
        <row r="914"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W914">
            <v>0</v>
          </cell>
        </row>
        <row r="915"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W915">
            <v>0</v>
          </cell>
        </row>
        <row r="916"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W916">
            <v>0</v>
          </cell>
        </row>
        <row r="917"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W917">
            <v>0</v>
          </cell>
        </row>
        <row r="918"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W918">
            <v>0</v>
          </cell>
        </row>
        <row r="919"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W919">
            <v>0</v>
          </cell>
        </row>
        <row r="920"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W920">
            <v>0</v>
          </cell>
        </row>
        <row r="921"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W921">
            <v>0</v>
          </cell>
        </row>
        <row r="922"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W922">
            <v>0</v>
          </cell>
        </row>
        <row r="923"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W923">
            <v>0</v>
          </cell>
        </row>
        <row r="924"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W924">
            <v>0</v>
          </cell>
        </row>
        <row r="926">
          <cell r="P926">
            <v>0</v>
          </cell>
          <cell r="R926">
            <v>0</v>
          </cell>
          <cell r="T926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Kostenoverzicht"/>
    </sheetNames>
    <sheetDataSet>
      <sheetData sheetId="0" refreshError="1">
        <row r="43">
          <cell r="E43">
            <v>52</v>
          </cell>
        </row>
      </sheetData>
      <sheetData sheetId="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ieblad"/>
      <sheetName val="WP"/>
      <sheetName val="Steen"/>
      <sheetName val="Lino"/>
      <sheetName val="PVC"/>
      <sheetName val="Tapijt"/>
      <sheetName val="Hout"/>
      <sheetName val="Textiel"/>
      <sheetName val="Voeding"/>
      <sheetName val="Hoofdmenu"/>
      <sheetName val="CSG_macros"/>
      <sheetName val="scrprogramma"/>
      <sheetName val="scrvloersoort"/>
      <sheetName val="scrruimtestaten"/>
      <sheetName val="Tussenblad"/>
      <sheetName val="Waterschapshuis-ma_vr"/>
      <sheetName val="RWZI Tilburg-ma_vr"/>
      <sheetName val="Middelbeers-ma_vr"/>
      <sheetName val="Veldhoven-ma_vr"/>
      <sheetName val="SVI Mierlo-ma_vr"/>
      <sheetName val="Boxtel-ma_vr"/>
      <sheetName val="WSDD-Hoogfrequent"/>
      <sheetName val="WSDD-Laagfrequent"/>
      <sheetName val="Totaal"/>
      <sheetName val="Invulmatrix SO"/>
      <sheetName val="Invulmatrix Glas"/>
      <sheetName val="ma_vr_naloop"/>
      <sheetName val="Za"/>
      <sheetName val="Za_naloop"/>
      <sheetName val="Zo"/>
      <sheetName val="Zo_naloop"/>
      <sheetName val="Feestdag"/>
      <sheetName val="Feestd_naloop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Beh_L"/>
      <sheetName val="Bes_S"/>
      <sheetName val="Bib_L"/>
      <sheetName val="Bib_S"/>
      <sheetName val="Bib_T"/>
      <sheetName val="Dou_S"/>
      <sheetName val="Ent_S"/>
      <sheetName val="Ent_T"/>
      <sheetName val="Fie_S"/>
      <sheetName val="Gan_L"/>
      <sheetName val="Gan_S"/>
      <sheetName val="Gan_ST"/>
      <sheetName val="Gan_T"/>
      <sheetName val="Gar_L"/>
      <sheetName val="Gar_S"/>
      <sheetName val="Hal_S"/>
      <sheetName val="Kan_L"/>
      <sheetName val="Kan_H"/>
      <sheetName val="Kan_S"/>
      <sheetName val="Kan_ST"/>
      <sheetName val="Kan_T"/>
      <sheetName val="Keu_L"/>
      <sheetName val="Keu_S"/>
      <sheetName val="Keu_T"/>
      <sheetName val="Kle_S"/>
      <sheetName val="Lab_L"/>
      <sheetName val="Lab_S"/>
      <sheetName val="Lif_L"/>
      <sheetName val="Lif_T"/>
      <sheetName val="Mag_L"/>
      <sheetName val="Mag_S"/>
      <sheetName val="Pri_L"/>
      <sheetName val="Pri_S"/>
      <sheetName val="Pri_ST"/>
      <sheetName val="Pri_T"/>
      <sheetName val="Rec_T"/>
      <sheetName val="Res_L"/>
      <sheetName val="Res_S"/>
      <sheetName val="Res_T"/>
      <sheetName val="Roo_L"/>
      <sheetName val="Roo_S"/>
      <sheetName val="Roo_ST"/>
      <sheetName val="Roo_T"/>
      <sheetName val="San_S"/>
      <sheetName val="Spo_S"/>
      <sheetName val="Tra_H"/>
      <sheetName val="Tra_R"/>
      <sheetName val="Tra_S"/>
      <sheetName val="Ver_L"/>
      <sheetName val="Ver_S"/>
      <sheetName val="Ver_ST"/>
      <sheetName val="Ver_T"/>
      <sheetName val="Was_S"/>
      <sheetName val="Zaa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H40"/>
  <sheetViews>
    <sheetView showGridLines="0" zoomScale="70" zoomScaleNormal="70" workbookViewId="0">
      <selection activeCell="F30" sqref="F30"/>
    </sheetView>
  </sheetViews>
  <sheetFormatPr defaultColWidth="9.140625" defaultRowHeight="13.5"/>
  <cols>
    <col min="1" max="1" width="27.140625" style="3" customWidth="1"/>
    <col min="2" max="2" width="34.85546875" style="3" customWidth="1"/>
    <col min="3" max="3" width="20" style="3" customWidth="1"/>
    <col min="4" max="4" width="68.7109375" style="3" customWidth="1"/>
    <col min="5" max="16384" width="9.140625" style="3"/>
  </cols>
  <sheetData>
    <row r="1" spans="1:8">
      <c r="A1" s="380" t="s">
        <v>2</v>
      </c>
      <c r="B1" s="1"/>
      <c r="C1" s="1"/>
      <c r="D1" s="2"/>
      <c r="E1" s="2"/>
      <c r="F1" s="2"/>
      <c r="G1" s="2"/>
      <c r="H1" s="2"/>
    </row>
    <row r="2" spans="1:8">
      <c r="A2" s="4"/>
      <c r="B2" s="1"/>
      <c r="C2" s="1"/>
      <c r="D2" s="2"/>
      <c r="E2" s="2"/>
      <c r="F2" s="2"/>
      <c r="G2" s="2"/>
      <c r="H2" s="2"/>
    </row>
    <row r="3" spans="1:8" ht="17.25">
      <c r="A3" s="240" t="s">
        <v>3</v>
      </c>
      <c r="B3" s="241" t="str">
        <f>'1-Inschrijfstaat'!B3</f>
        <v>GVB Infra B.V.</v>
      </c>
      <c r="C3" s="6"/>
      <c r="D3" s="7"/>
      <c r="E3" s="7"/>
      <c r="F3" s="7"/>
      <c r="G3" s="2"/>
      <c r="H3" s="2"/>
    </row>
    <row r="4" spans="1:8" ht="17.25">
      <c r="A4" s="240" t="s">
        <v>8</v>
      </c>
      <c r="B4" s="241" t="str">
        <f ca="1">MID(CELL("bestandsnaam",$D$10),SEARCH("]",CELL("bestandsnaam",$D$10),1)+1,256)</f>
        <v>Mutatieblad</v>
      </c>
      <c r="C4" s="6"/>
      <c r="D4" s="7"/>
      <c r="E4" s="7"/>
      <c r="F4" s="7"/>
      <c r="G4" s="2"/>
      <c r="H4" s="2"/>
    </row>
    <row r="5" spans="1:8" ht="17.25">
      <c r="A5" s="240" t="s">
        <v>4</v>
      </c>
      <c r="B5" s="241" t="s">
        <v>1078</v>
      </c>
      <c r="C5" s="6"/>
      <c r="D5" s="7"/>
      <c r="E5" s="7"/>
      <c r="F5" s="7"/>
      <c r="G5" s="8"/>
      <c r="H5" s="2"/>
    </row>
    <row r="6" spans="1:8" ht="17.25">
      <c r="A6" s="240" t="s">
        <v>9</v>
      </c>
      <c r="B6" s="241" t="str">
        <f>'1-Inschrijfstaat'!B6</f>
        <v>2021-61</v>
      </c>
      <c r="C6" s="6"/>
      <c r="D6" s="7"/>
      <c r="E6" s="7"/>
      <c r="F6" s="7"/>
      <c r="G6" s="8"/>
      <c r="H6" s="2"/>
    </row>
    <row r="7" spans="1:8" ht="17.25">
      <c r="A7" s="240" t="s">
        <v>6</v>
      </c>
      <c r="B7" s="241" t="str">
        <f>'1-Inschrijfstaat'!B7</f>
        <v>Naam dienstverlener</v>
      </c>
      <c r="C7" s="9"/>
      <c r="D7" s="10"/>
      <c r="E7" s="7"/>
      <c r="F7" s="7"/>
      <c r="G7" s="8"/>
      <c r="H7" s="8"/>
    </row>
    <row r="8" spans="1:8" ht="17.25">
      <c r="A8" s="240" t="s">
        <v>7</v>
      </c>
      <c r="B8" s="11" t="str">
        <f>'1-Inschrijfstaat'!B8</f>
        <v>1 januari 2022</v>
      </c>
      <c r="C8" s="12"/>
      <c r="D8" s="7"/>
      <c r="E8" s="7"/>
      <c r="F8" s="7"/>
      <c r="G8" s="8"/>
      <c r="H8" s="8"/>
    </row>
    <row r="9" spans="1:8" ht="17.25">
      <c r="A9" s="240" t="s">
        <v>0</v>
      </c>
      <c r="B9" s="12" t="str">
        <f>'1-Inschrijfstaat'!B9</f>
        <v>1 Technische schoonmaak Algemeen</v>
      </c>
      <c r="C9" s="12"/>
      <c r="D9" s="7"/>
      <c r="E9" s="7"/>
      <c r="F9" s="7"/>
      <c r="G9" s="8"/>
      <c r="H9" s="8"/>
    </row>
    <row r="12" spans="1:8" ht="15.75">
      <c r="A12" s="381" t="s">
        <v>1389</v>
      </c>
      <c r="B12" s="382" t="s">
        <v>1390</v>
      </c>
      <c r="C12" s="382" t="s">
        <v>1391</v>
      </c>
      <c r="D12" s="382" t="s">
        <v>1392</v>
      </c>
    </row>
    <row r="13" spans="1:8">
      <c r="A13" s="13"/>
      <c r="B13" s="14"/>
      <c r="C13" s="13"/>
      <c r="D13" s="14"/>
    </row>
    <row r="14" spans="1:8">
      <c r="A14" s="13"/>
      <c r="B14" s="14"/>
      <c r="C14" s="13"/>
      <c r="D14" s="14"/>
    </row>
    <row r="15" spans="1:8" s="17" customFormat="1">
      <c r="A15" s="15"/>
      <c r="B15" s="16"/>
      <c r="C15" s="15"/>
      <c r="D15" s="16"/>
    </row>
    <row r="16" spans="1:8">
      <c r="A16" s="15"/>
      <c r="B16" s="16"/>
      <c r="C16" s="15"/>
      <c r="D16" s="18"/>
    </row>
    <row r="17" spans="1:4">
      <c r="A17" s="13"/>
      <c r="B17" s="14"/>
      <c r="C17" s="13"/>
      <c r="D17" s="14"/>
    </row>
    <row r="18" spans="1:4">
      <c r="A18" s="13"/>
      <c r="B18" s="14"/>
      <c r="C18" s="13"/>
      <c r="D18" s="14"/>
    </row>
    <row r="19" spans="1:4">
      <c r="A19" s="13"/>
      <c r="B19" s="14"/>
      <c r="C19" s="13"/>
      <c r="D19" s="14"/>
    </row>
    <row r="20" spans="1:4">
      <c r="A20" s="13"/>
      <c r="B20" s="14"/>
      <c r="C20" s="13"/>
      <c r="D20" s="14"/>
    </row>
    <row r="21" spans="1:4">
      <c r="A21" s="13"/>
      <c r="B21" s="14"/>
      <c r="C21" s="13"/>
      <c r="D21" s="14"/>
    </row>
    <row r="22" spans="1:4">
      <c r="A22" s="13"/>
      <c r="B22" s="14"/>
      <c r="C22" s="13"/>
      <c r="D22" s="14"/>
    </row>
    <row r="23" spans="1:4">
      <c r="A23" s="13"/>
      <c r="B23" s="14"/>
      <c r="C23" s="13"/>
      <c r="D23" s="14"/>
    </row>
    <row r="24" spans="1:4">
      <c r="A24" s="13"/>
      <c r="B24" s="14"/>
      <c r="C24" s="13"/>
      <c r="D24" s="14"/>
    </row>
    <row r="25" spans="1:4">
      <c r="A25" s="13"/>
      <c r="B25" s="14"/>
      <c r="C25" s="13"/>
      <c r="D25" s="14"/>
    </row>
    <row r="26" spans="1:4">
      <c r="A26" s="13"/>
      <c r="B26" s="14"/>
      <c r="C26" s="13"/>
      <c r="D26" s="14"/>
    </row>
    <row r="27" spans="1:4">
      <c r="A27" s="13"/>
      <c r="B27" s="14"/>
      <c r="C27" s="13"/>
      <c r="D27" s="14"/>
    </row>
    <row r="28" spans="1:4">
      <c r="A28" s="13"/>
      <c r="B28" s="14"/>
      <c r="C28" s="13"/>
      <c r="D28" s="14"/>
    </row>
    <row r="29" spans="1:4">
      <c r="A29" s="13"/>
      <c r="B29" s="14"/>
      <c r="C29" s="13"/>
      <c r="D29" s="14"/>
    </row>
    <row r="30" spans="1:4">
      <c r="A30" s="13"/>
      <c r="B30" s="14"/>
      <c r="C30" s="13"/>
      <c r="D30" s="14"/>
    </row>
    <row r="31" spans="1:4">
      <c r="A31" s="13"/>
      <c r="B31" s="14"/>
      <c r="C31" s="13"/>
      <c r="D31" s="14"/>
    </row>
    <row r="32" spans="1:4">
      <c r="A32" s="13"/>
      <c r="B32" s="14"/>
      <c r="C32" s="13"/>
      <c r="D32" s="14"/>
    </row>
    <row r="33" spans="1:4">
      <c r="A33" s="13"/>
      <c r="B33" s="14"/>
      <c r="C33" s="13"/>
      <c r="D33" s="14"/>
    </row>
    <row r="34" spans="1:4">
      <c r="A34" s="13"/>
      <c r="B34" s="14"/>
      <c r="C34" s="13"/>
      <c r="D34" s="14"/>
    </row>
    <row r="35" spans="1:4">
      <c r="A35" s="13"/>
      <c r="B35" s="14"/>
      <c r="C35" s="13"/>
      <c r="D35" s="14"/>
    </row>
    <row r="36" spans="1:4">
      <c r="A36" s="13"/>
      <c r="B36" s="14"/>
      <c r="C36" s="13"/>
      <c r="D36" s="14"/>
    </row>
    <row r="37" spans="1:4">
      <c r="A37" s="13"/>
      <c r="B37" s="14"/>
      <c r="C37" s="13"/>
      <c r="D37" s="14"/>
    </row>
    <row r="38" spans="1:4">
      <c r="A38" s="13"/>
      <c r="B38" s="14"/>
      <c r="C38" s="13"/>
      <c r="D38" s="14"/>
    </row>
    <row r="39" spans="1:4">
      <c r="A39" s="13"/>
      <c r="B39" s="14"/>
      <c r="C39" s="13"/>
      <c r="D39" s="14"/>
    </row>
    <row r="40" spans="1:4">
      <c r="A40" s="13"/>
      <c r="B40" s="14"/>
      <c r="C40" s="13"/>
      <c r="D40" s="14"/>
    </row>
  </sheetData>
  <pageMargins left="0.7" right="0.7" top="0.75" bottom="0.75" header="0.3" footer="0.3"/>
  <pageSetup paperSize="9" scale="5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</sheetPr>
  <dimension ref="A1:M105"/>
  <sheetViews>
    <sheetView showGridLines="0" zoomScale="70" zoomScaleNormal="70" workbookViewId="0">
      <pane xSplit="1" ySplit="12" topLeftCell="B13" activePane="bottomRight" state="frozen"/>
      <selection activeCell="F30" sqref="F30"/>
      <selection pane="topRight" activeCell="F30" sqref="F30"/>
      <selection pane="bottomLeft" activeCell="F30" sqref="F30"/>
      <selection pane="bottomRight" activeCell="G41" sqref="G41"/>
    </sheetView>
  </sheetViews>
  <sheetFormatPr defaultColWidth="9.140625" defaultRowHeight="13.5"/>
  <cols>
    <col min="1" max="1" width="0.7109375" style="3" customWidth="1"/>
    <col min="2" max="2" width="12" style="3" customWidth="1"/>
    <col min="3" max="3" width="16.28515625" style="3" customWidth="1"/>
    <col min="4" max="4" width="26.85546875" style="3" bestFit="1" customWidth="1"/>
    <col min="5" max="6" width="14.85546875" style="3" customWidth="1"/>
    <col min="7" max="7" width="14.85546875" style="126" customWidth="1"/>
    <col min="8" max="8" width="17.28515625" style="126" customWidth="1"/>
    <col min="9" max="9" width="14.85546875" style="126" customWidth="1"/>
    <col min="10" max="10" width="17.28515625" style="126" customWidth="1"/>
    <col min="11" max="13" width="14.85546875" style="3" customWidth="1"/>
    <col min="14" max="14" width="16.140625" style="3" bestFit="1" customWidth="1"/>
    <col min="15" max="16384" width="9.140625" style="3"/>
  </cols>
  <sheetData>
    <row r="1" spans="1:13" ht="14.25">
      <c r="B1" s="328" t="s">
        <v>2</v>
      </c>
    </row>
    <row r="2" spans="1:13" ht="14.25">
      <c r="B2" s="61"/>
    </row>
    <row r="3" spans="1:13" ht="17.25">
      <c r="B3" s="259" t="s">
        <v>3</v>
      </c>
      <c r="C3" s="259"/>
      <c r="D3" s="261" t="str">
        <f>'1-Inschrijfstaat'!B3</f>
        <v>GVB Infra B.V.</v>
      </c>
    </row>
    <row r="4" spans="1:13" ht="17.25">
      <c r="B4" s="259" t="s">
        <v>1093</v>
      </c>
      <c r="C4" s="259"/>
      <c r="D4" s="241" t="str">
        <f ca="1">MID(CELL("bestandsnaam",$D$11),SEARCH("]",CELL("bestandsnaam",$D$11),1)+1,256)</f>
        <v>8b-Glas kosten totaal</v>
      </c>
    </row>
    <row r="5" spans="1:13" ht="17.25">
      <c r="B5" s="259" t="s">
        <v>4</v>
      </c>
      <c r="C5" s="259"/>
      <c r="D5" s="261" t="str">
        <f>'1-Inschrijfstaat'!B5</f>
        <v>Diverse</v>
      </c>
    </row>
    <row r="6" spans="1:13" ht="17.25">
      <c r="B6" s="260" t="s">
        <v>9</v>
      </c>
      <c r="C6" s="259"/>
      <c r="D6" s="261" t="str">
        <f>'1-Inschrijfstaat'!B6</f>
        <v>2021-61</v>
      </c>
    </row>
    <row r="7" spans="1:13" ht="17.25">
      <c r="B7" s="259" t="s">
        <v>6</v>
      </c>
      <c r="C7" s="259"/>
      <c r="D7" s="261" t="str">
        <f>'1-Inschrijfstaat'!B7</f>
        <v>Naam dienstverlener</v>
      </c>
    </row>
    <row r="8" spans="1:13" ht="15.75">
      <c r="B8" s="259" t="s">
        <v>7</v>
      </c>
      <c r="C8" s="259"/>
      <c r="D8" s="11" t="str">
        <f>'1-Inschrijfstaat'!B8</f>
        <v>1 januari 2022</v>
      </c>
    </row>
    <row r="9" spans="1:13" ht="15.75">
      <c r="B9" s="250" t="s">
        <v>0</v>
      </c>
      <c r="C9" s="250"/>
      <c r="D9" s="47" t="str">
        <f>'1-Inschrijfstaat'!B9</f>
        <v>1 Technische schoonmaak Algemeen</v>
      </c>
    </row>
    <row r="10" spans="1:13" ht="15.75">
      <c r="B10" s="94"/>
      <c r="C10" s="94"/>
      <c r="E10" s="96"/>
    </row>
    <row r="11" spans="1:13">
      <c r="F11" s="126"/>
    </row>
    <row r="12" spans="1:13" s="128" customFormat="1" ht="76.5">
      <c r="B12" s="331" t="s">
        <v>289</v>
      </c>
      <c r="C12" s="331" t="s">
        <v>290</v>
      </c>
      <c r="D12" s="331" t="s">
        <v>13</v>
      </c>
      <c r="E12" s="331" t="s">
        <v>1310</v>
      </c>
      <c r="F12" s="331" t="s">
        <v>1303</v>
      </c>
      <c r="G12" s="331" t="s">
        <v>1304</v>
      </c>
      <c r="H12" s="331" t="s">
        <v>2131</v>
      </c>
      <c r="I12" s="332" t="s">
        <v>1973</v>
      </c>
      <c r="J12" s="332" t="s">
        <v>2130</v>
      </c>
      <c r="K12" s="332" t="s">
        <v>1351</v>
      </c>
      <c r="L12" s="332" t="s">
        <v>1352</v>
      </c>
      <c r="M12" s="332" t="s">
        <v>1975</v>
      </c>
    </row>
    <row r="13" spans="1:13">
      <c r="A13" s="3" t="str">
        <f t="shared" ref="A13:A31" si="0">CONCATENATE(B13,52)</f>
        <v>10252</v>
      </c>
      <c r="B13" s="23">
        <v>102</v>
      </c>
      <c r="C13" s="129" t="s">
        <v>849</v>
      </c>
      <c r="D13" s="129" t="s">
        <v>180</v>
      </c>
      <c r="E13" s="130">
        <f ca="1">SUMIF('8a-Glasstaat'!$C:$C,$B13,'8a-Glasstaat'!$I:$I)</f>
        <v>238.67000000000002</v>
      </c>
      <c r="F13" s="131">
        <f ca="1">SUMIF('8a-Glasstaat'!$C:$C,$B13,'8a-Glasstaat'!$M:$M)</f>
        <v>0</v>
      </c>
      <c r="G13" s="131">
        <f ca="1">SUMIF('8a-Glasstaat'!$C:$C,$B13,'8a-Glasstaat'!$N:$N)</f>
        <v>0</v>
      </c>
      <c r="H13" s="329">
        <v>0</v>
      </c>
      <c r="I13" s="456"/>
      <c r="J13" s="131">
        <f t="shared" ref="J13:J31" si="1">H13*I13</f>
        <v>0</v>
      </c>
      <c r="K13" s="330">
        <v>0</v>
      </c>
      <c r="L13" s="131">
        <f t="shared" ref="L13:L31" si="2">K13*I13</f>
        <v>0</v>
      </c>
      <c r="M13" s="131">
        <f ca="1">L13+J13+G13</f>
        <v>0</v>
      </c>
    </row>
    <row r="14" spans="1:13">
      <c r="A14" s="3" t="str">
        <f t="shared" si="0"/>
        <v>10352</v>
      </c>
      <c r="B14" s="23">
        <v>103</v>
      </c>
      <c r="C14" s="129" t="s">
        <v>717</v>
      </c>
      <c r="D14" s="129" t="s">
        <v>180</v>
      </c>
      <c r="E14" s="130">
        <f ca="1">SUMIF('8a-Glasstaat'!$C:$C,$B14,'8a-Glasstaat'!$I:$I)</f>
        <v>739.3599999999999</v>
      </c>
      <c r="F14" s="131">
        <f ca="1">SUMIF('8a-Glasstaat'!$C:$C,$B14,'8a-Glasstaat'!$M:$M)</f>
        <v>0</v>
      </c>
      <c r="G14" s="131">
        <f ca="1">SUMIF('8a-Glasstaat'!$C:$C,$B14,'8a-Glasstaat'!$N:$N)</f>
        <v>0</v>
      </c>
      <c r="H14" s="329">
        <v>0</v>
      </c>
      <c r="I14" s="456"/>
      <c r="J14" s="131">
        <f t="shared" si="1"/>
        <v>0</v>
      </c>
      <c r="K14" s="330">
        <v>0</v>
      </c>
      <c r="L14" s="131">
        <f t="shared" si="2"/>
        <v>0</v>
      </c>
      <c r="M14" s="131">
        <f t="shared" ref="M14:M31" ca="1" si="3">L14+J14+G14</f>
        <v>0</v>
      </c>
    </row>
    <row r="15" spans="1:13">
      <c r="A15" s="3" t="str">
        <f t="shared" si="0"/>
        <v>10452</v>
      </c>
      <c r="B15" s="23">
        <v>104</v>
      </c>
      <c r="C15" s="129" t="s">
        <v>165</v>
      </c>
      <c r="D15" s="129" t="s">
        <v>180</v>
      </c>
      <c r="E15" s="130">
        <f ca="1">SUMIF('8a-Glasstaat'!$C:$C,$B15,'8a-Glasstaat'!$I:$I)</f>
        <v>1204.2</v>
      </c>
      <c r="F15" s="131">
        <f ca="1">SUMIF('8a-Glasstaat'!$C:$C,$B15,'8a-Glasstaat'!$M:$M)</f>
        <v>0</v>
      </c>
      <c r="G15" s="131">
        <f ca="1">SUMIF('8a-Glasstaat'!$C:$C,$B15,'8a-Glasstaat'!$N:$N)</f>
        <v>0</v>
      </c>
      <c r="H15" s="329">
        <v>0</v>
      </c>
      <c r="I15" s="456"/>
      <c r="J15" s="131">
        <f t="shared" si="1"/>
        <v>0</v>
      </c>
      <c r="K15" s="330">
        <v>0</v>
      </c>
      <c r="L15" s="131">
        <f t="shared" si="2"/>
        <v>0</v>
      </c>
      <c r="M15" s="131">
        <f t="shared" ca="1" si="3"/>
        <v>0</v>
      </c>
    </row>
    <row r="16" spans="1:13">
      <c r="A16" s="3" t="str">
        <f t="shared" si="0"/>
        <v>10552</v>
      </c>
      <c r="B16" s="23">
        <v>105</v>
      </c>
      <c r="C16" s="129" t="s">
        <v>850</v>
      </c>
      <c r="D16" s="129" t="s">
        <v>180</v>
      </c>
      <c r="E16" s="130">
        <f ca="1">SUMIF('8a-Glasstaat'!$C:$C,$B16,'8a-Glasstaat'!$I:$I)</f>
        <v>685.32999999999981</v>
      </c>
      <c r="F16" s="131">
        <f ca="1">SUMIF('8a-Glasstaat'!$C:$C,$B16,'8a-Glasstaat'!$M:$M)</f>
        <v>0</v>
      </c>
      <c r="G16" s="131">
        <f ca="1">SUMIF('8a-Glasstaat'!$C:$C,$B16,'8a-Glasstaat'!$N:$N)</f>
        <v>0</v>
      </c>
      <c r="H16" s="329">
        <v>0</v>
      </c>
      <c r="I16" s="456"/>
      <c r="J16" s="131">
        <f t="shared" si="1"/>
        <v>0</v>
      </c>
      <c r="K16" s="330">
        <v>0</v>
      </c>
      <c r="L16" s="131">
        <f t="shared" si="2"/>
        <v>0</v>
      </c>
      <c r="M16" s="131">
        <f t="shared" ca="1" si="3"/>
        <v>0</v>
      </c>
    </row>
    <row r="17" spans="1:13">
      <c r="A17" s="3" t="str">
        <f t="shared" si="0"/>
        <v>10752</v>
      </c>
      <c r="B17" s="23">
        <v>107</v>
      </c>
      <c r="C17" s="129" t="s">
        <v>288</v>
      </c>
      <c r="D17" s="129" t="s">
        <v>22</v>
      </c>
      <c r="E17" s="130">
        <f ca="1">SUMIF('8a-Glasstaat'!$C:$C,$B17,'8a-Glasstaat'!$I:$I)</f>
        <v>593.56000000000006</v>
      </c>
      <c r="F17" s="131">
        <f ca="1">SUMIF('8a-Glasstaat'!$C:$C,$B17,'8a-Glasstaat'!$M:$M)</f>
        <v>0</v>
      </c>
      <c r="G17" s="131">
        <f ca="1">SUMIF('8a-Glasstaat'!$C:$C,$B17,'8a-Glasstaat'!$N:$N)</f>
        <v>0</v>
      </c>
      <c r="H17" s="329">
        <v>0</v>
      </c>
      <c r="I17" s="456"/>
      <c r="J17" s="131">
        <f t="shared" si="1"/>
        <v>0</v>
      </c>
      <c r="K17" s="330">
        <v>0</v>
      </c>
      <c r="L17" s="131">
        <f t="shared" si="2"/>
        <v>0</v>
      </c>
      <c r="M17" s="131">
        <f t="shared" ca="1" si="3"/>
        <v>0</v>
      </c>
    </row>
    <row r="18" spans="1:13">
      <c r="A18" s="3" t="str">
        <f t="shared" si="0"/>
        <v>10852</v>
      </c>
      <c r="B18" s="23">
        <v>108</v>
      </c>
      <c r="C18" s="129" t="s">
        <v>1218</v>
      </c>
      <c r="D18" s="129" t="s">
        <v>22</v>
      </c>
      <c r="E18" s="130">
        <f ca="1">SUMIF('8a-Glasstaat'!$C:$C,$B18,'8a-Glasstaat'!$I:$I)</f>
        <v>619.90000000000032</v>
      </c>
      <c r="F18" s="131">
        <f ca="1">SUMIF('8a-Glasstaat'!$C:$C,$B18,'8a-Glasstaat'!$M:$M)</f>
        <v>0</v>
      </c>
      <c r="G18" s="131">
        <f ca="1">SUMIF('8a-Glasstaat'!$C:$C,$B18,'8a-Glasstaat'!$N:$N)</f>
        <v>0</v>
      </c>
      <c r="H18" s="329">
        <v>0</v>
      </c>
      <c r="I18" s="456"/>
      <c r="J18" s="131">
        <f t="shared" si="1"/>
        <v>0</v>
      </c>
      <c r="K18" s="330">
        <v>0</v>
      </c>
      <c r="L18" s="131">
        <f t="shared" si="2"/>
        <v>0</v>
      </c>
      <c r="M18" s="131">
        <f t="shared" ca="1" si="3"/>
        <v>0</v>
      </c>
    </row>
    <row r="19" spans="1:13">
      <c r="A19" s="3" t="str">
        <f t="shared" si="0"/>
        <v>10952</v>
      </c>
      <c r="B19" s="23">
        <v>109</v>
      </c>
      <c r="C19" s="24" t="s">
        <v>851</v>
      </c>
      <c r="D19" s="129" t="s">
        <v>22</v>
      </c>
      <c r="E19" s="130">
        <f ca="1">SUMIF('8a-Glasstaat'!$C:$C,$B19,'8a-Glasstaat'!$I:$I)</f>
        <v>1.7</v>
      </c>
      <c r="F19" s="131">
        <f ca="1">SUMIF('8a-Glasstaat'!$C:$C,$B19,'8a-Glasstaat'!$M:$M)</f>
        <v>0</v>
      </c>
      <c r="G19" s="131">
        <f ca="1">SUMIF('8a-Glasstaat'!$C:$C,$B19,'8a-Glasstaat'!$N:$N)</f>
        <v>0</v>
      </c>
      <c r="H19" s="329">
        <v>0</v>
      </c>
      <c r="I19" s="456"/>
      <c r="J19" s="131">
        <f t="shared" si="1"/>
        <v>0</v>
      </c>
      <c r="K19" s="330">
        <v>0</v>
      </c>
      <c r="L19" s="131">
        <f t="shared" si="2"/>
        <v>0</v>
      </c>
      <c r="M19" s="131">
        <f t="shared" ca="1" si="3"/>
        <v>0</v>
      </c>
    </row>
    <row r="20" spans="1:13">
      <c r="A20" s="3" t="str">
        <f t="shared" si="0"/>
        <v>11052</v>
      </c>
      <c r="B20" s="23">
        <v>110</v>
      </c>
      <c r="C20" s="129" t="s">
        <v>103</v>
      </c>
      <c r="D20" s="129" t="s">
        <v>22</v>
      </c>
      <c r="E20" s="130">
        <f ca="1">SUMIF('8a-Glasstaat'!$C:$C,$B20,'8a-Glasstaat'!$I:$I)</f>
        <v>717.41000000000008</v>
      </c>
      <c r="F20" s="131">
        <f ca="1">SUMIF('8a-Glasstaat'!$C:$C,$B20,'8a-Glasstaat'!$M:$M)</f>
        <v>0</v>
      </c>
      <c r="G20" s="131">
        <f ca="1">SUMIF('8a-Glasstaat'!$C:$C,$B20,'8a-Glasstaat'!$N:$N)</f>
        <v>0</v>
      </c>
      <c r="H20" s="329">
        <v>0</v>
      </c>
      <c r="I20" s="456"/>
      <c r="J20" s="131">
        <f t="shared" si="1"/>
        <v>0</v>
      </c>
      <c r="K20" s="330">
        <v>0</v>
      </c>
      <c r="L20" s="131">
        <f t="shared" si="2"/>
        <v>0</v>
      </c>
      <c r="M20" s="131">
        <f t="shared" ca="1" si="3"/>
        <v>0</v>
      </c>
    </row>
    <row r="21" spans="1:13">
      <c r="A21" s="3" t="str">
        <f t="shared" si="0"/>
        <v>11152</v>
      </c>
      <c r="B21" s="23">
        <v>111</v>
      </c>
      <c r="C21" s="129" t="s">
        <v>852</v>
      </c>
      <c r="D21" s="129" t="s">
        <v>22</v>
      </c>
      <c r="E21" s="130">
        <f ca="1">SUMIF('8a-Glasstaat'!$C:$C,$B21,'8a-Glasstaat'!$I:$I)</f>
        <v>543.90000000000009</v>
      </c>
      <c r="F21" s="131">
        <f ca="1">SUMIF('8a-Glasstaat'!$C:$C,$B21,'8a-Glasstaat'!$M:$M)</f>
        <v>0</v>
      </c>
      <c r="G21" s="131">
        <f ca="1">SUMIF('8a-Glasstaat'!$C:$C,$B21,'8a-Glasstaat'!$N:$N)</f>
        <v>0</v>
      </c>
      <c r="H21" s="329">
        <v>0</v>
      </c>
      <c r="I21" s="456"/>
      <c r="J21" s="131">
        <f t="shared" si="1"/>
        <v>0</v>
      </c>
      <c r="K21" s="330">
        <v>0</v>
      </c>
      <c r="L21" s="131">
        <f t="shared" si="2"/>
        <v>0</v>
      </c>
      <c r="M21" s="131">
        <f t="shared" ca="1" si="3"/>
        <v>0</v>
      </c>
    </row>
    <row r="22" spans="1:13">
      <c r="A22" s="3" t="str">
        <f t="shared" si="0"/>
        <v>11252</v>
      </c>
      <c r="B22" s="23">
        <v>112</v>
      </c>
      <c r="C22" s="129" t="s">
        <v>140</v>
      </c>
      <c r="D22" s="129" t="s">
        <v>22</v>
      </c>
      <c r="E22" s="130">
        <f ca="1">SUMIF('8a-Glasstaat'!$C:$C,$B22,'8a-Glasstaat'!$I:$I)</f>
        <v>861.04500000000019</v>
      </c>
      <c r="F22" s="131">
        <f ca="1">SUMIF('8a-Glasstaat'!$C:$C,$B22,'8a-Glasstaat'!$M:$M)</f>
        <v>0</v>
      </c>
      <c r="G22" s="131">
        <f ca="1">SUMIF('8a-Glasstaat'!$C:$C,$B22,'8a-Glasstaat'!$N:$N)</f>
        <v>0</v>
      </c>
      <c r="H22" s="329">
        <v>0</v>
      </c>
      <c r="I22" s="456"/>
      <c r="J22" s="131">
        <f t="shared" si="1"/>
        <v>0</v>
      </c>
      <c r="K22" s="330">
        <v>0</v>
      </c>
      <c r="L22" s="131">
        <f t="shared" si="2"/>
        <v>0</v>
      </c>
      <c r="M22" s="131">
        <f t="shared" ca="1" si="3"/>
        <v>0</v>
      </c>
    </row>
    <row r="23" spans="1:13">
      <c r="A23" s="3" t="str">
        <f t="shared" si="0"/>
        <v>11352</v>
      </c>
      <c r="B23" s="23">
        <v>113</v>
      </c>
      <c r="C23" s="129" t="s">
        <v>853</v>
      </c>
      <c r="D23" s="129" t="s">
        <v>22</v>
      </c>
      <c r="E23" s="130">
        <f ca="1">SUMIF('8a-Glasstaat'!$C:$C,$B23,'8a-Glasstaat'!$I:$I)</f>
        <v>917.56000000000006</v>
      </c>
      <c r="F23" s="131">
        <f ca="1">SUMIF('8a-Glasstaat'!$C:$C,$B23,'8a-Glasstaat'!$M:$M)</f>
        <v>0</v>
      </c>
      <c r="G23" s="131">
        <f ca="1">SUMIF('8a-Glasstaat'!$C:$C,$B23,'8a-Glasstaat'!$N:$N)</f>
        <v>0</v>
      </c>
      <c r="H23" s="329">
        <v>0</v>
      </c>
      <c r="I23" s="456"/>
      <c r="J23" s="131">
        <f t="shared" si="1"/>
        <v>0</v>
      </c>
      <c r="K23" s="330">
        <v>0</v>
      </c>
      <c r="L23" s="131">
        <f t="shared" si="2"/>
        <v>0</v>
      </c>
      <c r="M23" s="131">
        <f t="shared" ca="1" si="3"/>
        <v>0</v>
      </c>
    </row>
    <row r="24" spans="1:13">
      <c r="A24" s="3" t="str">
        <f t="shared" si="0"/>
        <v>11452</v>
      </c>
      <c r="B24" s="23">
        <v>114</v>
      </c>
      <c r="C24" s="129" t="s">
        <v>21</v>
      </c>
      <c r="D24" s="129" t="s">
        <v>22</v>
      </c>
      <c r="E24" s="130">
        <f ca="1">SUMIF('8a-Glasstaat'!$C:$C,$B24,'8a-Glasstaat'!$I:$I)</f>
        <v>1348.8900000000003</v>
      </c>
      <c r="F24" s="131">
        <f ca="1">SUMIF('8a-Glasstaat'!$C:$C,$B24,'8a-Glasstaat'!$M:$M)</f>
        <v>0</v>
      </c>
      <c r="G24" s="131">
        <f ca="1">SUMIF('8a-Glasstaat'!$C:$C,$B24,'8a-Glasstaat'!$N:$N)</f>
        <v>0</v>
      </c>
      <c r="H24" s="329">
        <v>0</v>
      </c>
      <c r="I24" s="456"/>
      <c r="J24" s="131">
        <f t="shared" si="1"/>
        <v>0</v>
      </c>
      <c r="K24" s="330">
        <v>0</v>
      </c>
      <c r="L24" s="131">
        <f t="shared" si="2"/>
        <v>0</v>
      </c>
      <c r="M24" s="131">
        <f t="shared" ca="1" si="3"/>
        <v>0</v>
      </c>
    </row>
    <row r="25" spans="1:13">
      <c r="A25" s="3" t="str">
        <f t="shared" si="0"/>
        <v>11552</v>
      </c>
      <c r="B25" s="23">
        <v>115</v>
      </c>
      <c r="C25" s="129" t="s">
        <v>73</v>
      </c>
      <c r="D25" s="129" t="s">
        <v>74</v>
      </c>
      <c r="E25" s="130">
        <f ca="1">SUMIF('8a-Glasstaat'!$C:$C,$B25,'8a-Glasstaat'!$I:$I)</f>
        <v>547.57500000000016</v>
      </c>
      <c r="F25" s="131">
        <f ca="1">SUMIF('8a-Glasstaat'!$C:$C,$B25,'8a-Glasstaat'!$M:$M)</f>
        <v>0</v>
      </c>
      <c r="G25" s="131">
        <f ca="1">SUMIF('8a-Glasstaat'!$C:$C,$B25,'8a-Glasstaat'!$N:$N)</f>
        <v>0</v>
      </c>
      <c r="H25" s="329">
        <v>0</v>
      </c>
      <c r="I25" s="456"/>
      <c r="J25" s="131">
        <f t="shared" si="1"/>
        <v>0</v>
      </c>
      <c r="K25" s="330">
        <v>0</v>
      </c>
      <c r="L25" s="131">
        <f t="shared" si="2"/>
        <v>0</v>
      </c>
      <c r="M25" s="131">
        <f t="shared" ca="1" si="3"/>
        <v>0</v>
      </c>
    </row>
    <row r="26" spans="1:13">
      <c r="A26" s="3" t="str">
        <f t="shared" si="0"/>
        <v>11652</v>
      </c>
      <c r="B26" s="23">
        <v>116</v>
      </c>
      <c r="C26" s="129" t="s">
        <v>237</v>
      </c>
      <c r="D26" s="129" t="s">
        <v>22</v>
      </c>
      <c r="E26" s="130">
        <f ca="1">SUMIF('8a-Glasstaat'!$C:$C,$B26,'8a-Glasstaat'!$I:$I)</f>
        <v>257.92</v>
      </c>
      <c r="F26" s="131">
        <f ca="1">SUMIF('8a-Glasstaat'!$C:$C,$B26,'8a-Glasstaat'!$M:$M)</f>
        <v>0</v>
      </c>
      <c r="G26" s="131">
        <f ca="1">SUMIF('8a-Glasstaat'!$C:$C,$B26,'8a-Glasstaat'!$N:$N)</f>
        <v>0</v>
      </c>
      <c r="H26" s="329">
        <v>0</v>
      </c>
      <c r="I26" s="456"/>
      <c r="J26" s="131">
        <f t="shared" si="1"/>
        <v>0</v>
      </c>
      <c r="K26" s="330">
        <v>0</v>
      </c>
      <c r="L26" s="131">
        <f t="shared" si="2"/>
        <v>0</v>
      </c>
      <c r="M26" s="131">
        <f t="shared" ca="1" si="3"/>
        <v>0</v>
      </c>
    </row>
    <row r="27" spans="1:13">
      <c r="A27" s="3" t="str">
        <f t="shared" si="0"/>
        <v>11752</v>
      </c>
      <c r="B27" s="23">
        <v>117</v>
      </c>
      <c r="C27" s="129" t="s">
        <v>296</v>
      </c>
      <c r="D27" s="129" t="s">
        <v>22</v>
      </c>
      <c r="E27" s="130">
        <f ca="1">SUMIF('8a-Glasstaat'!$C:$C,$B27,'8a-Glasstaat'!$I:$I)</f>
        <v>650.2199999999998</v>
      </c>
      <c r="F27" s="131">
        <f ca="1">SUMIF('8a-Glasstaat'!$C:$C,$B27,'8a-Glasstaat'!$M:$M)</f>
        <v>0</v>
      </c>
      <c r="G27" s="131">
        <f ca="1">SUMIF('8a-Glasstaat'!$C:$C,$B27,'8a-Glasstaat'!$N:$N)</f>
        <v>0</v>
      </c>
      <c r="H27" s="329">
        <v>0</v>
      </c>
      <c r="I27" s="456"/>
      <c r="J27" s="131">
        <f t="shared" si="1"/>
        <v>0</v>
      </c>
      <c r="K27" s="330">
        <v>0</v>
      </c>
      <c r="L27" s="131">
        <f t="shared" si="2"/>
        <v>0</v>
      </c>
      <c r="M27" s="131">
        <f t="shared" ca="1" si="3"/>
        <v>0</v>
      </c>
    </row>
    <row r="28" spans="1:13">
      <c r="A28" s="3" t="str">
        <f t="shared" si="0"/>
        <v>11852</v>
      </c>
      <c r="B28" s="23">
        <v>118</v>
      </c>
      <c r="C28" s="129" t="s">
        <v>198</v>
      </c>
      <c r="D28" s="129" t="s">
        <v>22</v>
      </c>
      <c r="E28" s="130">
        <f ca="1">SUMIF('8a-Glasstaat'!$C:$C,$B28,'8a-Glasstaat'!$I:$I)</f>
        <v>316.49500000000006</v>
      </c>
      <c r="F28" s="131">
        <f ca="1">SUMIF('8a-Glasstaat'!$C:$C,$B28,'8a-Glasstaat'!$M:$M)</f>
        <v>0</v>
      </c>
      <c r="G28" s="131">
        <f ca="1">SUMIF('8a-Glasstaat'!$C:$C,$B28,'8a-Glasstaat'!$N:$N)</f>
        <v>0</v>
      </c>
      <c r="H28" s="329">
        <v>0</v>
      </c>
      <c r="I28" s="456"/>
      <c r="J28" s="131">
        <f t="shared" si="1"/>
        <v>0</v>
      </c>
      <c r="K28" s="330">
        <v>0</v>
      </c>
      <c r="L28" s="131">
        <f t="shared" si="2"/>
        <v>0</v>
      </c>
      <c r="M28" s="131">
        <f t="shared" ca="1" si="3"/>
        <v>0</v>
      </c>
    </row>
    <row r="29" spans="1:13">
      <c r="A29" s="3" t="str">
        <f t="shared" si="0"/>
        <v>11952</v>
      </c>
      <c r="B29" s="23">
        <v>119</v>
      </c>
      <c r="C29" s="129" t="s">
        <v>310</v>
      </c>
      <c r="D29" s="129" t="s">
        <v>22</v>
      </c>
      <c r="E29" s="130">
        <f ca="1">SUMIF('8a-Glasstaat'!$C:$C,$B29,'8a-Glasstaat'!$I:$I)</f>
        <v>5439.0249999999996</v>
      </c>
      <c r="F29" s="131">
        <f ca="1">SUMIF('8a-Glasstaat'!$C:$C,$B29,'8a-Glasstaat'!$M:$M)</f>
        <v>0</v>
      </c>
      <c r="G29" s="131">
        <f ca="1">SUMIF('8a-Glasstaat'!$C:$C,$B29,'8a-Glasstaat'!$N:$N)</f>
        <v>0</v>
      </c>
      <c r="H29" s="329">
        <v>0</v>
      </c>
      <c r="I29" s="456"/>
      <c r="J29" s="131">
        <f t="shared" si="1"/>
        <v>0</v>
      </c>
      <c r="K29" s="330">
        <v>0</v>
      </c>
      <c r="L29" s="131">
        <f t="shared" si="2"/>
        <v>0</v>
      </c>
      <c r="M29" s="131">
        <f t="shared" ca="1" si="3"/>
        <v>0</v>
      </c>
    </row>
    <row r="30" spans="1:13">
      <c r="A30" s="3" t="str">
        <f t="shared" si="0"/>
        <v>12052</v>
      </c>
      <c r="B30" s="23">
        <v>120</v>
      </c>
      <c r="C30" s="129" t="s">
        <v>300</v>
      </c>
      <c r="D30" s="129" t="s">
        <v>22</v>
      </c>
      <c r="E30" s="130">
        <f ca="1">SUMIF('8a-Glasstaat'!$C:$C,$B30,'8a-Glasstaat'!$I:$I)</f>
        <v>311.02000000000004</v>
      </c>
      <c r="F30" s="131">
        <f ca="1">SUMIF('8a-Glasstaat'!$C:$C,$B30,'8a-Glasstaat'!$M:$M)</f>
        <v>0</v>
      </c>
      <c r="G30" s="131">
        <f ca="1">SUMIF('8a-Glasstaat'!$C:$C,$B30,'8a-Glasstaat'!$N:$N)</f>
        <v>0</v>
      </c>
      <c r="H30" s="329">
        <v>0</v>
      </c>
      <c r="I30" s="456"/>
      <c r="J30" s="131">
        <f t="shared" si="1"/>
        <v>0</v>
      </c>
      <c r="K30" s="330">
        <v>0</v>
      </c>
      <c r="L30" s="131">
        <f t="shared" si="2"/>
        <v>0</v>
      </c>
      <c r="M30" s="131">
        <f t="shared" ca="1" si="3"/>
        <v>0</v>
      </c>
    </row>
    <row r="31" spans="1:13">
      <c r="A31" s="3" t="str">
        <f t="shared" si="0"/>
        <v>12152</v>
      </c>
      <c r="B31" s="23">
        <v>121</v>
      </c>
      <c r="C31" s="129" t="s">
        <v>181</v>
      </c>
      <c r="D31" s="129" t="s">
        <v>22</v>
      </c>
      <c r="E31" s="130">
        <f ca="1">SUMIF('8a-Glasstaat'!$C:$C,$B31,'8a-Glasstaat'!$I:$I)</f>
        <v>352.62000000000006</v>
      </c>
      <c r="F31" s="131">
        <f ca="1">SUMIF('8a-Glasstaat'!$C:$C,$B31,'8a-Glasstaat'!$M:$M)</f>
        <v>0</v>
      </c>
      <c r="G31" s="131">
        <f ca="1">SUMIF('8a-Glasstaat'!$C:$C,$B31,'8a-Glasstaat'!$N:$N)</f>
        <v>0</v>
      </c>
      <c r="H31" s="329">
        <v>0</v>
      </c>
      <c r="I31" s="456"/>
      <c r="J31" s="131">
        <f t="shared" si="1"/>
        <v>0</v>
      </c>
      <c r="K31" s="330">
        <v>0</v>
      </c>
      <c r="L31" s="131">
        <f t="shared" si="2"/>
        <v>0</v>
      </c>
      <c r="M31" s="131">
        <f t="shared" ca="1" si="3"/>
        <v>0</v>
      </c>
    </row>
    <row r="32" spans="1:13">
      <c r="A32" s="3" t="str">
        <f>CONCATENATE(B32,52)</f>
        <v>20152</v>
      </c>
      <c r="B32" s="132">
        <v>201</v>
      </c>
      <c r="C32" s="133" t="s">
        <v>1536</v>
      </c>
      <c r="D32" s="133" t="s">
        <v>1403</v>
      </c>
      <c r="E32" s="130">
        <f ca="1">SUMIF('8a-Glasstaat'!$C:$C,$B32,'8a-Glasstaat'!$I:$I)</f>
        <v>424.8</v>
      </c>
      <c r="F32" s="131">
        <f ca="1">SUMIF('8a-Glasstaat'!$C:$C,$B32,'8a-Glasstaat'!$M:$M)</f>
        <v>0</v>
      </c>
      <c r="G32" s="131">
        <f ca="1">SUMIF('8a-Glasstaat'!$C:$C,$B32,'8a-Glasstaat'!$N:$N)</f>
        <v>0</v>
      </c>
      <c r="H32" s="329">
        <v>0</v>
      </c>
      <c r="I32" s="456"/>
      <c r="J32" s="131">
        <f t="shared" ref="J32:J77" si="4">H32*I32</f>
        <v>0</v>
      </c>
      <c r="K32" s="330">
        <v>0</v>
      </c>
      <c r="L32" s="131">
        <f t="shared" ref="L32:L77" si="5">K32*I32</f>
        <v>0</v>
      </c>
      <c r="M32" s="131">
        <f t="shared" ref="M32:M77" ca="1" si="6">L32+J32+G32</f>
        <v>0</v>
      </c>
    </row>
    <row r="33" spans="1:13">
      <c r="A33" s="3" t="str">
        <f t="shared" ref="A33:A77" si="7">CONCATENATE(B33,52)</f>
        <v>20252</v>
      </c>
      <c r="B33" s="132">
        <v>202</v>
      </c>
      <c r="C33" s="133" t="s">
        <v>1404</v>
      </c>
      <c r="D33" s="133" t="s">
        <v>1403</v>
      </c>
      <c r="E33" s="130">
        <f ca="1">SUMIF('8a-Glasstaat'!$C:$C,$B33,'8a-Glasstaat'!$I:$I)</f>
        <v>350.4</v>
      </c>
      <c r="F33" s="131">
        <f ca="1">SUMIF('8a-Glasstaat'!$C:$C,$B33,'8a-Glasstaat'!$M:$M)</f>
        <v>0</v>
      </c>
      <c r="G33" s="131">
        <f ca="1">SUMIF('8a-Glasstaat'!$C:$C,$B33,'8a-Glasstaat'!$N:$N)</f>
        <v>0</v>
      </c>
      <c r="H33" s="329">
        <v>0</v>
      </c>
      <c r="I33" s="456"/>
      <c r="J33" s="131">
        <f t="shared" ref="J33:J46" si="8">H33*I33</f>
        <v>0</v>
      </c>
      <c r="K33" s="330">
        <v>0</v>
      </c>
      <c r="L33" s="131">
        <f t="shared" ref="L33:L46" si="9">K33*I33</f>
        <v>0</v>
      </c>
      <c r="M33" s="131">
        <f t="shared" ref="M33:M46" ca="1" si="10">L33+J33+G33</f>
        <v>0</v>
      </c>
    </row>
    <row r="34" spans="1:13">
      <c r="A34" s="3" t="str">
        <f t="shared" si="7"/>
        <v>20352</v>
      </c>
      <c r="B34" s="132">
        <v>203</v>
      </c>
      <c r="C34" s="133" t="s">
        <v>1405</v>
      </c>
      <c r="D34" s="133" t="s">
        <v>1403</v>
      </c>
      <c r="E34" s="130">
        <f ca="1">SUMIF('8a-Glasstaat'!$C:$C,$B34,'8a-Glasstaat'!$I:$I)</f>
        <v>128</v>
      </c>
      <c r="F34" s="131">
        <f ca="1">SUMIF('8a-Glasstaat'!$C:$C,$B34,'8a-Glasstaat'!$M:$M)</f>
        <v>0</v>
      </c>
      <c r="G34" s="131">
        <f ca="1">SUMIF('8a-Glasstaat'!$C:$C,$B34,'8a-Glasstaat'!$N:$N)</f>
        <v>0</v>
      </c>
      <c r="H34" s="329">
        <v>0</v>
      </c>
      <c r="I34" s="456"/>
      <c r="J34" s="131">
        <f t="shared" si="8"/>
        <v>0</v>
      </c>
      <c r="K34" s="330">
        <v>0</v>
      </c>
      <c r="L34" s="131">
        <f t="shared" si="9"/>
        <v>0</v>
      </c>
      <c r="M34" s="131">
        <f t="shared" ca="1" si="10"/>
        <v>0</v>
      </c>
    </row>
    <row r="35" spans="1:13">
      <c r="A35" s="3" t="str">
        <f t="shared" si="7"/>
        <v>20452</v>
      </c>
      <c r="B35" s="132">
        <v>204</v>
      </c>
      <c r="C35" s="133" t="s">
        <v>1406</v>
      </c>
      <c r="D35" s="133" t="s">
        <v>1403</v>
      </c>
      <c r="E35" s="130">
        <f ca="1">SUMIF('8a-Glasstaat'!$C:$C,$B35,'8a-Glasstaat'!$I:$I)</f>
        <v>220</v>
      </c>
      <c r="F35" s="131">
        <f ca="1">SUMIF('8a-Glasstaat'!$C:$C,$B35,'8a-Glasstaat'!$M:$M)</f>
        <v>0</v>
      </c>
      <c r="G35" s="131">
        <f ca="1">SUMIF('8a-Glasstaat'!$C:$C,$B35,'8a-Glasstaat'!$N:$N)</f>
        <v>0</v>
      </c>
      <c r="H35" s="329">
        <v>0</v>
      </c>
      <c r="I35" s="456"/>
      <c r="J35" s="131">
        <f t="shared" si="8"/>
        <v>0</v>
      </c>
      <c r="K35" s="330">
        <v>0</v>
      </c>
      <c r="L35" s="131">
        <f t="shared" si="9"/>
        <v>0</v>
      </c>
      <c r="M35" s="131">
        <f t="shared" ca="1" si="10"/>
        <v>0</v>
      </c>
    </row>
    <row r="36" spans="1:13">
      <c r="A36" s="3" t="str">
        <f t="shared" si="7"/>
        <v>20552</v>
      </c>
      <c r="B36" s="132">
        <v>205</v>
      </c>
      <c r="C36" s="133" t="s">
        <v>1407</v>
      </c>
      <c r="D36" s="133" t="s">
        <v>1403</v>
      </c>
      <c r="E36" s="130">
        <f ca="1">SUMIF('8a-Glasstaat'!$C:$C,$B36,'8a-Glasstaat'!$I:$I)</f>
        <v>220</v>
      </c>
      <c r="F36" s="131">
        <f ca="1">SUMIF('8a-Glasstaat'!$C:$C,$B36,'8a-Glasstaat'!$M:$M)</f>
        <v>0</v>
      </c>
      <c r="G36" s="131">
        <f ca="1">SUMIF('8a-Glasstaat'!$C:$C,$B36,'8a-Glasstaat'!$N:$N)</f>
        <v>0</v>
      </c>
      <c r="H36" s="329">
        <v>0</v>
      </c>
      <c r="I36" s="456"/>
      <c r="J36" s="131">
        <f t="shared" si="8"/>
        <v>0</v>
      </c>
      <c r="K36" s="330">
        <v>0</v>
      </c>
      <c r="L36" s="131">
        <f t="shared" si="9"/>
        <v>0</v>
      </c>
      <c r="M36" s="131">
        <f t="shared" ca="1" si="10"/>
        <v>0</v>
      </c>
    </row>
    <row r="37" spans="1:13">
      <c r="A37" s="3" t="str">
        <f t="shared" si="7"/>
        <v>20652</v>
      </c>
      <c r="B37" s="132">
        <v>206</v>
      </c>
      <c r="C37" s="133" t="s">
        <v>1408</v>
      </c>
      <c r="D37" s="133" t="s">
        <v>1403</v>
      </c>
      <c r="E37" s="130">
        <f ca="1">SUMIF('8a-Glasstaat'!$C:$C,$B37,'8a-Glasstaat'!$I:$I)</f>
        <v>128</v>
      </c>
      <c r="F37" s="131">
        <f ca="1">SUMIF('8a-Glasstaat'!$C:$C,$B37,'8a-Glasstaat'!$M:$M)</f>
        <v>0</v>
      </c>
      <c r="G37" s="131">
        <f ca="1">SUMIF('8a-Glasstaat'!$C:$C,$B37,'8a-Glasstaat'!$N:$N)</f>
        <v>0</v>
      </c>
      <c r="H37" s="329">
        <v>0</v>
      </c>
      <c r="I37" s="456"/>
      <c r="J37" s="131">
        <f t="shared" si="8"/>
        <v>0</v>
      </c>
      <c r="K37" s="330">
        <v>0</v>
      </c>
      <c r="L37" s="131">
        <f t="shared" si="9"/>
        <v>0</v>
      </c>
      <c r="M37" s="131">
        <f t="shared" ca="1" si="10"/>
        <v>0</v>
      </c>
    </row>
    <row r="38" spans="1:13">
      <c r="A38" s="3" t="str">
        <f t="shared" si="7"/>
        <v>20752</v>
      </c>
      <c r="B38" s="132">
        <v>207</v>
      </c>
      <c r="C38" s="133" t="s">
        <v>1409</v>
      </c>
      <c r="D38" s="133" t="s">
        <v>1403</v>
      </c>
      <c r="E38" s="130">
        <f ca="1">SUMIF('8a-Glasstaat'!$C:$C,$B38,'8a-Glasstaat'!$I:$I)</f>
        <v>128</v>
      </c>
      <c r="F38" s="131">
        <f ca="1">SUMIF('8a-Glasstaat'!$C:$C,$B38,'8a-Glasstaat'!$M:$M)</f>
        <v>0</v>
      </c>
      <c r="G38" s="131">
        <f ca="1">SUMIF('8a-Glasstaat'!$C:$C,$B38,'8a-Glasstaat'!$N:$N)</f>
        <v>0</v>
      </c>
      <c r="H38" s="329">
        <v>0</v>
      </c>
      <c r="I38" s="456"/>
      <c r="J38" s="131">
        <f t="shared" si="8"/>
        <v>0</v>
      </c>
      <c r="K38" s="330">
        <v>0</v>
      </c>
      <c r="L38" s="131">
        <f t="shared" si="9"/>
        <v>0</v>
      </c>
      <c r="M38" s="131">
        <f t="shared" ca="1" si="10"/>
        <v>0</v>
      </c>
    </row>
    <row r="39" spans="1:13">
      <c r="A39" s="3" t="str">
        <f t="shared" si="7"/>
        <v>20852</v>
      </c>
      <c r="B39" s="132">
        <v>208</v>
      </c>
      <c r="C39" s="133" t="s">
        <v>1668</v>
      </c>
      <c r="D39" s="133" t="s">
        <v>1403</v>
      </c>
      <c r="E39" s="130">
        <f ca="1">SUMIF('8a-Glasstaat'!$C:$C,$B39,'8a-Glasstaat'!$I:$I)</f>
        <v>0</v>
      </c>
      <c r="F39" s="131">
        <f ca="1">SUMIF('8a-Glasstaat'!$C:$C,$B39,'8a-Glasstaat'!$M:$M)</f>
        <v>0</v>
      </c>
      <c r="G39" s="131">
        <f ca="1">SUMIF('8a-Glasstaat'!$C:$C,$B39,'8a-Glasstaat'!$N:$N)</f>
        <v>0</v>
      </c>
      <c r="H39" s="329">
        <v>0</v>
      </c>
      <c r="I39" s="456"/>
      <c r="J39" s="131">
        <f t="shared" si="8"/>
        <v>0</v>
      </c>
      <c r="K39" s="330">
        <v>0</v>
      </c>
      <c r="L39" s="131">
        <f t="shared" si="9"/>
        <v>0</v>
      </c>
      <c r="M39" s="131">
        <f t="shared" ca="1" si="10"/>
        <v>0</v>
      </c>
    </row>
    <row r="40" spans="1:13">
      <c r="B40" s="134">
        <v>209</v>
      </c>
      <c r="C40" s="135" t="s">
        <v>1669</v>
      </c>
      <c r="D40" s="135" t="s">
        <v>1403</v>
      </c>
      <c r="E40" s="130">
        <f ca="1">SUMIF('8a-Glasstaat'!$C:$C,$B40,'8a-Glasstaat'!$I:$I)</f>
        <v>239</v>
      </c>
      <c r="F40" s="131">
        <f ca="1">SUMIF('8a-Glasstaat'!$C:$C,$B40,'8a-Glasstaat'!$M:$M)</f>
        <v>0</v>
      </c>
      <c r="G40" s="131">
        <f ca="1">SUMIF('8a-Glasstaat'!$C:$C,$B40,'8a-Glasstaat'!$N:$N)</f>
        <v>0</v>
      </c>
      <c r="H40" s="329">
        <v>0</v>
      </c>
      <c r="I40" s="456"/>
      <c r="J40" s="131">
        <f t="shared" si="8"/>
        <v>0</v>
      </c>
      <c r="K40" s="330">
        <v>0</v>
      </c>
      <c r="L40" s="131">
        <f t="shared" si="9"/>
        <v>0</v>
      </c>
      <c r="M40" s="131">
        <f t="shared" ca="1" si="10"/>
        <v>0</v>
      </c>
    </row>
    <row r="41" spans="1:13">
      <c r="B41" s="134">
        <v>210</v>
      </c>
      <c r="C41" s="135" t="s">
        <v>1670</v>
      </c>
      <c r="D41" s="135" t="s">
        <v>1403</v>
      </c>
      <c r="E41" s="130">
        <f ca="1">SUMIF('8a-Glasstaat'!$C:$C,$B41,'8a-Glasstaat'!$I:$I)</f>
        <v>220</v>
      </c>
      <c r="F41" s="131">
        <f ca="1">SUMIF('8a-Glasstaat'!$C:$C,$B41,'8a-Glasstaat'!$M:$M)</f>
        <v>0</v>
      </c>
      <c r="G41" s="131">
        <f ca="1">SUMIF('8a-Glasstaat'!$C:$C,$B41,'8a-Glasstaat'!$N:$N)</f>
        <v>0</v>
      </c>
      <c r="H41" s="329">
        <v>0</v>
      </c>
      <c r="I41" s="456"/>
      <c r="J41" s="131">
        <f t="shared" si="8"/>
        <v>0</v>
      </c>
      <c r="K41" s="330">
        <v>0</v>
      </c>
      <c r="L41" s="131">
        <f t="shared" si="9"/>
        <v>0</v>
      </c>
      <c r="M41" s="131">
        <f t="shared" ca="1" si="10"/>
        <v>0</v>
      </c>
    </row>
    <row r="42" spans="1:13">
      <c r="B42" s="134">
        <v>211</v>
      </c>
      <c r="C42" s="135" t="s">
        <v>1671</v>
      </c>
      <c r="D42" s="135" t="s">
        <v>1403</v>
      </c>
      <c r="E42" s="130">
        <f ca="1">SUMIF('8a-Glasstaat'!$C:$C,$B42,'8a-Glasstaat'!$I:$I)</f>
        <v>128</v>
      </c>
      <c r="F42" s="131">
        <f ca="1">SUMIF('8a-Glasstaat'!$C:$C,$B42,'8a-Glasstaat'!$M:$M)</f>
        <v>0</v>
      </c>
      <c r="G42" s="131">
        <f ca="1">SUMIF('8a-Glasstaat'!$C:$C,$B42,'8a-Glasstaat'!$N:$N)</f>
        <v>0</v>
      </c>
      <c r="H42" s="329">
        <v>0</v>
      </c>
      <c r="I42" s="456"/>
      <c r="J42" s="131">
        <f t="shared" si="8"/>
        <v>0</v>
      </c>
      <c r="K42" s="330">
        <v>0</v>
      </c>
      <c r="L42" s="131">
        <f t="shared" si="9"/>
        <v>0</v>
      </c>
      <c r="M42" s="131">
        <f t="shared" ca="1" si="10"/>
        <v>0</v>
      </c>
    </row>
    <row r="43" spans="1:13">
      <c r="B43" s="134">
        <v>212</v>
      </c>
      <c r="C43" s="135" t="s">
        <v>1672</v>
      </c>
      <c r="D43" s="135" t="s">
        <v>1403</v>
      </c>
      <c r="E43" s="130">
        <f ca="1">SUMIF('8a-Glasstaat'!$C:$C,$B43,'8a-Glasstaat'!$I:$I)</f>
        <v>148</v>
      </c>
      <c r="F43" s="131">
        <f ca="1">SUMIF('8a-Glasstaat'!$C:$C,$B43,'8a-Glasstaat'!$M:$M)</f>
        <v>0</v>
      </c>
      <c r="G43" s="131">
        <f ca="1">SUMIF('8a-Glasstaat'!$C:$C,$B43,'8a-Glasstaat'!$N:$N)</f>
        <v>0</v>
      </c>
      <c r="H43" s="329">
        <v>0</v>
      </c>
      <c r="I43" s="456"/>
      <c r="J43" s="131">
        <f t="shared" si="8"/>
        <v>0</v>
      </c>
      <c r="K43" s="330">
        <v>0</v>
      </c>
      <c r="L43" s="131">
        <f t="shared" si="9"/>
        <v>0</v>
      </c>
      <c r="M43" s="131">
        <f t="shared" ca="1" si="10"/>
        <v>0</v>
      </c>
    </row>
    <row r="44" spans="1:13">
      <c r="B44" s="134">
        <v>213</v>
      </c>
      <c r="C44" s="135" t="s">
        <v>1673</v>
      </c>
      <c r="D44" s="135" t="s">
        <v>1403</v>
      </c>
      <c r="E44" s="130">
        <f ca="1">SUMIF('8a-Glasstaat'!$C:$C,$B44,'8a-Glasstaat'!$I:$I)</f>
        <v>0</v>
      </c>
      <c r="F44" s="131">
        <f ca="1">SUMIF('8a-Glasstaat'!$C:$C,$B44,'8a-Glasstaat'!$M:$M)</f>
        <v>0</v>
      </c>
      <c r="G44" s="131">
        <f ca="1">SUMIF('8a-Glasstaat'!$C:$C,$B44,'8a-Glasstaat'!$N:$N)</f>
        <v>0</v>
      </c>
      <c r="H44" s="329">
        <v>0</v>
      </c>
      <c r="I44" s="456"/>
      <c r="J44" s="131">
        <f t="shared" si="8"/>
        <v>0</v>
      </c>
      <c r="K44" s="330">
        <v>0</v>
      </c>
      <c r="L44" s="131">
        <f t="shared" si="9"/>
        <v>0</v>
      </c>
      <c r="M44" s="131">
        <f t="shared" ca="1" si="10"/>
        <v>0</v>
      </c>
    </row>
    <row r="45" spans="1:13">
      <c r="B45" s="134">
        <v>214</v>
      </c>
      <c r="C45" s="135" t="s">
        <v>1674</v>
      </c>
      <c r="D45" s="135" t="s">
        <v>1403</v>
      </c>
      <c r="E45" s="130">
        <f ca="1">SUMIF('8a-Glasstaat'!$C:$C,$B45,'8a-Glasstaat'!$I:$I)</f>
        <v>0</v>
      </c>
      <c r="F45" s="131">
        <f ca="1">SUMIF('8a-Glasstaat'!$C:$C,$B45,'8a-Glasstaat'!$M:$M)</f>
        <v>0</v>
      </c>
      <c r="G45" s="131">
        <f ca="1">SUMIF('8a-Glasstaat'!$C:$C,$B45,'8a-Glasstaat'!$N:$N)</f>
        <v>0</v>
      </c>
      <c r="H45" s="329">
        <v>0</v>
      </c>
      <c r="I45" s="456"/>
      <c r="J45" s="131">
        <f t="shared" si="8"/>
        <v>0</v>
      </c>
      <c r="K45" s="330">
        <v>0</v>
      </c>
      <c r="L45" s="131">
        <f t="shared" si="9"/>
        <v>0</v>
      </c>
      <c r="M45" s="131">
        <f t="shared" ca="1" si="10"/>
        <v>0</v>
      </c>
    </row>
    <row r="46" spans="1:13">
      <c r="B46" s="134">
        <v>215</v>
      </c>
      <c r="C46" s="135" t="s">
        <v>1675</v>
      </c>
      <c r="D46" s="135" t="s">
        <v>1403</v>
      </c>
      <c r="E46" s="130">
        <f ca="1">SUMIF('8a-Glasstaat'!$C:$C,$B46,'8a-Glasstaat'!$I:$I)</f>
        <v>0</v>
      </c>
      <c r="F46" s="131">
        <f ca="1">SUMIF('8a-Glasstaat'!$C:$C,$B46,'8a-Glasstaat'!$M:$M)</f>
        <v>0</v>
      </c>
      <c r="G46" s="131">
        <f ca="1">SUMIF('8a-Glasstaat'!$C:$C,$B46,'8a-Glasstaat'!$N:$N)</f>
        <v>0</v>
      </c>
      <c r="H46" s="329">
        <v>0</v>
      </c>
      <c r="I46" s="456"/>
      <c r="J46" s="131">
        <f t="shared" si="8"/>
        <v>0</v>
      </c>
      <c r="K46" s="330">
        <v>0</v>
      </c>
      <c r="L46" s="131">
        <f t="shared" si="9"/>
        <v>0</v>
      </c>
      <c r="M46" s="131">
        <f t="shared" ca="1" si="10"/>
        <v>0</v>
      </c>
    </row>
    <row r="47" spans="1:13">
      <c r="A47" s="3" t="str">
        <f t="shared" si="7"/>
        <v>30152</v>
      </c>
      <c r="B47" s="132">
        <v>301</v>
      </c>
      <c r="C47" s="133" t="s">
        <v>1410</v>
      </c>
      <c r="D47" s="133" t="s">
        <v>1394</v>
      </c>
      <c r="E47" s="130">
        <f ca="1">SUMIF('8a-Glasstaat'!$C:$C,$B47,'8a-Glasstaat'!$I:$I)</f>
        <v>324.2</v>
      </c>
      <c r="F47" s="131">
        <f ca="1">SUMIF('8a-Glasstaat'!$C:$C,$B47,'8a-Glasstaat'!$M:$M)</f>
        <v>0</v>
      </c>
      <c r="G47" s="131">
        <f ca="1">SUMIF('8a-Glasstaat'!$C:$C,$B47,'8a-Glasstaat'!$N:$N)</f>
        <v>0</v>
      </c>
      <c r="H47" s="329">
        <v>0</v>
      </c>
      <c r="I47" s="456"/>
      <c r="J47" s="131">
        <f t="shared" si="4"/>
        <v>0</v>
      </c>
      <c r="K47" s="330">
        <v>0</v>
      </c>
      <c r="L47" s="131">
        <f t="shared" si="5"/>
        <v>0</v>
      </c>
      <c r="M47" s="131">
        <f t="shared" ca="1" si="6"/>
        <v>0</v>
      </c>
    </row>
    <row r="48" spans="1:13">
      <c r="A48" s="3" t="str">
        <f t="shared" si="7"/>
        <v>30252</v>
      </c>
      <c r="B48" s="132">
        <v>302</v>
      </c>
      <c r="C48" s="133" t="s">
        <v>1414</v>
      </c>
      <c r="D48" s="133" t="s">
        <v>1394</v>
      </c>
      <c r="E48" s="130">
        <f ca="1">SUMIF('8a-Glasstaat'!$C:$C,$B48,'8a-Glasstaat'!$I:$I)</f>
        <v>938.66999999999985</v>
      </c>
      <c r="F48" s="131">
        <f ca="1">SUMIF('8a-Glasstaat'!$C:$C,$B48,'8a-Glasstaat'!$M:$M)</f>
        <v>0</v>
      </c>
      <c r="G48" s="131">
        <f ca="1">SUMIF('8a-Glasstaat'!$C:$C,$B48,'8a-Glasstaat'!$N:$N)</f>
        <v>0</v>
      </c>
      <c r="H48" s="329">
        <v>0</v>
      </c>
      <c r="I48" s="456"/>
      <c r="J48" s="131">
        <f t="shared" si="4"/>
        <v>0</v>
      </c>
      <c r="K48" s="330">
        <v>0</v>
      </c>
      <c r="L48" s="131">
        <f t="shared" si="5"/>
        <v>0</v>
      </c>
      <c r="M48" s="131">
        <f t="shared" ca="1" si="6"/>
        <v>0</v>
      </c>
    </row>
    <row r="49" spans="1:13">
      <c r="A49" s="3" t="str">
        <f t="shared" ref="A49" si="11">CONCATENATE(B49,52)</f>
        <v>30352</v>
      </c>
      <c r="B49" s="132">
        <v>303</v>
      </c>
      <c r="C49" s="133" t="s">
        <v>133</v>
      </c>
      <c r="D49" s="133" t="s">
        <v>1394</v>
      </c>
      <c r="E49" s="130">
        <f ca="1">SUMIF('8a-Glasstaat'!$C:$C,$B49,'8a-Glasstaat'!$I:$I)</f>
        <v>2172.0250000000001</v>
      </c>
      <c r="F49" s="131">
        <f ca="1">SUMIF('8a-Glasstaat'!$C:$C,$B49,'8a-Glasstaat'!$M:$M)</f>
        <v>0</v>
      </c>
      <c r="G49" s="131">
        <f ca="1">SUMIF('8a-Glasstaat'!$C:$C,$B49,'8a-Glasstaat'!$N:$N)</f>
        <v>0</v>
      </c>
      <c r="H49" s="329">
        <v>0</v>
      </c>
      <c r="I49" s="456"/>
      <c r="J49" s="131">
        <f t="shared" ref="J49" si="12">H49*I49</f>
        <v>0</v>
      </c>
      <c r="K49" s="330">
        <v>0</v>
      </c>
      <c r="L49" s="131">
        <f t="shared" ref="L49" si="13">K49*I49</f>
        <v>0</v>
      </c>
      <c r="M49" s="131">
        <f t="shared" ref="M49" ca="1" si="14">L49+J49+G49</f>
        <v>0</v>
      </c>
    </row>
    <row r="50" spans="1:13">
      <c r="A50" s="3" t="str">
        <f t="shared" si="7"/>
        <v>303a52</v>
      </c>
      <c r="B50" s="132" t="s">
        <v>2057</v>
      </c>
      <c r="C50" s="153" t="s">
        <v>2053</v>
      </c>
      <c r="D50" s="133" t="s">
        <v>1394</v>
      </c>
      <c r="E50" s="130">
        <f ca="1">SUMIF('8a-Glasstaat'!$C:$C,$B50,'8a-Glasstaat'!$I:$I)</f>
        <v>120</v>
      </c>
      <c r="F50" s="131">
        <f ca="1">SUMIF('8a-Glasstaat'!$C:$C,$B50,'8a-Glasstaat'!$M:$M)</f>
        <v>0</v>
      </c>
      <c r="G50" s="131">
        <f ca="1">SUMIF('8a-Glasstaat'!$C:$C,$B50,'8a-Glasstaat'!$N:$N)</f>
        <v>0</v>
      </c>
      <c r="H50" s="329">
        <v>0</v>
      </c>
      <c r="I50" s="456"/>
      <c r="J50" s="131">
        <f t="shared" si="4"/>
        <v>0</v>
      </c>
      <c r="K50" s="330">
        <v>0</v>
      </c>
      <c r="L50" s="131">
        <f t="shared" si="5"/>
        <v>0</v>
      </c>
      <c r="M50" s="131">
        <f t="shared" ca="1" si="6"/>
        <v>0</v>
      </c>
    </row>
    <row r="51" spans="1:13">
      <c r="A51" s="3" t="str">
        <f t="shared" si="7"/>
        <v>30452</v>
      </c>
      <c r="B51" s="132">
        <v>304</v>
      </c>
      <c r="C51" s="133" t="s">
        <v>1397</v>
      </c>
      <c r="D51" s="133" t="s">
        <v>1394</v>
      </c>
      <c r="E51" s="130">
        <f ca="1">SUMIF('8a-Glasstaat'!$C:$C,$B51,'8a-Glasstaat'!$I:$I)</f>
        <v>1266.4000000000001</v>
      </c>
      <c r="F51" s="131">
        <f ca="1">SUMIF('8a-Glasstaat'!$C:$C,$B51,'8a-Glasstaat'!$M:$M)</f>
        <v>0</v>
      </c>
      <c r="G51" s="131">
        <f ca="1">SUMIF('8a-Glasstaat'!$C:$C,$B51,'8a-Glasstaat'!$N:$N)</f>
        <v>0</v>
      </c>
      <c r="H51" s="329">
        <v>0</v>
      </c>
      <c r="I51" s="456"/>
      <c r="J51" s="131">
        <f t="shared" si="4"/>
        <v>0</v>
      </c>
      <c r="K51" s="330">
        <v>0</v>
      </c>
      <c r="L51" s="131">
        <f t="shared" si="5"/>
        <v>0</v>
      </c>
      <c r="M51" s="131">
        <f t="shared" ca="1" si="6"/>
        <v>0</v>
      </c>
    </row>
    <row r="52" spans="1:13">
      <c r="A52" s="3" t="str">
        <f t="shared" si="7"/>
        <v>30552</v>
      </c>
      <c r="B52" s="132">
        <v>305</v>
      </c>
      <c r="C52" s="133" t="s">
        <v>1400</v>
      </c>
      <c r="D52" s="133" t="s">
        <v>1394</v>
      </c>
      <c r="E52" s="130">
        <f ca="1">SUMIF('8a-Glasstaat'!$C:$C,$B52,'8a-Glasstaat'!$I:$I)</f>
        <v>762.84</v>
      </c>
      <c r="F52" s="131">
        <f ca="1">SUMIF('8a-Glasstaat'!$C:$C,$B52,'8a-Glasstaat'!$M:$M)</f>
        <v>0</v>
      </c>
      <c r="G52" s="131">
        <f ca="1">SUMIF('8a-Glasstaat'!$C:$C,$B52,'8a-Glasstaat'!$N:$N)</f>
        <v>0</v>
      </c>
      <c r="H52" s="329">
        <v>0</v>
      </c>
      <c r="I52" s="456"/>
      <c r="J52" s="131">
        <f t="shared" si="4"/>
        <v>0</v>
      </c>
      <c r="K52" s="330">
        <v>0</v>
      </c>
      <c r="L52" s="131">
        <f t="shared" si="5"/>
        <v>0</v>
      </c>
      <c r="M52" s="131">
        <f t="shared" ca="1" si="6"/>
        <v>0</v>
      </c>
    </row>
    <row r="53" spans="1:13">
      <c r="A53" s="3" t="str">
        <f t="shared" si="7"/>
        <v>30652</v>
      </c>
      <c r="B53" s="132">
        <v>306</v>
      </c>
      <c r="C53" s="133" t="s">
        <v>1401</v>
      </c>
      <c r="D53" s="133" t="s">
        <v>1394</v>
      </c>
      <c r="E53" s="130">
        <f ca="1">SUMIF('8a-Glasstaat'!$C:$C,$B53,'8a-Glasstaat'!$I:$I)</f>
        <v>596.79999999999995</v>
      </c>
      <c r="F53" s="131">
        <f ca="1">SUMIF('8a-Glasstaat'!$C:$C,$B53,'8a-Glasstaat'!$M:$M)</f>
        <v>0</v>
      </c>
      <c r="G53" s="131">
        <f ca="1">SUMIF('8a-Glasstaat'!$C:$C,$B53,'8a-Glasstaat'!$N:$N)</f>
        <v>0</v>
      </c>
      <c r="H53" s="329">
        <v>0</v>
      </c>
      <c r="I53" s="456"/>
      <c r="J53" s="131">
        <f t="shared" si="4"/>
        <v>0</v>
      </c>
      <c r="K53" s="330">
        <v>0</v>
      </c>
      <c r="L53" s="131">
        <f t="shared" si="5"/>
        <v>0</v>
      </c>
      <c r="M53" s="131">
        <f t="shared" ca="1" si="6"/>
        <v>0</v>
      </c>
    </row>
    <row r="54" spans="1:13">
      <c r="A54" s="3" t="str">
        <f t="shared" si="7"/>
        <v>30752</v>
      </c>
      <c r="B54" s="132">
        <v>307</v>
      </c>
      <c r="C54" s="133" t="s">
        <v>1395</v>
      </c>
      <c r="D54" s="133" t="s">
        <v>1394</v>
      </c>
      <c r="E54" s="130">
        <f ca="1">SUMIF('8a-Glasstaat'!$C:$C,$B54,'8a-Glasstaat'!$I:$I)</f>
        <v>2309.0409999999997</v>
      </c>
      <c r="F54" s="131">
        <f ca="1">SUMIF('8a-Glasstaat'!$C:$C,$B54,'8a-Glasstaat'!$M:$M)</f>
        <v>0</v>
      </c>
      <c r="G54" s="131">
        <f ca="1">SUMIF('8a-Glasstaat'!$C:$C,$B54,'8a-Glasstaat'!$N:$N)</f>
        <v>0</v>
      </c>
      <c r="H54" s="329">
        <v>0</v>
      </c>
      <c r="I54" s="456"/>
      <c r="J54" s="131">
        <f t="shared" si="4"/>
        <v>0</v>
      </c>
      <c r="K54" s="330">
        <v>0</v>
      </c>
      <c r="L54" s="131">
        <f t="shared" si="5"/>
        <v>0</v>
      </c>
      <c r="M54" s="131">
        <f t="shared" ca="1" si="6"/>
        <v>0</v>
      </c>
    </row>
    <row r="55" spans="1:13">
      <c r="A55" s="3" t="str">
        <f t="shared" si="7"/>
        <v>30852</v>
      </c>
      <c r="B55" s="132">
        <v>308</v>
      </c>
      <c r="C55" s="133" t="s">
        <v>1402</v>
      </c>
      <c r="D55" s="133" t="s">
        <v>1394</v>
      </c>
      <c r="E55" s="130">
        <f ca="1">SUMIF('8a-Glasstaat'!$C:$C,$B55,'8a-Glasstaat'!$I:$I)</f>
        <v>608.79999999999995</v>
      </c>
      <c r="F55" s="131">
        <f ca="1">SUMIF('8a-Glasstaat'!$C:$C,$B55,'8a-Glasstaat'!$M:$M)</f>
        <v>0</v>
      </c>
      <c r="G55" s="131">
        <f ca="1">SUMIF('8a-Glasstaat'!$C:$C,$B55,'8a-Glasstaat'!$N:$N)</f>
        <v>0</v>
      </c>
      <c r="H55" s="329">
        <v>0</v>
      </c>
      <c r="I55" s="456"/>
      <c r="J55" s="131">
        <f t="shared" si="4"/>
        <v>0</v>
      </c>
      <c r="K55" s="330">
        <v>0</v>
      </c>
      <c r="L55" s="131">
        <f t="shared" si="5"/>
        <v>0</v>
      </c>
      <c r="M55" s="131">
        <f t="shared" ca="1" si="6"/>
        <v>0</v>
      </c>
    </row>
    <row r="56" spans="1:13">
      <c r="A56" s="3" t="str">
        <f t="shared" si="7"/>
        <v>30952</v>
      </c>
      <c r="B56" s="132">
        <v>309</v>
      </c>
      <c r="C56" s="133" t="s">
        <v>1398</v>
      </c>
      <c r="D56" s="133" t="s">
        <v>1394</v>
      </c>
      <c r="E56" s="130">
        <f ca="1">SUMIF('8a-Glasstaat'!$C:$C,$B56,'8a-Glasstaat'!$I:$I)</f>
        <v>619.79999999999995</v>
      </c>
      <c r="F56" s="131">
        <f ca="1">SUMIF('8a-Glasstaat'!$C:$C,$B56,'8a-Glasstaat'!$M:$M)</f>
        <v>0</v>
      </c>
      <c r="G56" s="131">
        <f ca="1">SUMIF('8a-Glasstaat'!$C:$C,$B56,'8a-Glasstaat'!$N:$N)</f>
        <v>0</v>
      </c>
      <c r="H56" s="329">
        <v>0</v>
      </c>
      <c r="I56" s="456"/>
      <c r="J56" s="131">
        <f t="shared" si="4"/>
        <v>0</v>
      </c>
      <c r="K56" s="330">
        <v>0</v>
      </c>
      <c r="L56" s="131">
        <f t="shared" si="5"/>
        <v>0</v>
      </c>
      <c r="M56" s="131">
        <f t="shared" ca="1" si="6"/>
        <v>0</v>
      </c>
    </row>
    <row r="57" spans="1:13">
      <c r="A57" s="3" t="str">
        <f t="shared" si="7"/>
        <v>31052</v>
      </c>
      <c r="B57" s="132">
        <v>310</v>
      </c>
      <c r="C57" s="133" t="s">
        <v>1399</v>
      </c>
      <c r="D57" s="133" t="s">
        <v>1394</v>
      </c>
      <c r="E57" s="130">
        <f ca="1">SUMIF('8a-Glasstaat'!$C:$C,$B57,'8a-Glasstaat'!$I:$I)</f>
        <v>599</v>
      </c>
      <c r="F57" s="131">
        <f ca="1">SUMIF('8a-Glasstaat'!$C:$C,$B57,'8a-Glasstaat'!$M:$M)</f>
        <v>0</v>
      </c>
      <c r="G57" s="131">
        <f ca="1">SUMIF('8a-Glasstaat'!$C:$C,$B57,'8a-Glasstaat'!$N:$N)</f>
        <v>0</v>
      </c>
      <c r="H57" s="329">
        <v>0</v>
      </c>
      <c r="I57" s="456"/>
      <c r="J57" s="131">
        <f t="shared" si="4"/>
        <v>0</v>
      </c>
      <c r="K57" s="330">
        <v>0</v>
      </c>
      <c r="L57" s="131">
        <f t="shared" si="5"/>
        <v>0</v>
      </c>
      <c r="M57" s="131">
        <f t="shared" ca="1" si="6"/>
        <v>0</v>
      </c>
    </row>
    <row r="58" spans="1:13">
      <c r="A58" s="3" t="str">
        <f t="shared" ref="A58" si="15">CONCATENATE(B58,52)</f>
        <v>31152</v>
      </c>
      <c r="B58" s="132">
        <v>311</v>
      </c>
      <c r="C58" s="133" t="s">
        <v>1396</v>
      </c>
      <c r="D58" s="133" t="s">
        <v>1394</v>
      </c>
      <c r="E58" s="130">
        <f ca="1">SUMIF('8a-Glasstaat'!$C:$C,$B58,'8a-Glasstaat'!$I:$I)</f>
        <v>2797.42</v>
      </c>
      <c r="F58" s="131">
        <f ca="1">SUMIF('8a-Glasstaat'!$C:$C,$B58,'8a-Glasstaat'!$M:$M)</f>
        <v>0</v>
      </c>
      <c r="G58" s="131">
        <f ca="1">SUMIF('8a-Glasstaat'!$C:$C,$B58,'8a-Glasstaat'!$N:$N)</f>
        <v>0</v>
      </c>
      <c r="H58" s="329">
        <v>0</v>
      </c>
      <c r="I58" s="456"/>
      <c r="J58" s="131">
        <f t="shared" ref="J58" si="16">H58*I58</f>
        <v>0</v>
      </c>
      <c r="K58" s="330">
        <v>0</v>
      </c>
      <c r="L58" s="131">
        <f t="shared" ref="L58" si="17">K58*I58</f>
        <v>0</v>
      </c>
      <c r="M58" s="131">
        <f t="shared" ref="M58" ca="1" si="18">L58+J58+G58</f>
        <v>0</v>
      </c>
    </row>
    <row r="59" spans="1:13">
      <c r="A59" s="3" t="str">
        <f t="shared" si="7"/>
        <v>311a52</v>
      </c>
      <c r="B59" s="132" t="s">
        <v>2056</v>
      </c>
      <c r="C59" s="153" t="s">
        <v>2054</v>
      </c>
      <c r="D59" s="133" t="s">
        <v>1394</v>
      </c>
      <c r="E59" s="130">
        <f ca="1">SUMIF('8a-Glasstaat'!$C:$C,$B59,'8a-Glasstaat'!$I:$I)</f>
        <v>120</v>
      </c>
      <c r="F59" s="131">
        <f ca="1">SUMIF('8a-Glasstaat'!$C:$C,$B59,'8a-Glasstaat'!$M:$M)</f>
        <v>0</v>
      </c>
      <c r="G59" s="131">
        <f ca="1">SUMIF('8a-Glasstaat'!$C:$C,$B59,'8a-Glasstaat'!$N:$N)</f>
        <v>0</v>
      </c>
      <c r="H59" s="329">
        <v>0</v>
      </c>
      <c r="I59" s="456"/>
      <c r="J59" s="131">
        <f t="shared" si="4"/>
        <v>0</v>
      </c>
      <c r="K59" s="330">
        <v>0</v>
      </c>
      <c r="L59" s="131">
        <f t="shared" si="5"/>
        <v>0</v>
      </c>
      <c r="M59" s="131">
        <f t="shared" ca="1" si="6"/>
        <v>0</v>
      </c>
    </row>
    <row r="60" spans="1:13">
      <c r="A60" s="3" t="str">
        <f t="shared" si="7"/>
        <v>31252</v>
      </c>
      <c r="B60" s="132">
        <v>312</v>
      </c>
      <c r="C60" s="133" t="s">
        <v>1411</v>
      </c>
      <c r="D60" s="133" t="s">
        <v>1394</v>
      </c>
      <c r="E60" s="130">
        <f ca="1">SUMIF('8a-Glasstaat'!$C:$C,$B60,'8a-Glasstaat'!$I:$I)</f>
        <v>773.38500000000033</v>
      </c>
      <c r="F60" s="131">
        <f ca="1">SUMIF('8a-Glasstaat'!$C:$C,$B60,'8a-Glasstaat'!$M:$M)</f>
        <v>0</v>
      </c>
      <c r="G60" s="131">
        <f ca="1">SUMIF('8a-Glasstaat'!$C:$C,$B60,'8a-Glasstaat'!$N:$N)</f>
        <v>0</v>
      </c>
      <c r="H60" s="329">
        <v>0</v>
      </c>
      <c r="I60" s="456"/>
      <c r="J60" s="131">
        <f t="shared" si="4"/>
        <v>0</v>
      </c>
      <c r="K60" s="330">
        <v>0</v>
      </c>
      <c r="L60" s="131">
        <f t="shared" si="5"/>
        <v>0</v>
      </c>
      <c r="M60" s="131">
        <f t="shared" ca="1" si="6"/>
        <v>0</v>
      </c>
    </row>
    <row r="61" spans="1:13">
      <c r="A61" s="3" t="str">
        <f t="shared" si="7"/>
        <v>40152</v>
      </c>
      <c r="B61" s="132">
        <v>401</v>
      </c>
      <c r="C61" s="133" t="s">
        <v>1537</v>
      </c>
      <c r="D61" s="133" t="s">
        <v>1538</v>
      </c>
      <c r="E61" s="130">
        <f ca="1">SUMIF('8a-Glasstaat'!$C:$C,$B61,'8a-Glasstaat'!$I:$I)</f>
        <v>28.049999999999997</v>
      </c>
      <c r="F61" s="131">
        <f ca="1">SUMIF('8a-Glasstaat'!$C:$C,$B61,'8a-Glasstaat'!$M:$M)</f>
        <v>0</v>
      </c>
      <c r="G61" s="131">
        <f ca="1">SUMIF('8a-Glasstaat'!$C:$C,$B61,'8a-Glasstaat'!$N:$N)</f>
        <v>0</v>
      </c>
      <c r="H61" s="329">
        <v>0</v>
      </c>
      <c r="I61" s="456"/>
      <c r="J61" s="131">
        <f t="shared" si="4"/>
        <v>0</v>
      </c>
      <c r="K61" s="330">
        <v>0</v>
      </c>
      <c r="L61" s="131">
        <f t="shared" si="5"/>
        <v>0</v>
      </c>
      <c r="M61" s="131">
        <f t="shared" ca="1" si="6"/>
        <v>0</v>
      </c>
    </row>
    <row r="62" spans="1:13">
      <c r="A62" s="3" t="str">
        <f t="shared" si="7"/>
        <v>40252</v>
      </c>
      <c r="B62" s="132">
        <v>402</v>
      </c>
      <c r="C62" s="133" t="s">
        <v>1481</v>
      </c>
      <c r="D62" s="133" t="s">
        <v>1538</v>
      </c>
      <c r="E62" s="130">
        <f ca="1">SUMIF('8a-Glasstaat'!$C:$C,$B62,'8a-Glasstaat'!$I:$I)</f>
        <v>28.049999999999997</v>
      </c>
      <c r="F62" s="131">
        <f ca="1">SUMIF('8a-Glasstaat'!$C:$C,$B62,'8a-Glasstaat'!$M:$M)</f>
        <v>0</v>
      </c>
      <c r="G62" s="131">
        <f ca="1">SUMIF('8a-Glasstaat'!$C:$C,$B62,'8a-Glasstaat'!$N:$N)</f>
        <v>0</v>
      </c>
      <c r="H62" s="329">
        <v>0</v>
      </c>
      <c r="I62" s="456"/>
      <c r="J62" s="131">
        <f t="shared" si="4"/>
        <v>0</v>
      </c>
      <c r="K62" s="330">
        <v>0</v>
      </c>
      <c r="L62" s="131">
        <f t="shared" si="5"/>
        <v>0</v>
      </c>
      <c r="M62" s="131">
        <f t="shared" ca="1" si="6"/>
        <v>0</v>
      </c>
    </row>
    <row r="63" spans="1:13">
      <c r="A63" s="3" t="str">
        <f t="shared" si="7"/>
        <v>40352</v>
      </c>
      <c r="B63" s="132">
        <v>403</v>
      </c>
      <c r="C63" s="133" t="s">
        <v>1487</v>
      </c>
      <c r="D63" s="133" t="s">
        <v>1538</v>
      </c>
      <c r="E63" s="130">
        <f ca="1">SUMIF('8a-Glasstaat'!$C:$C,$B63,'8a-Glasstaat'!$I:$I)</f>
        <v>0</v>
      </c>
      <c r="F63" s="131">
        <f ca="1">SUMIF('8a-Glasstaat'!$C:$C,$B63,'8a-Glasstaat'!$M:$M)</f>
        <v>0</v>
      </c>
      <c r="G63" s="131">
        <f ca="1">SUMIF('8a-Glasstaat'!$C:$C,$B63,'8a-Glasstaat'!$N:$N)</f>
        <v>0</v>
      </c>
      <c r="H63" s="329">
        <v>0</v>
      </c>
      <c r="I63" s="456"/>
      <c r="J63" s="131">
        <f t="shared" si="4"/>
        <v>0</v>
      </c>
      <c r="K63" s="330">
        <v>0</v>
      </c>
      <c r="L63" s="131">
        <f t="shared" si="5"/>
        <v>0</v>
      </c>
      <c r="M63" s="131">
        <f t="shared" ca="1" si="6"/>
        <v>0</v>
      </c>
    </row>
    <row r="64" spans="1:13">
      <c r="A64" s="3" t="str">
        <f t="shared" si="7"/>
        <v>40452</v>
      </c>
      <c r="B64" s="132">
        <v>404</v>
      </c>
      <c r="C64" s="133" t="s">
        <v>1488</v>
      </c>
      <c r="D64" s="133" t="s">
        <v>1538</v>
      </c>
      <c r="E64" s="130">
        <f ca="1">SUMIF('8a-Glasstaat'!$C:$C,$B64,'8a-Glasstaat'!$I:$I)</f>
        <v>0</v>
      </c>
      <c r="F64" s="131">
        <f ca="1">SUMIF('8a-Glasstaat'!$C:$C,$B64,'8a-Glasstaat'!$M:$M)</f>
        <v>0</v>
      </c>
      <c r="G64" s="131">
        <f ca="1">SUMIF('8a-Glasstaat'!$C:$C,$B64,'8a-Glasstaat'!$N:$N)</f>
        <v>0</v>
      </c>
      <c r="H64" s="329">
        <v>0</v>
      </c>
      <c r="I64" s="456"/>
      <c r="J64" s="131">
        <f t="shared" si="4"/>
        <v>0</v>
      </c>
      <c r="K64" s="330">
        <v>0</v>
      </c>
      <c r="L64" s="131">
        <f t="shared" si="5"/>
        <v>0</v>
      </c>
      <c r="M64" s="131">
        <f t="shared" ca="1" si="6"/>
        <v>0</v>
      </c>
    </row>
    <row r="65" spans="1:13">
      <c r="A65" s="3" t="str">
        <f t="shared" si="7"/>
        <v>40552</v>
      </c>
      <c r="B65" s="132">
        <v>405</v>
      </c>
      <c r="C65" s="133" t="s">
        <v>1489</v>
      </c>
      <c r="D65" s="133" t="s">
        <v>1538</v>
      </c>
      <c r="E65" s="130">
        <f ca="1">SUMIF('8a-Glasstaat'!$C:$C,$B65,'8a-Glasstaat'!$I:$I)</f>
        <v>28.049999999999997</v>
      </c>
      <c r="F65" s="131">
        <f ca="1">SUMIF('8a-Glasstaat'!$C:$C,$B65,'8a-Glasstaat'!$M:$M)</f>
        <v>0</v>
      </c>
      <c r="G65" s="131">
        <f ca="1">SUMIF('8a-Glasstaat'!$C:$C,$B65,'8a-Glasstaat'!$N:$N)</f>
        <v>0</v>
      </c>
      <c r="H65" s="329">
        <v>0</v>
      </c>
      <c r="I65" s="456"/>
      <c r="J65" s="131">
        <f t="shared" si="4"/>
        <v>0</v>
      </c>
      <c r="K65" s="330">
        <v>0</v>
      </c>
      <c r="L65" s="131">
        <f t="shared" si="5"/>
        <v>0</v>
      </c>
      <c r="M65" s="131">
        <f t="shared" ca="1" si="6"/>
        <v>0</v>
      </c>
    </row>
    <row r="66" spans="1:13">
      <c r="A66" s="3" t="str">
        <f t="shared" si="7"/>
        <v>40652</v>
      </c>
      <c r="B66" s="132">
        <v>406</v>
      </c>
      <c r="C66" s="133" t="s">
        <v>1492</v>
      </c>
      <c r="D66" s="133" t="s">
        <v>1538</v>
      </c>
      <c r="E66" s="130">
        <f ca="1">SUMIF('8a-Glasstaat'!$C:$C,$B66,'8a-Glasstaat'!$I:$I)</f>
        <v>13.845000000000001</v>
      </c>
      <c r="F66" s="131">
        <f ca="1">SUMIF('8a-Glasstaat'!$C:$C,$B66,'8a-Glasstaat'!$M:$M)</f>
        <v>0</v>
      </c>
      <c r="G66" s="131">
        <f ca="1">SUMIF('8a-Glasstaat'!$C:$C,$B66,'8a-Glasstaat'!$N:$N)</f>
        <v>0</v>
      </c>
      <c r="H66" s="329">
        <v>0</v>
      </c>
      <c r="I66" s="456"/>
      <c r="J66" s="131">
        <f t="shared" si="4"/>
        <v>0</v>
      </c>
      <c r="K66" s="330">
        <v>0</v>
      </c>
      <c r="L66" s="131">
        <f t="shared" si="5"/>
        <v>0</v>
      </c>
      <c r="M66" s="131">
        <f t="shared" ca="1" si="6"/>
        <v>0</v>
      </c>
    </row>
    <row r="67" spans="1:13">
      <c r="A67" s="3" t="str">
        <f t="shared" si="7"/>
        <v>40752</v>
      </c>
      <c r="B67" s="132">
        <v>407</v>
      </c>
      <c r="C67" s="133" t="s">
        <v>1494</v>
      </c>
      <c r="D67" s="133" t="s">
        <v>1538</v>
      </c>
      <c r="E67" s="130">
        <f ca="1">SUMIF('8a-Glasstaat'!$C:$C,$B67,'8a-Glasstaat'!$I:$I)</f>
        <v>25.17</v>
      </c>
      <c r="F67" s="131">
        <f ca="1">SUMIF('8a-Glasstaat'!$C:$C,$B67,'8a-Glasstaat'!$M:$M)</f>
        <v>0</v>
      </c>
      <c r="G67" s="131">
        <f ca="1">SUMIF('8a-Glasstaat'!$C:$C,$B67,'8a-Glasstaat'!$N:$N)</f>
        <v>0</v>
      </c>
      <c r="H67" s="329">
        <v>0</v>
      </c>
      <c r="I67" s="456"/>
      <c r="J67" s="131">
        <f t="shared" si="4"/>
        <v>0</v>
      </c>
      <c r="K67" s="330">
        <v>0</v>
      </c>
      <c r="L67" s="131">
        <f t="shared" si="5"/>
        <v>0</v>
      </c>
      <c r="M67" s="131">
        <f t="shared" ca="1" si="6"/>
        <v>0</v>
      </c>
    </row>
    <row r="68" spans="1:13">
      <c r="A68" s="3" t="str">
        <f t="shared" si="7"/>
        <v>40852</v>
      </c>
      <c r="B68" s="132">
        <v>408</v>
      </c>
      <c r="C68" s="133" t="s">
        <v>1497</v>
      </c>
      <c r="D68" s="133" t="s">
        <v>1538</v>
      </c>
      <c r="E68" s="130">
        <f ca="1">SUMIF('8a-Glasstaat'!$C:$C,$B68,'8a-Glasstaat'!$I:$I)</f>
        <v>19.695</v>
      </c>
      <c r="F68" s="131">
        <f ca="1">SUMIF('8a-Glasstaat'!$C:$C,$B68,'8a-Glasstaat'!$M:$M)</f>
        <v>0</v>
      </c>
      <c r="G68" s="131">
        <f ca="1">SUMIF('8a-Glasstaat'!$C:$C,$B68,'8a-Glasstaat'!$N:$N)</f>
        <v>0</v>
      </c>
      <c r="H68" s="329">
        <v>0</v>
      </c>
      <c r="I68" s="456"/>
      <c r="J68" s="131">
        <f t="shared" si="4"/>
        <v>0</v>
      </c>
      <c r="K68" s="330">
        <v>0</v>
      </c>
      <c r="L68" s="131">
        <f t="shared" si="5"/>
        <v>0</v>
      </c>
      <c r="M68" s="131">
        <f t="shared" ca="1" si="6"/>
        <v>0</v>
      </c>
    </row>
    <row r="69" spans="1:13">
      <c r="A69" s="3" t="str">
        <f t="shared" si="7"/>
        <v>40952</v>
      </c>
      <c r="B69" s="132">
        <v>409</v>
      </c>
      <c r="C69" s="133" t="s">
        <v>1539</v>
      </c>
      <c r="D69" s="133" t="s">
        <v>1538</v>
      </c>
      <c r="E69" s="130">
        <f ca="1">SUMIF('8a-Glasstaat'!$C:$C,$B69,'8a-Glasstaat'!$I:$I)</f>
        <v>0</v>
      </c>
      <c r="F69" s="131">
        <f ca="1">SUMIF('8a-Glasstaat'!$C:$C,$B69,'8a-Glasstaat'!$M:$M)</f>
        <v>0</v>
      </c>
      <c r="G69" s="131">
        <f ca="1">SUMIF('8a-Glasstaat'!$C:$C,$B69,'8a-Glasstaat'!$N:$N)</f>
        <v>0</v>
      </c>
      <c r="H69" s="329">
        <v>0</v>
      </c>
      <c r="I69" s="456"/>
      <c r="J69" s="131">
        <f t="shared" si="4"/>
        <v>0</v>
      </c>
      <c r="K69" s="330">
        <v>0</v>
      </c>
      <c r="L69" s="131">
        <f t="shared" si="5"/>
        <v>0</v>
      </c>
      <c r="M69" s="131">
        <f t="shared" ca="1" si="6"/>
        <v>0</v>
      </c>
    </row>
    <row r="70" spans="1:13">
      <c r="A70" s="3" t="str">
        <f t="shared" si="7"/>
        <v>41052</v>
      </c>
      <c r="B70" s="132">
        <v>410</v>
      </c>
      <c r="C70" s="133" t="s">
        <v>1499</v>
      </c>
      <c r="D70" s="133" t="s">
        <v>1538</v>
      </c>
      <c r="E70" s="130">
        <f ca="1">SUMIF('8a-Glasstaat'!$C:$C,$B70,'8a-Glasstaat'!$I:$I)</f>
        <v>0</v>
      </c>
      <c r="F70" s="131">
        <f ca="1">SUMIF('8a-Glasstaat'!$C:$C,$B70,'8a-Glasstaat'!$M:$M)</f>
        <v>0</v>
      </c>
      <c r="G70" s="131">
        <f ca="1">SUMIF('8a-Glasstaat'!$C:$C,$B70,'8a-Glasstaat'!$N:$N)</f>
        <v>0</v>
      </c>
      <c r="H70" s="329">
        <v>0</v>
      </c>
      <c r="I70" s="456"/>
      <c r="J70" s="131">
        <f t="shared" si="4"/>
        <v>0</v>
      </c>
      <c r="K70" s="330">
        <v>0</v>
      </c>
      <c r="L70" s="131">
        <f t="shared" si="5"/>
        <v>0</v>
      </c>
      <c r="M70" s="131">
        <f t="shared" ca="1" si="6"/>
        <v>0</v>
      </c>
    </row>
    <row r="71" spans="1:13">
      <c r="A71" s="3" t="str">
        <f t="shared" si="7"/>
        <v>41152</v>
      </c>
      <c r="B71" s="132">
        <v>411</v>
      </c>
      <c r="C71" s="133" t="s">
        <v>1500</v>
      </c>
      <c r="D71" s="133" t="s">
        <v>1538</v>
      </c>
      <c r="E71" s="130">
        <f ca="1">SUMIF('8a-Glasstaat'!$C:$C,$B71,'8a-Glasstaat'!$I:$I)</f>
        <v>0</v>
      </c>
      <c r="F71" s="131">
        <f ca="1">SUMIF('8a-Glasstaat'!$C:$C,$B71,'8a-Glasstaat'!$M:$M)</f>
        <v>0</v>
      </c>
      <c r="G71" s="131">
        <f ca="1">SUMIF('8a-Glasstaat'!$C:$C,$B71,'8a-Glasstaat'!$N:$N)</f>
        <v>0</v>
      </c>
      <c r="H71" s="329">
        <v>0</v>
      </c>
      <c r="I71" s="456"/>
      <c r="J71" s="131">
        <f t="shared" si="4"/>
        <v>0</v>
      </c>
      <c r="K71" s="330">
        <v>0</v>
      </c>
      <c r="L71" s="131">
        <f t="shared" si="5"/>
        <v>0</v>
      </c>
      <c r="M71" s="131">
        <f t="shared" ca="1" si="6"/>
        <v>0</v>
      </c>
    </row>
    <row r="72" spans="1:13">
      <c r="A72" s="3" t="str">
        <f t="shared" si="7"/>
        <v>41252</v>
      </c>
      <c r="B72" s="132">
        <v>412</v>
      </c>
      <c r="C72" s="133" t="s">
        <v>1501</v>
      </c>
      <c r="D72" s="133" t="s">
        <v>1538</v>
      </c>
      <c r="E72" s="130">
        <f ca="1">SUMIF('8a-Glasstaat'!$C:$C,$B72,'8a-Glasstaat'!$I:$I)</f>
        <v>0</v>
      </c>
      <c r="F72" s="131">
        <f ca="1">SUMIF('8a-Glasstaat'!$C:$C,$B72,'8a-Glasstaat'!$M:$M)</f>
        <v>0</v>
      </c>
      <c r="G72" s="131">
        <f ca="1">SUMIF('8a-Glasstaat'!$C:$C,$B72,'8a-Glasstaat'!$N:$N)</f>
        <v>0</v>
      </c>
      <c r="H72" s="329">
        <v>0</v>
      </c>
      <c r="I72" s="456"/>
      <c r="J72" s="131">
        <f t="shared" si="4"/>
        <v>0</v>
      </c>
      <c r="K72" s="330">
        <v>0</v>
      </c>
      <c r="L72" s="131">
        <f t="shared" si="5"/>
        <v>0</v>
      </c>
      <c r="M72" s="131">
        <f t="shared" ca="1" si="6"/>
        <v>0</v>
      </c>
    </row>
    <row r="73" spans="1:13">
      <c r="A73" s="3" t="str">
        <f t="shared" si="7"/>
        <v>41352</v>
      </c>
      <c r="B73" s="132">
        <v>413</v>
      </c>
      <c r="C73" s="133" t="s">
        <v>1502</v>
      </c>
      <c r="D73" s="133" t="s">
        <v>1538</v>
      </c>
      <c r="E73" s="130">
        <f ca="1">SUMIF('8a-Glasstaat'!$C:$C,$B73,'8a-Glasstaat'!$I:$I)</f>
        <v>0</v>
      </c>
      <c r="F73" s="131">
        <f ca="1">SUMIF('8a-Glasstaat'!$C:$C,$B73,'8a-Glasstaat'!$M:$M)</f>
        <v>0</v>
      </c>
      <c r="G73" s="131">
        <f ca="1">SUMIF('8a-Glasstaat'!$C:$C,$B73,'8a-Glasstaat'!$N:$N)</f>
        <v>0</v>
      </c>
      <c r="H73" s="329">
        <v>0</v>
      </c>
      <c r="I73" s="456"/>
      <c r="J73" s="131">
        <f t="shared" si="4"/>
        <v>0</v>
      </c>
      <c r="K73" s="330">
        <v>0</v>
      </c>
      <c r="L73" s="131">
        <f t="shared" si="5"/>
        <v>0</v>
      </c>
      <c r="M73" s="131">
        <f t="shared" ca="1" si="6"/>
        <v>0</v>
      </c>
    </row>
    <row r="74" spans="1:13">
      <c r="A74" s="3" t="str">
        <f t="shared" ref="A74" si="19">CONCATENATE(B74,52)</f>
        <v>41452</v>
      </c>
      <c r="B74" s="132">
        <v>414</v>
      </c>
      <c r="C74" s="133" t="s">
        <v>1503</v>
      </c>
      <c r="D74" s="133" t="s">
        <v>1538</v>
      </c>
      <c r="E74" s="130">
        <f ca="1">SUMIF('8a-Glasstaat'!$C:$C,$B74,'8a-Glasstaat'!$I:$I)</f>
        <v>0</v>
      </c>
      <c r="F74" s="131">
        <f ca="1">SUMIF('8a-Glasstaat'!$C:$C,$B74,'8a-Glasstaat'!$M:$M)</f>
        <v>0</v>
      </c>
      <c r="G74" s="131">
        <f ca="1">SUMIF('8a-Glasstaat'!$C:$C,$B74,'8a-Glasstaat'!$N:$N)</f>
        <v>0</v>
      </c>
      <c r="H74" s="329">
        <v>0</v>
      </c>
      <c r="I74" s="456"/>
      <c r="J74" s="131">
        <f t="shared" ref="J74" si="20">H74*I74</f>
        <v>0</v>
      </c>
      <c r="K74" s="330">
        <v>0</v>
      </c>
      <c r="L74" s="131">
        <f t="shared" ref="L74" si="21">K74*I74</f>
        <v>0</v>
      </c>
      <c r="M74" s="131">
        <f t="shared" ref="M74" ca="1" si="22">L74+J74+G74</f>
        <v>0</v>
      </c>
    </row>
    <row r="75" spans="1:13">
      <c r="A75" s="3" t="str">
        <f t="shared" ref="A75" si="23">CONCATENATE(B75,52)</f>
        <v>41552</v>
      </c>
      <c r="B75" s="132">
        <v>415</v>
      </c>
      <c r="C75" s="133" t="s">
        <v>1504</v>
      </c>
      <c r="D75" s="133" t="s">
        <v>1538</v>
      </c>
      <c r="E75" s="130">
        <f ca="1">SUMIF('8a-Glasstaat'!$C:$C,$B75,'8a-Glasstaat'!$I:$I)</f>
        <v>0</v>
      </c>
      <c r="F75" s="131">
        <f ca="1">SUMIF('8a-Glasstaat'!$C:$C,$B75,'8a-Glasstaat'!$M:$M)</f>
        <v>0</v>
      </c>
      <c r="G75" s="131">
        <f ca="1">SUMIF('8a-Glasstaat'!$C:$C,$B75,'8a-Glasstaat'!$N:$N)</f>
        <v>0</v>
      </c>
      <c r="H75" s="329">
        <v>0</v>
      </c>
      <c r="I75" s="456"/>
      <c r="J75" s="131">
        <f t="shared" ref="J75" si="24">H75*I75</f>
        <v>0</v>
      </c>
      <c r="K75" s="330">
        <v>0</v>
      </c>
      <c r="L75" s="131">
        <f t="shared" ref="L75" si="25">K75*I75</f>
        <v>0</v>
      </c>
      <c r="M75" s="131">
        <f t="shared" ref="M75" ca="1" si="26">L75+J75+G75</f>
        <v>0</v>
      </c>
    </row>
    <row r="76" spans="1:13">
      <c r="A76" s="3" t="str">
        <f t="shared" si="7"/>
        <v>100152</v>
      </c>
      <c r="B76" s="132">
        <v>1001</v>
      </c>
      <c r="C76" s="28" t="s">
        <v>1038</v>
      </c>
      <c r="D76" s="133" t="s">
        <v>2136</v>
      </c>
      <c r="E76" s="130">
        <f ca="1">SUMIF('8a-Glasstaat'!$C:$C,$B76,'8a-Glasstaat'!$I:$I)</f>
        <v>132</v>
      </c>
      <c r="F76" s="131">
        <f ca="1">SUMIF('8a-Glasstaat'!$C:$C,$B76,'8a-Glasstaat'!$M:$M)</f>
        <v>0</v>
      </c>
      <c r="G76" s="131">
        <f ca="1">SUMIF('8a-Glasstaat'!$C:$C,$B76,'8a-Glasstaat'!$N:$N)</f>
        <v>0</v>
      </c>
      <c r="H76" s="329">
        <v>0</v>
      </c>
      <c r="I76" s="456"/>
      <c r="J76" s="131">
        <f t="shared" si="4"/>
        <v>0</v>
      </c>
      <c r="K76" s="330">
        <v>0</v>
      </c>
      <c r="L76" s="131">
        <f t="shared" si="5"/>
        <v>0</v>
      </c>
      <c r="M76" s="131">
        <f t="shared" ca="1" si="6"/>
        <v>0</v>
      </c>
    </row>
    <row r="77" spans="1:13">
      <c r="A77" s="3" t="str">
        <f t="shared" si="7"/>
        <v>100252</v>
      </c>
      <c r="B77" s="132">
        <v>1002</v>
      </c>
      <c r="C77" s="28" t="s">
        <v>1069</v>
      </c>
      <c r="D77" s="133" t="s">
        <v>2136</v>
      </c>
      <c r="E77" s="130">
        <f ca="1">SUMIF('8a-Glasstaat'!$C:$C,$B77,'8a-Glasstaat'!$I:$I)</f>
        <v>228</v>
      </c>
      <c r="F77" s="131">
        <f ca="1">SUMIF('8a-Glasstaat'!$C:$C,$B77,'8a-Glasstaat'!$M:$M)</f>
        <v>0</v>
      </c>
      <c r="G77" s="131">
        <f ca="1">SUMIF('8a-Glasstaat'!$C:$C,$B77,'8a-Glasstaat'!$N:$N)</f>
        <v>0</v>
      </c>
      <c r="H77" s="329">
        <v>0</v>
      </c>
      <c r="I77" s="456"/>
      <c r="J77" s="131">
        <f t="shared" si="4"/>
        <v>0</v>
      </c>
      <c r="K77" s="330">
        <v>0</v>
      </c>
      <c r="L77" s="131">
        <f t="shared" si="5"/>
        <v>0</v>
      </c>
      <c r="M77" s="131">
        <f t="shared" ca="1" si="6"/>
        <v>0</v>
      </c>
    </row>
    <row r="78" spans="1:13">
      <c r="B78" s="333" t="s">
        <v>1087</v>
      </c>
      <c r="C78" s="334"/>
      <c r="D78" s="334"/>
      <c r="E78" s="335"/>
      <c r="F78" s="336"/>
      <c r="G78" s="336">
        <f ca="1">SUM(G13:G77)</f>
        <v>0</v>
      </c>
      <c r="H78" s="336"/>
      <c r="I78" s="336"/>
      <c r="J78" s="334"/>
      <c r="K78" s="334"/>
      <c r="L78" s="337"/>
      <c r="M78" s="338">
        <f ca="1">SUM(M13:M77)</f>
        <v>0</v>
      </c>
    </row>
    <row r="79" spans="1:13">
      <c r="F79" s="126"/>
      <c r="I79" s="3"/>
      <c r="J79" s="3"/>
    </row>
    <row r="80" spans="1:13">
      <c r="F80" s="126"/>
      <c r="H80" s="3"/>
      <c r="I80" s="3"/>
      <c r="J80" s="3"/>
    </row>
    <row r="81" spans="6:10">
      <c r="F81" s="126"/>
      <c r="H81" s="136"/>
      <c r="I81" s="3"/>
      <c r="J81" s="3"/>
    </row>
    <row r="82" spans="6:10">
      <c r="F82" s="126"/>
      <c r="H82" s="3"/>
      <c r="I82" s="3"/>
      <c r="J82" s="3"/>
    </row>
    <row r="83" spans="6:10">
      <c r="F83" s="126"/>
      <c r="H83" s="3"/>
      <c r="I83" s="3"/>
      <c r="J83" s="3"/>
    </row>
    <row r="84" spans="6:10">
      <c r="F84" s="126"/>
      <c r="H84" s="3"/>
      <c r="I84" s="3"/>
      <c r="J84" s="3"/>
    </row>
    <row r="85" spans="6:10">
      <c r="F85" s="126"/>
      <c r="H85" s="3"/>
      <c r="I85" s="3"/>
      <c r="J85" s="3"/>
    </row>
    <row r="86" spans="6:10">
      <c r="F86" s="126"/>
      <c r="H86" s="3"/>
      <c r="I86" s="3"/>
      <c r="J86" s="3"/>
    </row>
    <row r="87" spans="6:10">
      <c r="F87" s="126"/>
      <c r="H87" s="3"/>
      <c r="I87" s="3"/>
      <c r="J87" s="3"/>
    </row>
    <row r="88" spans="6:10">
      <c r="F88" s="126"/>
      <c r="H88" s="3"/>
      <c r="I88" s="3"/>
      <c r="J88" s="3"/>
    </row>
    <row r="89" spans="6:10">
      <c r="F89" s="126"/>
      <c r="H89" s="3"/>
      <c r="I89" s="3"/>
      <c r="J89" s="3"/>
    </row>
    <row r="90" spans="6:10">
      <c r="F90" s="126"/>
      <c r="H90" s="3"/>
      <c r="I90" s="3"/>
      <c r="J90" s="3"/>
    </row>
    <row r="91" spans="6:10">
      <c r="F91" s="126"/>
      <c r="H91" s="3"/>
      <c r="I91" s="3"/>
      <c r="J91" s="3"/>
    </row>
    <row r="92" spans="6:10">
      <c r="F92" s="126"/>
      <c r="H92" s="3"/>
      <c r="I92" s="3"/>
      <c r="J92" s="3"/>
    </row>
    <row r="93" spans="6:10">
      <c r="F93" s="126"/>
      <c r="H93" s="3"/>
      <c r="I93" s="3"/>
      <c r="J93" s="3"/>
    </row>
    <row r="94" spans="6:10">
      <c r="F94" s="126"/>
      <c r="H94" s="3"/>
      <c r="I94" s="3"/>
      <c r="J94" s="3"/>
    </row>
    <row r="95" spans="6:10">
      <c r="F95" s="126"/>
      <c r="H95" s="3"/>
      <c r="I95" s="3"/>
      <c r="J95" s="3"/>
    </row>
    <row r="96" spans="6:10">
      <c r="F96" s="126"/>
      <c r="H96" s="3"/>
      <c r="I96" s="3"/>
      <c r="J96" s="3"/>
    </row>
    <row r="97" spans="6:10">
      <c r="F97" s="126"/>
      <c r="H97" s="3"/>
      <c r="I97" s="3"/>
      <c r="J97" s="3"/>
    </row>
    <row r="98" spans="6:10">
      <c r="F98" s="126"/>
      <c r="H98" s="3"/>
      <c r="I98" s="3"/>
      <c r="J98" s="3"/>
    </row>
    <row r="99" spans="6:10">
      <c r="F99" s="126"/>
      <c r="H99" s="3"/>
      <c r="I99" s="3"/>
      <c r="J99" s="3"/>
    </row>
    <row r="100" spans="6:10">
      <c r="F100" s="126"/>
      <c r="H100" s="3"/>
      <c r="I100" s="3"/>
      <c r="J100" s="3"/>
    </row>
    <row r="101" spans="6:10">
      <c r="F101" s="126"/>
      <c r="H101" s="3"/>
      <c r="I101" s="3"/>
      <c r="J101" s="3"/>
    </row>
    <row r="102" spans="6:10">
      <c r="F102" s="126"/>
      <c r="H102" s="3"/>
      <c r="I102" s="3"/>
      <c r="J102" s="3"/>
    </row>
    <row r="103" spans="6:10">
      <c r="F103" s="126"/>
      <c r="H103" s="3"/>
      <c r="I103" s="3"/>
      <c r="J103" s="3"/>
    </row>
    <row r="104" spans="6:10">
      <c r="F104" s="126"/>
      <c r="H104" s="3"/>
      <c r="I104" s="3"/>
      <c r="J104" s="3"/>
    </row>
    <row r="105" spans="6:10">
      <c r="F105" s="126"/>
      <c r="H105" s="3"/>
      <c r="I105" s="3"/>
      <c r="J105" s="3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14999847407452621"/>
  </sheetPr>
  <dimension ref="A1:S42"/>
  <sheetViews>
    <sheetView showGridLines="0" zoomScale="70" zoomScaleNormal="70" workbookViewId="0">
      <pane ySplit="10" topLeftCell="A11" activePane="bottomLeft" state="frozen"/>
      <selection activeCell="A31" sqref="A31"/>
      <selection pane="bottomLeft" activeCell="G21" sqref="G21"/>
    </sheetView>
  </sheetViews>
  <sheetFormatPr defaultColWidth="9.140625" defaultRowHeight="13.5"/>
  <cols>
    <col min="1" max="1" width="35.7109375" style="27" bestFit="1" customWidth="1"/>
    <col min="2" max="2" width="25.42578125" style="27" customWidth="1"/>
    <col min="3" max="3" width="13.28515625" style="27" bestFit="1" customWidth="1"/>
    <col min="4" max="4" width="11.28515625" style="27" bestFit="1" customWidth="1"/>
    <col min="5" max="5" width="13.28515625" style="27" bestFit="1" customWidth="1"/>
    <col min="6" max="6" width="22.5703125" style="27" bestFit="1" customWidth="1"/>
    <col min="7" max="7" width="11.28515625" style="27" bestFit="1" customWidth="1"/>
    <col min="8" max="8" width="12" style="27" bestFit="1" customWidth="1"/>
    <col min="9" max="9" width="10.28515625" style="27" bestFit="1" customWidth="1"/>
    <col min="10" max="10" width="11.5703125" style="27" customWidth="1"/>
    <col min="11" max="11" width="9.7109375" style="27" customWidth="1"/>
    <col min="12" max="12" width="1.7109375" style="27" customWidth="1"/>
    <col min="13" max="13" width="16.140625" style="27" customWidth="1"/>
    <col min="14" max="14" width="1.5703125" style="27" customWidth="1"/>
    <col min="15" max="15" width="9.7109375" style="27" customWidth="1"/>
    <col min="16" max="16" width="19.140625" style="27" customWidth="1"/>
    <col min="17" max="18" width="9.140625" style="27"/>
    <col min="19" max="19" width="11.85546875" style="27" bestFit="1" customWidth="1"/>
    <col min="20" max="16384" width="9.140625" style="27"/>
  </cols>
  <sheetData>
    <row r="1" spans="1:19">
      <c r="A1" s="341" t="s">
        <v>2</v>
      </c>
      <c r="B1" s="111"/>
    </row>
    <row r="2" spans="1:19">
      <c r="A2" s="112"/>
      <c r="B2" s="111"/>
    </row>
    <row r="3" spans="1:19" ht="17.25">
      <c r="A3" s="259" t="s">
        <v>3</v>
      </c>
      <c r="B3" s="261" t="str">
        <f>'11b- Afroepprijs Algemeen'!B3</f>
        <v>GVB Infra B.V.</v>
      </c>
    </row>
    <row r="4" spans="1:19" ht="17.25">
      <c r="A4" s="259" t="s">
        <v>1093</v>
      </c>
      <c r="B4" s="261" t="str">
        <f ca="1">MID(CELL("bestandsnaam",$C$9),SEARCH("]",CELL("bestandsnaam",$C$9),1)+1,256)</f>
        <v>9-Machinekosten</v>
      </c>
    </row>
    <row r="5" spans="1:19" ht="17.25">
      <c r="A5" s="250" t="str">
        <f>'2-Kosten per locatie'!A5</f>
        <v>Gebouw/plaats</v>
      </c>
      <c r="B5" s="348" t="str">
        <f>'2-Kosten per locatie'!C5</f>
        <v>Diverse</v>
      </c>
    </row>
    <row r="6" spans="1:19" ht="17.25">
      <c r="A6" s="250" t="str">
        <f>'2-Kosten per locatie'!A6</f>
        <v>Besteknummer</v>
      </c>
      <c r="B6" s="348" t="str">
        <f>'1-Inschrijfstaat'!B6</f>
        <v>2021-61</v>
      </c>
    </row>
    <row r="7" spans="1:19" ht="17.25">
      <c r="A7" s="250" t="str">
        <f>'2-Kosten per locatie'!A7</f>
        <v>Naam leverancier</v>
      </c>
      <c r="B7" s="348" t="str">
        <f>'1-Inschrijfstaat'!B7:D7</f>
        <v>Naam dienstverlener</v>
      </c>
    </row>
    <row r="8" spans="1:19" ht="15.75">
      <c r="A8" s="250" t="str">
        <f>'2-Kosten per locatie'!A8</f>
        <v>Prijspeil</v>
      </c>
      <c r="B8" s="11" t="str">
        <f>'1-Inschrijfstaat'!B8</f>
        <v>1 januari 2022</v>
      </c>
    </row>
    <row r="9" spans="1:19" ht="15.75">
      <c r="A9" s="250" t="str">
        <f>'2-Kosten per locatie'!A9</f>
        <v>Perceel</v>
      </c>
      <c r="B9" s="62" t="str">
        <f>'1-Inschrijfstaat'!B9</f>
        <v>1 Technische schoonmaak Algemeen</v>
      </c>
    </row>
    <row r="10" spans="1:19" ht="15.75">
      <c r="A10" s="45"/>
      <c r="B10" s="48"/>
    </row>
    <row r="11" spans="1:19" ht="6.75" customHeight="1"/>
    <row r="12" spans="1:19" s="41" customFormat="1" ht="156.75" customHeight="1">
      <c r="A12" s="339" t="s">
        <v>2081</v>
      </c>
      <c r="B12" s="339" t="s">
        <v>1096</v>
      </c>
      <c r="C12" s="340" t="s">
        <v>1097</v>
      </c>
      <c r="D12" s="340" t="s">
        <v>1098</v>
      </c>
      <c r="E12" s="340" t="s">
        <v>1099</v>
      </c>
      <c r="F12" s="340" t="s">
        <v>1100</v>
      </c>
      <c r="G12" s="340" t="s">
        <v>1101</v>
      </c>
      <c r="H12" s="340" t="s">
        <v>1102</v>
      </c>
      <c r="I12" s="340" t="s">
        <v>1386</v>
      </c>
      <c r="J12" s="340" t="s">
        <v>1103</v>
      </c>
      <c r="K12" s="340" t="s">
        <v>1104</v>
      </c>
      <c r="M12" s="339" t="s">
        <v>1105</v>
      </c>
      <c r="O12" s="340" t="s">
        <v>1106</v>
      </c>
      <c r="P12" s="339" t="s">
        <v>1107</v>
      </c>
    </row>
    <row r="13" spans="1:19">
      <c r="C13" s="113"/>
      <c r="D13" s="113"/>
      <c r="E13" s="114"/>
      <c r="F13" s="113"/>
      <c r="G13" s="113"/>
      <c r="I13" s="347">
        <v>0</v>
      </c>
      <c r="J13" s="347">
        <v>0</v>
      </c>
      <c r="K13" s="347">
        <v>0</v>
      </c>
      <c r="M13" s="115"/>
      <c r="O13" s="114"/>
    </row>
    <row r="14" spans="1:19">
      <c r="A14" s="342"/>
      <c r="B14" s="343"/>
      <c r="C14" s="344"/>
      <c r="D14" s="344"/>
      <c r="E14" s="116">
        <f>C14-D14</f>
        <v>0</v>
      </c>
      <c r="F14" s="345"/>
      <c r="G14" s="344"/>
      <c r="H14" s="117">
        <f>IF(F14=0,0,(E14-G14)/F14)</f>
        <v>0</v>
      </c>
      <c r="I14" s="118">
        <f>C14*$I$13</f>
        <v>0</v>
      </c>
      <c r="J14" s="117">
        <f>C14*$J$13</f>
        <v>0</v>
      </c>
      <c r="K14" s="119">
        <f>$K$13*C14</f>
        <v>0</v>
      </c>
      <c r="M14" s="120">
        <f>SUM(H14:K14)</f>
        <v>0</v>
      </c>
      <c r="O14" s="346"/>
      <c r="P14" s="117">
        <f>M14*O14</f>
        <v>0</v>
      </c>
      <c r="S14" s="401"/>
    </row>
    <row r="15" spans="1:19">
      <c r="A15" s="342"/>
      <c r="B15" s="343"/>
      <c r="C15" s="344"/>
      <c r="D15" s="344"/>
      <c r="E15" s="116">
        <f t="shared" ref="E15:E35" si="0">C15-D15</f>
        <v>0</v>
      </c>
      <c r="F15" s="345"/>
      <c r="G15" s="344"/>
      <c r="H15" s="117">
        <f t="shared" ref="H15:H35" si="1">IF(F15=0,0,(E15-G15)/F15)</f>
        <v>0</v>
      </c>
      <c r="I15" s="118">
        <f t="shared" ref="I15:I35" si="2">C15*$I$13</f>
        <v>0</v>
      </c>
      <c r="J15" s="117">
        <f t="shared" ref="J15:J35" si="3">C15*$J$13</f>
        <v>0</v>
      </c>
      <c r="K15" s="119">
        <f t="shared" ref="K15:K35" si="4">$K$13*C15</f>
        <v>0</v>
      </c>
      <c r="M15" s="120">
        <f t="shared" ref="M15:M35" si="5">SUM(H15:K15)</f>
        <v>0</v>
      </c>
      <c r="O15" s="346"/>
      <c r="P15" s="117">
        <f t="shared" ref="P15:P35" si="6">M15*O15</f>
        <v>0</v>
      </c>
      <c r="S15" s="401"/>
    </row>
    <row r="16" spans="1:19">
      <c r="A16" s="342"/>
      <c r="B16" s="343"/>
      <c r="C16" s="344"/>
      <c r="D16" s="344"/>
      <c r="E16" s="116">
        <f t="shared" si="0"/>
        <v>0</v>
      </c>
      <c r="F16" s="345"/>
      <c r="G16" s="344"/>
      <c r="H16" s="117">
        <f t="shared" si="1"/>
        <v>0</v>
      </c>
      <c r="I16" s="118">
        <f t="shared" si="2"/>
        <v>0</v>
      </c>
      <c r="J16" s="117">
        <f t="shared" si="3"/>
        <v>0</v>
      </c>
      <c r="K16" s="119">
        <f t="shared" si="4"/>
        <v>0</v>
      </c>
      <c r="M16" s="120">
        <f t="shared" si="5"/>
        <v>0</v>
      </c>
      <c r="O16" s="346"/>
      <c r="P16" s="117">
        <f t="shared" si="6"/>
        <v>0</v>
      </c>
    </row>
    <row r="17" spans="1:16">
      <c r="A17" s="342"/>
      <c r="B17" s="343"/>
      <c r="C17" s="344"/>
      <c r="D17" s="344"/>
      <c r="E17" s="116">
        <f t="shared" si="0"/>
        <v>0</v>
      </c>
      <c r="F17" s="345"/>
      <c r="G17" s="344"/>
      <c r="H17" s="117">
        <f t="shared" si="1"/>
        <v>0</v>
      </c>
      <c r="I17" s="118">
        <f t="shared" si="2"/>
        <v>0</v>
      </c>
      <c r="J17" s="117">
        <f t="shared" si="3"/>
        <v>0</v>
      </c>
      <c r="K17" s="119">
        <f t="shared" si="4"/>
        <v>0</v>
      </c>
      <c r="M17" s="120">
        <f t="shared" si="5"/>
        <v>0</v>
      </c>
      <c r="O17" s="346"/>
      <c r="P17" s="117">
        <f t="shared" si="6"/>
        <v>0</v>
      </c>
    </row>
    <row r="18" spans="1:16">
      <c r="A18" s="342"/>
      <c r="B18" s="343"/>
      <c r="C18" s="344"/>
      <c r="D18" s="344"/>
      <c r="E18" s="116">
        <f t="shared" si="0"/>
        <v>0</v>
      </c>
      <c r="F18" s="345"/>
      <c r="G18" s="344"/>
      <c r="H18" s="117">
        <f t="shared" si="1"/>
        <v>0</v>
      </c>
      <c r="I18" s="118">
        <f t="shared" si="2"/>
        <v>0</v>
      </c>
      <c r="J18" s="117">
        <f t="shared" si="3"/>
        <v>0</v>
      </c>
      <c r="K18" s="119">
        <f t="shared" si="4"/>
        <v>0</v>
      </c>
      <c r="M18" s="120">
        <f t="shared" si="5"/>
        <v>0</v>
      </c>
      <c r="O18" s="346"/>
      <c r="P18" s="117">
        <f t="shared" si="6"/>
        <v>0</v>
      </c>
    </row>
    <row r="19" spans="1:16">
      <c r="A19" s="342"/>
      <c r="B19" s="343"/>
      <c r="C19" s="344"/>
      <c r="D19" s="344"/>
      <c r="E19" s="116">
        <f t="shared" si="0"/>
        <v>0</v>
      </c>
      <c r="F19" s="345"/>
      <c r="G19" s="344"/>
      <c r="H19" s="117">
        <f t="shared" si="1"/>
        <v>0</v>
      </c>
      <c r="I19" s="118">
        <f t="shared" si="2"/>
        <v>0</v>
      </c>
      <c r="J19" s="117">
        <f t="shared" si="3"/>
        <v>0</v>
      </c>
      <c r="K19" s="119">
        <f t="shared" si="4"/>
        <v>0</v>
      </c>
      <c r="M19" s="120">
        <f t="shared" si="5"/>
        <v>0</v>
      </c>
      <c r="O19" s="346"/>
      <c r="P19" s="117">
        <f t="shared" si="6"/>
        <v>0</v>
      </c>
    </row>
    <row r="20" spans="1:16">
      <c r="A20" s="342"/>
      <c r="B20" s="343"/>
      <c r="C20" s="344"/>
      <c r="D20" s="344"/>
      <c r="E20" s="116">
        <f t="shared" si="0"/>
        <v>0</v>
      </c>
      <c r="F20" s="345"/>
      <c r="G20" s="344"/>
      <c r="H20" s="117">
        <f t="shared" si="1"/>
        <v>0</v>
      </c>
      <c r="I20" s="118">
        <f t="shared" si="2"/>
        <v>0</v>
      </c>
      <c r="J20" s="117">
        <f t="shared" si="3"/>
        <v>0</v>
      </c>
      <c r="K20" s="119">
        <f t="shared" si="4"/>
        <v>0</v>
      </c>
      <c r="M20" s="120">
        <f t="shared" si="5"/>
        <v>0</v>
      </c>
      <c r="O20" s="346"/>
      <c r="P20" s="117">
        <f t="shared" si="6"/>
        <v>0</v>
      </c>
    </row>
    <row r="21" spans="1:16">
      <c r="A21" s="342"/>
      <c r="B21" s="343"/>
      <c r="C21" s="344"/>
      <c r="D21" s="344"/>
      <c r="E21" s="116">
        <f t="shared" si="0"/>
        <v>0</v>
      </c>
      <c r="F21" s="345"/>
      <c r="G21" s="344"/>
      <c r="H21" s="117">
        <f t="shared" si="1"/>
        <v>0</v>
      </c>
      <c r="I21" s="118">
        <f t="shared" si="2"/>
        <v>0</v>
      </c>
      <c r="J21" s="117">
        <f t="shared" si="3"/>
        <v>0</v>
      </c>
      <c r="K21" s="119">
        <f t="shared" si="4"/>
        <v>0</v>
      </c>
      <c r="M21" s="120">
        <f t="shared" si="5"/>
        <v>0</v>
      </c>
      <c r="O21" s="346"/>
      <c r="P21" s="117">
        <f t="shared" si="6"/>
        <v>0</v>
      </c>
    </row>
    <row r="22" spans="1:16">
      <c r="A22" s="342"/>
      <c r="B22" s="343"/>
      <c r="C22" s="344"/>
      <c r="D22" s="344"/>
      <c r="E22" s="116">
        <f t="shared" si="0"/>
        <v>0</v>
      </c>
      <c r="F22" s="345"/>
      <c r="G22" s="344"/>
      <c r="H22" s="117">
        <f t="shared" si="1"/>
        <v>0</v>
      </c>
      <c r="I22" s="118">
        <f t="shared" si="2"/>
        <v>0</v>
      </c>
      <c r="J22" s="117">
        <f t="shared" si="3"/>
        <v>0</v>
      </c>
      <c r="K22" s="119">
        <f t="shared" si="4"/>
        <v>0</v>
      </c>
      <c r="M22" s="120">
        <f t="shared" si="5"/>
        <v>0</v>
      </c>
      <c r="O22" s="346"/>
      <c r="P22" s="117">
        <f t="shared" si="6"/>
        <v>0</v>
      </c>
    </row>
    <row r="23" spans="1:16">
      <c r="A23" s="342"/>
      <c r="B23" s="343"/>
      <c r="C23" s="344"/>
      <c r="D23" s="344"/>
      <c r="E23" s="116">
        <f t="shared" si="0"/>
        <v>0</v>
      </c>
      <c r="F23" s="345"/>
      <c r="G23" s="344"/>
      <c r="H23" s="117">
        <f t="shared" si="1"/>
        <v>0</v>
      </c>
      <c r="I23" s="118">
        <f t="shared" si="2"/>
        <v>0</v>
      </c>
      <c r="J23" s="117">
        <f t="shared" si="3"/>
        <v>0</v>
      </c>
      <c r="K23" s="119">
        <f t="shared" si="4"/>
        <v>0</v>
      </c>
      <c r="M23" s="120">
        <f t="shared" si="5"/>
        <v>0</v>
      </c>
      <c r="O23" s="346"/>
      <c r="P23" s="117">
        <f t="shared" si="6"/>
        <v>0</v>
      </c>
    </row>
    <row r="24" spans="1:16">
      <c r="A24" s="342"/>
      <c r="B24" s="343"/>
      <c r="C24" s="344"/>
      <c r="D24" s="344"/>
      <c r="E24" s="116">
        <f t="shared" si="0"/>
        <v>0</v>
      </c>
      <c r="F24" s="345"/>
      <c r="G24" s="344"/>
      <c r="H24" s="117">
        <f t="shared" si="1"/>
        <v>0</v>
      </c>
      <c r="I24" s="118">
        <f t="shared" si="2"/>
        <v>0</v>
      </c>
      <c r="J24" s="117">
        <f t="shared" si="3"/>
        <v>0</v>
      </c>
      <c r="K24" s="119">
        <f t="shared" si="4"/>
        <v>0</v>
      </c>
      <c r="M24" s="120">
        <f t="shared" si="5"/>
        <v>0</v>
      </c>
      <c r="O24" s="346"/>
      <c r="P24" s="117">
        <f t="shared" si="6"/>
        <v>0</v>
      </c>
    </row>
    <row r="25" spans="1:16">
      <c r="A25" s="342"/>
      <c r="B25" s="343"/>
      <c r="C25" s="344"/>
      <c r="D25" s="344"/>
      <c r="E25" s="116">
        <f t="shared" si="0"/>
        <v>0</v>
      </c>
      <c r="F25" s="345"/>
      <c r="G25" s="344"/>
      <c r="H25" s="117">
        <f t="shared" si="1"/>
        <v>0</v>
      </c>
      <c r="I25" s="118">
        <f t="shared" si="2"/>
        <v>0</v>
      </c>
      <c r="J25" s="117">
        <f t="shared" si="3"/>
        <v>0</v>
      </c>
      <c r="K25" s="119">
        <f t="shared" si="4"/>
        <v>0</v>
      </c>
      <c r="M25" s="120">
        <f t="shared" si="5"/>
        <v>0</v>
      </c>
      <c r="O25" s="346"/>
      <c r="P25" s="117">
        <f t="shared" si="6"/>
        <v>0</v>
      </c>
    </row>
    <row r="26" spans="1:16">
      <c r="A26" s="342"/>
      <c r="B26" s="343"/>
      <c r="C26" s="344"/>
      <c r="D26" s="344"/>
      <c r="E26" s="116">
        <f t="shared" si="0"/>
        <v>0</v>
      </c>
      <c r="F26" s="345"/>
      <c r="G26" s="344"/>
      <c r="H26" s="117">
        <f t="shared" si="1"/>
        <v>0</v>
      </c>
      <c r="I26" s="118">
        <f t="shared" si="2"/>
        <v>0</v>
      </c>
      <c r="J26" s="117">
        <f t="shared" si="3"/>
        <v>0</v>
      </c>
      <c r="K26" s="119">
        <f t="shared" si="4"/>
        <v>0</v>
      </c>
      <c r="M26" s="120">
        <f t="shared" si="5"/>
        <v>0</v>
      </c>
      <c r="O26" s="346"/>
      <c r="P26" s="117">
        <f t="shared" si="6"/>
        <v>0</v>
      </c>
    </row>
    <row r="27" spans="1:16">
      <c r="A27" s="342"/>
      <c r="B27" s="343"/>
      <c r="C27" s="344"/>
      <c r="D27" s="344"/>
      <c r="E27" s="116">
        <f t="shared" si="0"/>
        <v>0</v>
      </c>
      <c r="F27" s="345"/>
      <c r="G27" s="344"/>
      <c r="H27" s="117">
        <f t="shared" si="1"/>
        <v>0</v>
      </c>
      <c r="I27" s="118">
        <f t="shared" si="2"/>
        <v>0</v>
      </c>
      <c r="J27" s="117">
        <f t="shared" si="3"/>
        <v>0</v>
      </c>
      <c r="K27" s="119">
        <f t="shared" si="4"/>
        <v>0</v>
      </c>
      <c r="M27" s="120">
        <f t="shared" si="5"/>
        <v>0</v>
      </c>
      <c r="O27" s="346"/>
      <c r="P27" s="117">
        <f t="shared" si="6"/>
        <v>0</v>
      </c>
    </row>
    <row r="28" spans="1:16">
      <c r="A28" s="342"/>
      <c r="B28" s="343"/>
      <c r="C28" s="344"/>
      <c r="D28" s="344"/>
      <c r="E28" s="116">
        <f t="shared" si="0"/>
        <v>0</v>
      </c>
      <c r="F28" s="345"/>
      <c r="G28" s="344"/>
      <c r="H28" s="117">
        <f t="shared" si="1"/>
        <v>0</v>
      </c>
      <c r="I28" s="118">
        <f t="shared" si="2"/>
        <v>0</v>
      </c>
      <c r="J28" s="117">
        <f t="shared" si="3"/>
        <v>0</v>
      </c>
      <c r="K28" s="119">
        <f t="shared" si="4"/>
        <v>0</v>
      </c>
      <c r="M28" s="120">
        <f t="shared" si="5"/>
        <v>0</v>
      </c>
      <c r="O28" s="346"/>
      <c r="P28" s="117">
        <f t="shared" si="6"/>
        <v>0</v>
      </c>
    </row>
    <row r="29" spans="1:16">
      <c r="A29" s="342"/>
      <c r="B29" s="343"/>
      <c r="C29" s="344"/>
      <c r="D29" s="344"/>
      <c r="E29" s="116">
        <f t="shared" si="0"/>
        <v>0</v>
      </c>
      <c r="F29" s="345"/>
      <c r="G29" s="344"/>
      <c r="H29" s="117">
        <f t="shared" si="1"/>
        <v>0</v>
      </c>
      <c r="I29" s="118">
        <f t="shared" si="2"/>
        <v>0</v>
      </c>
      <c r="J29" s="117">
        <f t="shared" si="3"/>
        <v>0</v>
      </c>
      <c r="K29" s="119">
        <f t="shared" si="4"/>
        <v>0</v>
      </c>
      <c r="M29" s="120">
        <f t="shared" si="5"/>
        <v>0</v>
      </c>
      <c r="O29" s="346"/>
      <c r="P29" s="117">
        <f t="shared" si="6"/>
        <v>0</v>
      </c>
    </row>
    <row r="30" spans="1:16">
      <c r="A30" s="342"/>
      <c r="B30" s="343"/>
      <c r="C30" s="344"/>
      <c r="D30" s="344"/>
      <c r="E30" s="116">
        <f t="shared" si="0"/>
        <v>0</v>
      </c>
      <c r="F30" s="345"/>
      <c r="G30" s="344"/>
      <c r="H30" s="117">
        <f t="shared" si="1"/>
        <v>0</v>
      </c>
      <c r="I30" s="118">
        <f t="shared" si="2"/>
        <v>0</v>
      </c>
      <c r="J30" s="117">
        <f t="shared" si="3"/>
        <v>0</v>
      </c>
      <c r="K30" s="119">
        <f t="shared" si="4"/>
        <v>0</v>
      </c>
      <c r="M30" s="120">
        <f t="shared" si="5"/>
        <v>0</v>
      </c>
      <c r="O30" s="346"/>
      <c r="P30" s="117">
        <f t="shared" si="6"/>
        <v>0</v>
      </c>
    </row>
    <row r="31" spans="1:16">
      <c r="A31" s="342"/>
      <c r="B31" s="343"/>
      <c r="C31" s="344"/>
      <c r="D31" s="344"/>
      <c r="E31" s="116">
        <f t="shared" si="0"/>
        <v>0</v>
      </c>
      <c r="F31" s="345"/>
      <c r="G31" s="344"/>
      <c r="H31" s="117">
        <f t="shared" si="1"/>
        <v>0</v>
      </c>
      <c r="I31" s="118">
        <f t="shared" si="2"/>
        <v>0</v>
      </c>
      <c r="J31" s="117">
        <f t="shared" si="3"/>
        <v>0</v>
      </c>
      <c r="K31" s="119">
        <f t="shared" si="4"/>
        <v>0</v>
      </c>
      <c r="M31" s="120">
        <f t="shared" si="5"/>
        <v>0</v>
      </c>
      <c r="O31" s="346"/>
      <c r="P31" s="117">
        <f t="shared" si="6"/>
        <v>0</v>
      </c>
    </row>
    <row r="32" spans="1:16">
      <c r="A32" s="342"/>
      <c r="B32" s="343"/>
      <c r="C32" s="344"/>
      <c r="D32" s="344"/>
      <c r="E32" s="116">
        <f t="shared" si="0"/>
        <v>0</v>
      </c>
      <c r="F32" s="345"/>
      <c r="G32" s="344"/>
      <c r="H32" s="117">
        <f t="shared" si="1"/>
        <v>0</v>
      </c>
      <c r="I32" s="118">
        <f t="shared" si="2"/>
        <v>0</v>
      </c>
      <c r="J32" s="117">
        <f t="shared" si="3"/>
        <v>0</v>
      </c>
      <c r="K32" s="119">
        <f t="shared" si="4"/>
        <v>0</v>
      </c>
      <c r="M32" s="120">
        <f t="shared" si="5"/>
        <v>0</v>
      </c>
      <c r="O32" s="346"/>
      <c r="P32" s="117">
        <f t="shared" si="6"/>
        <v>0</v>
      </c>
    </row>
    <row r="33" spans="1:16">
      <c r="A33" s="342"/>
      <c r="B33" s="343"/>
      <c r="C33" s="344"/>
      <c r="D33" s="344"/>
      <c r="E33" s="116">
        <f t="shared" si="0"/>
        <v>0</v>
      </c>
      <c r="F33" s="345"/>
      <c r="G33" s="344"/>
      <c r="H33" s="117">
        <f t="shared" si="1"/>
        <v>0</v>
      </c>
      <c r="I33" s="118">
        <f t="shared" si="2"/>
        <v>0</v>
      </c>
      <c r="J33" s="117">
        <f t="shared" si="3"/>
        <v>0</v>
      </c>
      <c r="K33" s="119">
        <f t="shared" si="4"/>
        <v>0</v>
      </c>
      <c r="M33" s="120">
        <f t="shared" si="5"/>
        <v>0</v>
      </c>
      <c r="O33" s="346"/>
      <c r="P33" s="117">
        <f t="shared" si="6"/>
        <v>0</v>
      </c>
    </row>
    <row r="34" spans="1:16">
      <c r="A34" s="342"/>
      <c r="B34" s="343"/>
      <c r="C34" s="344"/>
      <c r="D34" s="344"/>
      <c r="E34" s="116">
        <f t="shared" si="0"/>
        <v>0</v>
      </c>
      <c r="F34" s="345"/>
      <c r="G34" s="344"/>
      <c r="H34" s="117">
        <f t="shared" si="1"/>
        <v>0</v>
      </c>
      <c r="I34" s="118">
        <f t="shared" si="2"/>
        <v>0</v>
      </c>
      <c r="J34" s="117">
        <f t="shared" si="3"/>
        <v>0</v>
      </c>
      <c r="K34" s="119">
        <f t="shared" si="4"/>
        <v>0</v>
      </c>
      <c r="M34" s="120">
        <f t="shared" si="5"/>
        <v>0</v>
      </c>
      <c r="O34" s="346"/>
      <c r="P34" s="117">
        <f t="shared" si="6"/>
        <v>0</v>
      </c>
    </row>
    <row r="35" spans="1:16">
      <c r="A35" s="342"/>
      <c r="B35" s="343"/>
      <c r="C35" s="344"/>
      <c r="D35" s="344"/>
      <c r="E35" s="116">
        <f t="shared" si="0"/>
        <v>0</v>
      </c>
      <c r="F35" s="345"/>
      <c r="G35" s="344"/>
      <c r="H35" s="117">
        <f t="shared" si="1"/>
        <v>0</v>
      </c>
      <c r="I35" s="118">
        <f t="shared" si="2"/>
        <v>0</v>
      </c>
      <c r="J35" s="117">
        <f t="shared" si="3"/>
        <v>0</v>
      </c>
      <c r="K35" s="119">
        <f t="shared" si="4"/>
        <v>0</v>
      </c>
      <c r="M35" s="120">
        <f t="shared" si="5"/>
        <v>0</v>
      </c>
      <c r="O35" s="346"/>
      <c r="P35" s="117">
        <f t="shared" si="6"/>
        <v>0</v>
      </c>
    </row>
    <row r="36" spans="1:16">
      <c r="A36" s="342"/>
      <c r="B36" s="343"/>
      <c r="C36" s="344"/>
      <c r="D36" s="344"/>
      <c r="E36" s="116">
        <f>C36-D36</f>
        <v>0</v>
      </c>
      <c r="F36" s="345"/>
      <c r="G36" s="344"/>
      <c r="H36" s="117">
        <f>IF(F36=0,0,(E36-G36)/F36)</f>
        <v>0</v>
      </c>
      <c r="I36" s="118">
        <f>C36*$I$13</f>
        <v>0</v>
      </c>
      <c r="J36" s="117">
        <f>C36*$J$13</f>
        <v>0</v>
      </c>
      <c r="K36" s="119">
        <f>$K$13*C36</f>
        <v>0</v>
      </c>
      <c r="M36" s="120">
        <f>SUM(H36:K36)</f>
        <v>0</v>
      </c>
      <c r="O36" s="346"/>
      <c r="P36" s="117">
        <f>M36*O36</f>
        <v>0</v>
      </c>
    </row>
    <row r="37" spans="1:16">
      <c r="A37" s="342"/>
      <c r="B37" s="343"/>
      <c r="C37" s="344"/>
      <c r="D37" s="344"/>
      <c r="E37" s="116">
        <f>C37-D37</f>
        <v>0</v>
      </c>
      <c r="F37" s="345"/>
      <c r="G37" s="344"/>
      <c r="H37" s="117">
        <f>IF(F37=0,0,(E37-G37)/F37)</f>
        <v>0</v>
      </c>
      <c r="I37" s="118">
        <f>C37*$I$13</f>
        <v>0</v>
      </c>
      <c r="J37" s="117">
        <f>C37*$J$13</f>
        <v>0</v>
      </c>
      <c r="K37" s="119">
        <f>$K$13*C37</f>
        <v>0</v>
      </c>
      <c r="M37" s="120">
        <f>SUM(H37:K37)</f>
        <v>0</v>
      </c>
      <c r="O37" s="346"/>
      <c r="P37" s="117">
        <f>M37*O37</f>
        <v>0</v>
      </c>
    </row>
    <row r="39" spans="1:16">
      <c r="A39" s="121" t="s">
        <v>5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3"/>
      <c r="O39" s="124">
        <f>SUM(O14:O37)</f>
        <v>0</v>
      </c>
      <c r="P39" s="125">
        <f>SUM(P14:P37)</f>
        <v>0</v>
      </c>
    </row>
    <row r="40" spans="1:16">
      <c r="A40" s="618"/>
      <c r="B40" s="618"/>
      <c r="C40" s="618"/>
      <c r="D40" s="618"/>
      <c r="E40" s="618"/>
      <c r="F40" s="618"/>
      <c r="G40" s="618"/>
      <c r="H40" s="618"/>
      <c r="I40" s="618"/>
      <c r="J40" s="618"/>
      <c r="K40" s="618"/>
      <c r="O40" s="619"/>
      <c r="P40" s="620"/>
    </row>
    <row r="41" spans="1:16" ht="15">
      <c r="A41" s="354" t="s">
        <v>1117</v>
      </c>
    </row>
    <row r="42" spans="1:16">
      <c r="A42" s="107" t="s">
        <v>2082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14999847407452621"/>
  </sheetPr>
  <dimension ref="A1:V71"/>
  <sheetViews>
    <sheetView showGridLines="0" zoomScale="70" zoomScaleNormal="70" workbookViewId="0">
      <pane ySplit="18" topLeftCell="A19" activePane="bottomLeft" state="frozen"/>
      <selection activeCell="F30" sqref="F30"/>
      <selection pane="bottomLeft" activeCell="F33" sqref="F33"/>
    </sheetView>
  </sheetViews>
  <sheetFormatPr defaultColWidth="8.7109375" defaultRowHeight="13.5"/>
  <cols>
    <col min="1" max="1" width="8.85546875" style="44" customWidth="1"/>
    <col min="2" max="2" width="21.42578125" style="43" bestFit="1" customWidth="1"/>
    <col min="3" max="4" width="21.42578125" style="43" customWidth="1"/>
    <col min="5" max="5" width="18" style="44" customWidth="1"/>
    <col min="6" max="6" width="19.140625" style="44" customWidth="1"/>
    <col min="7" max="7" width="11.85546875" style="44" customWidth="1"/>
    <col min="8" max="8" width="10.85546875" style="44" customWidth="1"/>
    <col min="9" max="9" width="11.85546875" style="44" customWidth="1"/>
    <col min="10" max="10" width="11.7109375" style="44" customWidth="1"/>
    <col min="11" max="11" width="18.140625" style="44" customWidth="1"/>
    <col min="12" max="12" width="7.5703125" style="414" customWidth="1"/>
    <col min="13" max="13" width="16.28515625" style="44" customWidth="1"/>
    <col min="14" max="14" width="2" style="44" customWidth="1"/>
    <col min="15" max="15" width="13.7109375" style="44" customWidth="1"/>
    <col min="16" max="16" width="3.85546875" style="44" customWidth="1"/>
    <col min="17" max="17" width="13.85546875" style="44" bestFit="1" customWidth="1"/>
    <col min="18" max="18" width="11.7109375" style="44" bestFit="1" customWidth="1"/>
    <col min="19" max="19" width="8.7109375" style="44"/>
    <col min="20" max="20" width="13.85546875" style="44" bestFit="1" customWidth="1"/>
    <col min="21" max="16384" width="8.7109375" style="44"/>
  </cols>
  <sheetData>
    <row r="1" spans="1:12">
      <c r="A1" s="368" t="s">
        <v>2</v>
      </c>
    </row>
    <row r="3" spans="1:12" ht="17.25">
      <c r="A3" s="250" t="s">
        <v>3</v>
      </c>
      <c r="C3" s="348" t="str">
        <f>'1-Inschrijfstaat'!B3</f>
        <v>GVB Infra B.V.</v>
      </c>
    </row>
    <row r="4" spans="1:12" ht="17.25">
      <c r="A4" s="250" t="s">
        <v>8</v>
      </c>
      <c r="C4" s="348" t="str">
        <f ca="1">MID(CELL("bestandsnaam",$D$12),SEARCH("]",CELL("bestandsnaam",$D$12),1)+1,256)</f>
        <v>10a-Periodieke beurt</v>
      </c>
    </row>
    <row r="5" spans="1:12" ht="17.25">
      <c r="A5" s="250" t="s">
        <v>4</v>
      </c>
      <c r="C5" s="348" t="str">
        <f>'1-Inschrijfstaat'!B5</f>
        <v>Diverse</v>
      </c>
    </row>
    <row r="6" spans="1:12" ht="17.25">
      <c r="A6" s="250" t="s">
        <v>9</v>
      </c>
      <c r="C6" s="348" t="str">
        <f>'1-Inschrijfstaat'!B6</f>
        <v>2021-61</v>
      </c>
    </row>
    <row r="7" spans="1:12" ht="17.25">
      <c r="A7" s="250" t="s">
        <v>6</v>
      </c>
      <c r="C7" s="348" t="str">
        <f>'1-Inschrijfstaat'!B7</f>
        <v>Naam dienstverlener</v>
      </c>
    </row>
    <row r="8" spans="1:12" ht="15.75">
      <c r="A8" s="250" t="s">
        <v>7</v>
      </c>
      <c r="C8" s="11" t="str">
        <f>'1-Inschrijfstaat'!B8</f>
        <v>1 januari 2022</v>
      </c>
    </row>
    <row r="9" spans="1:12" ht="15.75">
      <c r="A9" s="250" t="s">
        <v>0</v>
      </c>
      <c r="C9" s="47" t="str">
        <f>'1-Inschrijfstaat'!B9</f>
        <v>1 Technische schoonmaak Algemeen</v>
      </c>
    </row>
    <row r="10" spans="1:12" s="59" customFormat="1" ht="17.25">
      <c r="A10" s="260" t="s">
        <v>1085</v>
      </c>
      <c r="B10" s="86"/>
      <c r="C10" s="348" t="s">
        <v>2018</v>
      </c>
      <c r="D10" s="358"/>
      <c r="E10" s="358"/>
      <c r="F10" s="358"/>
      <c r="L10" s="60"/>
    </row>
    <row r="11" spans="1:12" ht="15.75">
      <c r="A11" s="45"/>
      <c r="C11" s="48"/>
    </row>
    <row r="12" spans="1:12" ht="13.5" customHeight="1">
      <c r="A12" s="677" t="s">
        <v>1690</v>
      </c>
      <c r="B12" s="677"/>
      <c r="C12" s="258" t="s">
        <v>2012</v>
      </c>
      <c r="D12" s="268" t="s">
        <v>1687</v>
      </c>
    </row>
    <row r="13" spans="1:12">
      <c r="A13" s="676" t="s">
        <v>1688</v>
      </c>
      <c r="B13" s="676"/>
      <c r="C13" s="455" t="s">
        <v>2013</v>
      </c>
      <c r="D13" s="369">
        <v>0</v>
      </c>
    </row>
    <row r="14" spans="1:12">
      <c r="A14" s="676" t="s">
        <v>1688</v>
      </c>
      <c r="B14" s="676"/>
      <c r="C14" s="575" t="s">
        <v>2078</v>
      </c>
      <c r="D14" s="369">
        <v>0</v>
      </c>
    </row>
    <row r="15" spans="1:12" ht="13.5" customHeight="1">
      <c r="A15" s="676" t="s">
        <v>1689</v>
      </c>
      <c r="B15" s="676"/>
      <c r="C15" s="455" t="s">
        <v>2013</v>
      </c>
      <c r="D15" s="369">
        <v>0</v>
      </c>
    </row>
    <row r="16" spans="1:12" ht="13.5" customHeight="1">
      <c r="A16" s="676" t="s">
        <v>1689</v>
      </c>
      <c r="B16" s="676"/>
      <c r="C16" s="575" t="s">
        <v>2078</v>
      </c>
      <c r="D16" s="369">
        <v>0</v>
      </c>
    </row>
    <row r="17" spans="1:15" ht="15.75">
      <c r="A17" s="45"/>
      <c r="B17" s="48"/>
    </row>
    <row r="18" spans="1:15" ht="51" customHeight="1">
      <c r="A18" s="372" t="s">
        <v>289</v>
      </c>
      <c r="B18" s="268" t="s">
        <v>290</v>
      </c>
      <c r="C18" s="268" t="s">
        <v>13</v>
      </c>
      <c r="D18" s="373" t="s">
        <v>1323</v>
      </c>
      <c r="E18" s="268" t="s">
        <v>1993</v>
      </c>
      <c r="F18" s="268" t="s">
        <v>1994</v>
      </c>
      <c r="G18" s="373" t="s">
        <v>1999</v>
      </c>
      <c r="H18" s="373" t="s">
        <v>2000</v>
      </c>
      <c r="I18" s="373" t="s">
        <v>1995</v>
      </c>
      <c r="J18" s="373" t="s">
        <v>1996</v>
      </c>
      <c r="K18" s="507" t="s">
        <v>2062</v>
      </c>
      <c r="L18" s="415" t="s">
        <v>1997</v>
      </c>
      <c r="M18" s="268" t="s">
        <v>1079</v>
      </c>
      <c r="O18" s="268" t="s">
        <v>1998</v>
      </c>
    </row>
    <row r="19" spans="1:15">
      <c r="A19" s="19">
        <v>102</v>
      </c>
      <c r="B19" s="28" t="s">
        <v>849</v>
      </c>
      <c r="C19" s="28" t="s">
        <v>180</v>
      </c>
      <c r="D19" s="25" t="s">
        <v>1349</v>
      </c>
      <c r="E19" s="370"/>
      <c r="F19" s="370"/>
      <c r="G19" s="49"/>
      <c r="H19" s="49"/>
      <c r="I19" s="631">
        <f>$D$14</f>
        <v>0</v>
      </c>
      <c r="J19" s="631">
        <f>$D$16</f>
        <v>0</v>
      </c>
      <c r="K19" s="50">
        <f>SUMIF('10b-Bereikbaarheidsvoorz.'!B:B,'10a-Periodieke beurt'!B19,'10b-Bereikbaarheidsvoorz.'!G:G)</f>
        <v>0</v>
      </c>
      <c r="L19" s="416">
        <v>2</v>
      </c>
      <c r="M19" s="50">
        <f>(((E19*I19)+(F19*J19))*L19)+(K19*L19)</f>
        <v>0</v>
      </c>
      <c r="O19" s="50">
        <f>M19/L19</f>
        <v>0</v>
      </c>
    </row>
    <row r="20" spans="1:15">
      <c r="A20" s="19">
        <v>103</v>
      </c>
      <c r="B20" s="28" t="s">
        <v>717</v>
      </c>
      <c r="C20" s="28" t="s">
        <v>180</v>
      </c>
      <c r="D20" s="25" t="s">
        <v>1349</v>
      </c>
      <c r="E20" s="370"/>
      <c r="F20" s="370"/>
      <c r="G20" s="49"/>
      <c r="H20" s="49"/>
      <c r="I20" s="631">
        <f>$D$14</f>
        <v>0</v>
      </c>
      <c r="J20" s="631">
        <f>$D$16</f>
        <v>0</v>
      </c>
      <c r="K20" s="50">
        <f>SUMIF('10b-Bereikbaarheidsvoorz.'!B:B,'10a-Periodieke beurt'!B20,'10b-Bereikbaarheidsvoorz.'!G:G)</f>
        <v>0</v>
      </c>
      <c r="L20" s="416">
        <v>2</v>
      </c>
      <c r="M20" s="50">
        <f>(((E20*I20)+(F20*J20))*L20)+(K20*L20)</f>
        <v>0</v>
      </c>
      <c r="O20" s="50">
        <f t="shared" ref="O20:O65" si="0">M20/L20</f>
        <v>0</v>
      </c>
    </row>
    <row r="21" spans="1:15">
      <c r="A21" s="19">
        <v>104</v>
      </c>
      <c r="B21" s="28" t="s">
        <v>165</v>
      </c>
      <c r="C21" s="28" t="s">
        <v>180</v>
      </c>
      <c r="D21" s="25" t="s">
        <v>1349</v>
      </c>
      <c r="E21" s="370"/>
      <c r="F21" s="370"/>
      <c r="G21" s="49"/>
      <c r="H21" s="49"/>
      <c r="I21" s="631">
        <f>$D$14</f>
        <v>0</v>
      </c>
      <c r="J21" s="631">
        <f>$D$16</f>
        <v>0</v>
      </c>
      <c r="K21" s="50">
        <f>SUMIF('10b-Bereikbaarheidsvoorz.'!B:B,'10a-Periodieke beurt'!B21,'10b-Bereikbaarheidsvoorz.'!G:G)</f>
        <v>0</v>
      </c>
      <c r="L21" s="416">
        <v>2</v>
      </c>
      <c r="M21" s="50">
        <f>(((E21*I21)+(F21*J21))*L21)+(K21*L21)</f>
        <v>0</v>
      </c>
      <c r="O21" s="50">
        <f t="shared" si="0"/>
        <v>0</v>
      </c>
    </row>
    <row r="22" spans="1:15">
      <c r="A22" s="19">
        <v>105</v>
      </c>
      <c r="B22" s="28" t="s">
        <v>850</v>
      </c>
      <c r="C22" s="28" t="s">
        <v>180</v>
      </c>
      <c r="D22" s="25" t="s">
        <v>1349</v>
      </c>
      <c r="E22" s="370"/>
      <c r="F22" s="370"/>
      <c r="G22" s="49"/>
      <c r="H22" s="49"/>
      <c r="I22" s="631">
        <f>$D$14</f>
        <v>0</v>
      </c>
      <c r="J22" s="631">
        <f>$D$16</f>
        <v>0</v>
      </c>
      <c r="K22" s="50">
        <f>SUMIF('10b-Bereikbaarheidsvoorz.'!B:B,'10a-Periodieke beurt'!B22,'10b-Bereikbaarheidsvoorz.'!G:G)</f>
        <v>0</v>
      </c>
      <c r="L22" s="416">
        <v>2</v>
      </c>
      <c r="M22" s="50">
        <f>(((E22*I22)+(F22*J22))*L22)+(K22*L22)</f>
        <v>0</v>
      </c>
      <c r="O22" s="50">
        <f t="shared" si="0"/>
        <v>0</v>
      </c>
    </row>
    <row r="23" spans="1:15">
      <c r="A23" s="19">
        <v>107</v>
      </c>
      <c r="B23" s="28" t="s">
        <v>288</v>
      </c>
      <c r="C23" s="28" t="s">
        <v>22</v>
      </c>
      <c r="D23" s="51" t="s">
        <v>1092</v>
      </c>
      <c r="E23" s="370"/>
      <c r="F23" s="370"/>
      <c r="G23" s="631">
        <f t="shared" ref="G23:G65" si="1">$D$13</f>
        <v>0</v>
      </c>
      <c r="H23" s="631">
        <f t="shared" ref="H23:H65" si="2">$D$15</f>
        <v>0</v>
      </c>
      <c r="I23" s="49"/>
      <c r="J23" s="49"/>
      <c r="K23" s="50">
        <f>SUMIF('10b-Bereikbaarheidsvoorz.'!B:B,'10a-Periodieke beurt'!B23,'10b-Bereikbaarheidsvoorz.'!G:G)</f>
        <v>0</v>
      </c>
      <c r="L23" s="416">
        <v>1</v>
      </c>
      <c r="M23" s="50">
        <f t="shared" ref="M23:M65" si="3">(((E23*G23)+(F23*H23))*L23)+(K23*L23)</f>
        <v>0</v>
      </c>
      <c r="O23" s="50">
        <f t="shared" si="0"/>
        <v>0</v>
      </c>
    </row>
    <row r="24" spans="1:15">
      <c r="A24" s="19">
        <v>108</v>
      </c>
      <c r="B24" s="28" t="s">
        <v>254</v>
      </c>
      <c r="C24" s="28" t="s">
        <v>22</v>
      </c>
      <c r="D24" s="51" t="s">
        <v>1092</v>
      </c>
      <c r="E24" s="370"/>
      <c r="F24" s="370"/>
      <c r="G24" s="631">
        <f t="shared" si="1"/>
        <v>0</v>
      </c>
      <c r="H24" s="631">
        <f t="shared" si="2"/>
        <v>0</v>
      </c>
      <c r="I24" s="49"/>
      <c r="J24" s="49"/>
      <c r="K24" s="50">
        <f>SUMIF('10b-Bereikbaarheidsvoorz.'!B:B,'10a-Periodieke beurt'!B24,'10b-Bereikbaarheidsvoorz.'!G:G)</f>
        <v>0</v>
      </c>
      <c r="L24" s="416">
        <v>1</v>
      </c>
      <c r="M24" s="50">
        <f t="shared" si="3"/>
        <v>0</v>
      </c>
      <c r="O24" s="50">
        <f t="shared" si="0"/>
        <v>0</v>
      </c>
    </row>
    <row r="25" spans="1:15">
      <c r="A25" s="19">
        <v>110</v>
      </c>
      <c r="B25" s="28" t="s">
        <v>103</v>
      </c>
      <c r="C25" s="28" t="s">
        <v>22</v>
      </c>
      <c r="D25" s="51" t="s">
        <v>1092</v>
      </c>
      <c r="E25" s="370"/>
      <c r="F25" s="370"/>
      <c r="G25" s="631">
        <f t="shared" si="1"/>
        <v>0</v>
      </c>
      <c r="H25" s="631">
        <f t="shared" si="2"/>
        <v>0</v>
      </c>
      <c r="I25" s="49"/>
      <c r="J25" s="49"/>
      <c r="K25" s="50">
        <f>SUMIF('10b-Bereikbaarheidsvoorz.'!B:B,'10a-Periodieke beurt'!B25,'10b-Bereikbaarheidsvoorz.'!G:G)</f>
        <v>0</v>
      </c>
      <c r="L25" s="416">
        <v>1</v>
      </c>
      <c r="M25" s="50">
        <f t="shared" si="3"/>
        <v>0</v>
      </c>
      <c r="O25" s="50">
        <f t="shared" si="0"/>
        <v>0</v>
      </c>
    </row>
    <row r="26" spans="1:15">
      <c r="A26" s="19">
        <v>111</v>
      </c>
      <c r="B26" s="28" t="s">
        <v>852</v>
      </c>
      <c r="C26" s="28" t="s">
        <v>22</v>
      </c>
      <c r="D26" s="51" t="s">
        <v>1092</v>
      </c>
      <c r="E26" s="370"/>
      <c r="F26" s="370"/>
      <c r="G26" s="631">
        <f t="shared" si="1"/>
        <v>0</v>
      </c>
      <c r="H26" s="631">
        <f t="shared" si="2"/>
        <v>0</v>
      </c>
      <c r="I26" s="49"/>
      <c r="J26" s="49"/>
      <c r="K26" s="50">
        <f>SUMIF('10b-Bereikbaarheidsvoorz.'!B:B,'10a-Periodieke beurt'!B26,'10b-Bereikbaarheidsvoorz.'!G:G)</f>
        <v>0</v>
      </c>
      <c r="L26" s="416">
        <v>2</v>
      </c>
      <c r="M26" s="50">
        <f t="shared" si="3"/>
        <v>0</v>
      </c>
      <c r="O26" s="50">
        <f t="shared" si="0"/>
        <v>0</v>
      </c>
    </row>
    <row r="27" spans="1:15">
      <c r="A27" s="19">
        <v>112</v>
      </c>
      <c r="B27" s="28" t="s">
        <v>140</v>
      </c>
      <c r="C27" s="28" t="s">
        <v>22</v>
      </c>
      <c r="D27" s="51" t="s">
        <v>1092</v>
      </c>
      <c r="E27" s="370"/>
      <c r="F27" s="370"/>
      <c r="G27" s="631">
        <f t="shared" si="1"/>
        <v>0</v>
      </c>
      <c r="H27" s="631">
        <f t="shared" si="2"/>
        <v>0</v>
      </c>
      <c r="I27" s="49"/>
      <c r="J27" s="49"/>
      <c r="K27" s="50">
        <f>SUMIF('10b-Bereikbaarheidsvoorz.'!B:B,'10a-Periodieke beurt'!B27,'10b-Bereikbaarheidsvoorz.'!G:G)</f>
        <v>0</v>
      </c>
      <c r="L27" s="416">
        <v>1</v>
      </c>
      <c r="M27" s="50">
        <f t="shared" si="3"/>
        <v>0</v>
      </c>
      <c r="O27" s="50">
        <f t="shared" si="0"/>
        <v>0</v>
      </c>
    </row>
    <row r="28" spans="1:15">
      <c r="A28" s="19">
        <v>113</v>
      </c>
      <c r="B28" s="28" t="s">
        <v>853</v>
      </c>
      <c r="C28" s="28" t="s">
        <v>22</v>
      </c>
      <c r="D28" s="51" t="s">
        <v>1092</v>
      </c>
      <c r="E28" s="370"/>
      <c r="F28" s="370"/>
      <c r="G28" s="631">
        <f t="shared" si="1"/>
        <v>0</v>
      </c>
      <c r="H28" s="631">
        <f t="shared" si="2"/>
        <v>0</v>
      </c>
      <c r="I28" s="49"/>
      <c r="J28" s="49"/>
      <c r="K28" s="50">
        <f>SUMIF('10b-Bereikbaarheidsvoorz.'!B:B,'10a-Periodieke beurt'!B28,'10b-Bereikbaarheidsvoorz.'!G:G)</f>
        <v>0</v>
      </c>
      <c r="L28" s="416">
        <v>1</v>
      </c>
      <c r="M28" s="50">
        <f t="shared" si="3"/>
        <v>0</v>
      </c>
      <c r="O28" s="50">
        <f t="shared" si="0"/>
        <v>0</v>
      </c>
    </row>
    <row r="29" spans="1:15">
      <c r="A29" s="19">
        <v>114</v>
      </c>
      <c r="B29" s="28" t="s">
        <v>21</v>
      </c>
      <c r="C29" s="28" t="s">
        <v>22</v>
      </c>
      <c r="D29" s="51" t="s">
        <v>1092</v>
      </c>
      <c r="E29" s="370"/>
      <c r="F29" s="370"/>
      <c r="G29" s="631">
        <f t="shared" si="1"/>
        <v>0</v>
      </c>
      <c r="H29" s="631">
        <f t="shared" si="2"/>
        <v>0</v>
      </c>
      <c r="I29" s="49"/>
      <c r="J29" s="49"/>
      <c r="K29" s="50">
        <f>SUMIF('10b-Bereikbaarheidsvoorz.'!B:B,'10a-Periodieke beurt'!B29,'10b-Bereikbaarheidsvoorz.'!G:G)</f>
        <v>0</v>
      </c>
      <c r="L29" s="416">
        <v>1</v>
      </c>
      <c r="M29" s="50">
        <f t="shared" si="3"/>
        <v>0</v>
      </c>
      <c r="O29" s="50">
        <f t="shared" si="0"/>
        <v>0</v>
      </c>
    </row>
    <row r="30" spans="1:15">
      <c r="A30" s="19">
        <v>115</v>
      </c>
      <c r="B30" s="28" t="s">
        <v>73</v>
      </c>
      <c r="C30" s="28" t="s">
        <v>74</v>
      </c>
      <c r="D30" s="51" t="s">
        <v>1092</v>
      </c>
      <c r="E30" s="370"/>
      <c r="F30" s="370"/>
      <c r="G30" s="631">
        <f t="shared" si="1"/>
        <v>0</v>
      </c>
      <c r="H30" s="631">
        <f t="shared" si="2"/>
        <v>0</v>
      </c>
      <c r="I30" s="49"/>
      <c r="J30" s="49"/>
      <c r="K30" s="50">
        <f>SUMIF('10b-Bereikbaarheidsvoorz.'!B:B,'10a-Periodieke beurt'!B30,'10b-Bereikbaarheidsvoorz.'!G:G)</f>
        <v>0</v>
      </c>
      <c r="L30" s="416">
        <v>1</v>
      </c>
      <c r="M30" s="50">
        <f t="shared" si="3"/>
        <v>0</v>
      </c>
      <c r="O30" s="50">
        <f t="shared" si="0"/>
        <v>0</v>
      </c>
    </row>
    <row r="31" spans="1:15">
      <c r="A31" s="19">
        <v>116</v>
      </c>
      <c r="B31" s="28" t="s">
        <v>237</v>
      </c>
      <c r="C31" s="28" t="s">
        <v>22</v>
      </c>
      <c r="D31" s="51" t="s">
        <v>1092</v>
      </c>
      <c r="E31" s="370"/>
      <c r="F31" s="370"/>
      <c r="G31" s="631">
        <f t="shared" si="1"/>
        <v>0</v>
      </c>
      <c r="H31" s="631">
        <f t="shared" si="2"/>
        <v>0</v>
      </c>
      <c r="I31" s="49"/>
      <c r="J31" s="49"/>
      <c r="K31" s="50">
        <f>SUMIF('10b-Bereikbaarheidsvoorz.'!B:B,'10a-Periodieke beurt'!B31,'10b-Bereikbaarheidsvoorz.'!G:G)</f>
        <v>0</v>
      </c>
      <c r="L31" s="416">
        <v>1</v>
      </c>
      <c r="M31" s="50">
        <f t="shared" si="3"/>
        <v>0</v>
      </c>
      <c r="O31" s="50">
        <f t="shared" si="0"/>
        <v>0</v>
      </c>
    </row>
    <row r="32" spans="1:15">
      <c r="A32" s="19">
        <v>117</v>
      </c>
      <c r="B32" s="28" t="s">
        <v>296</v>
      </c>
      <c r="C32" s="28" t="s">
        <v>22</v>
      </c>
      <c r="D32" s="51" t="s">
        <v>1092</v>
      </c>
      <c r="E32" s="370"/>
      <c r="F32" s="370"/>
      <c r="G32" s="631">
        <f t="shared" si="1"/>
        <v>0</v>
      </c>
      <c r="H32" s="631">
        <f t="shared" si="2"/>
        <v>0</v>
      </c>
      <c r="I32" s="49"/>
      <c r="J32" s="49"/>
      <c r="K32" s="50">
        <f>SUMIF('10b-Bereikbaarheidsvoorz.'!B:B,'10a-Periodieke beurt'!B32,'10b-Bereikbaarheidsvoorz.'!G:G)</f>
        <v>0</v>
      </c>
      <c r="L32" s="416">
        <v>1</v>
      </c>
      <c r="M32" s="50">
        <f t="shared" si="3"/>
        <v>0</v>
      </c>
      <c r="O32" s="50">
        <f t="shared" si="0"/>
        <v>0</v>
      </c>
    </row>
    <row r="33" spans="1:15">
      <c r="A33" s="19">
        <v>118</v>
      </c>
      <c r="B33" s="28" t="s">
        <v>198</v>
      </c>
      <c r="C33" s="28" t="s">
        <v>22</v>
      </c>
      <c r="D33" s="51" t="s">
        <v>1092</v>
      </c>
      <c r="E33" s="370"/>
      <c r="F33" s="370"/>
      <c r="G33" s="631">
        <f t="shared" si="1"/>
        <v>0</v>
      </c>
      <c r="H33" s="631">
        <f t="shared" si="2"/>
        <v>0</v>
      </c>
      <c r="I33" s="49"/>
      <c r="J33" s="49"/>
      <c r="K33" s="50">
        <f>SUMIF('10b-Bereikbaarheidsvoorz.'!B:B,'10a-Periodieke beurt'!B33,'10b-Bereikbaarheidsvoorz.'!G:G)</f>
        <v>0</v>
      </c>
      <c r="L33" s="416">
        <v>1</v>
      </c>
      <c r="M33" s="50">
        <f t="shared" si="3"/>
        <v>0</v>
      </c>
      <c r="O33" s="50">
        <f t="shared" si="0"/>
        <v>0</v>
      </c>
    </row>
    <row r="34" spans="1:15">
      <c r="A34" s="19">
        <v>119</v>
      </c>
      <c r="B34" s="28" t="s">
        <v>310</v>
      </c>
      <c r="C34" s="28" t="s">
        <v>22</v>
      </c>
      <c r="D34" s="51" t="s">
        <v>1092</v>
      </c>
      <c r="E34" s="370"/>
      <c r="F34" s="370"/>
      <c r="G34" s="631">
        <f t="shared" si="1"/>
        <v>0</v>
      </c>
      <c r="H34" s="631">
        <f t="shared" si="2"/>
        <v>0</v>
      </c>
      <c r="I34" s="49"/>
      <c r="J34" s="49"/>
      <c r="K34" s="50">
        <f>SUMIF('10b-Bereikbaarheidsvoorz.'!B:B,'10a-Periodieke beurt'!B34,'10b-Bereikbaarheidsvoorz.'!G:G)</f>
        <v>0</v>
      </c>
      <c r="L34" s="416">
        <v>1</v>
      </c>
      <c r="M34" s="50">
        <f t="shared" si="3"/>
        <v>0</v>
      </c>
      <c r="O34" s="50">
        <f t="shared" si="0"/>
        <v>0</v>
      </c>
    </row>
    <row r="35" spans="1:15">
      <c r="A35" s="19">
        <v>120</v>
      </c>
      <c r="B35" s="28" t="s">
        <v>300</v>
      </c>
      <c r="C35" s="28" t="s">
        <v>22</v>
      </c>
      <c r="D35" s="51" t="s">
        <v>1092</v>
      </c>
      <c r="E35" s="370"/>
      <c r="F35" s="370"/>
      <c r="G35" s="631">
        <f t="shared" si="1"/>
        <v>0</v>
      </c>
      <c r="H35" s="631">
        <f t="shared" si="2"/>
        <v>0</v>
      </c>
      <c r="I35" s="49"/>
      <c r="J35" s="49"/>
      <c r="K35" s="50">
        <f>SUMIF('10b-Bereikbaarheidsvoorz.'!B:B,'10a-Periodieke beurt'!B35,'10b-Bereikbaarheidsvoorz.'!G:G)</f>
        <v>0</v>
      </c>
      <c r="L35" s="416">
        <v>1</v>
      </c>
      <c r="M35" s="50">
        <f t="shared" si="3"/>
        <v>0</v>
      </c>
      <c r="O35" s="50">
        <f t="shared" si="0"/>
        <v>0</v>
      </c>
    </row>
    <row r="36" spans="1:15">
      <c r="A36" s="19">
        <v>121</v>
      </c>
      <c r="B36" s="28" t="s">
        <v>181</v>
      </c>
      <c r="C36" s="28" t="s">
        <v>22</v>
      </c>
      <c r="D36" s="51" t="s">
        <v>1092</v>
      </c>
      <c r="E36" s="370"/>
      <c r="F36" s="370"/>
      <c r="G36" s="631">
        <f t="shared" si="1"/>
        <v>0</v>
      </c>
      <c r="H36" s="631">
        <f t="shared" si="2"/>
        <v>0</v>
      </c>
      <c r="I36" s="49"/>
      <c r="J36" s="49"/>
      <c r="K36" s="50">
        <f>SUMIF('10b-Bereikbaarheidsvoorz.'!B:B,'10a-Periodieke beurt'!B36,'10b-Bereikbaarheidsvoorz.'!G:G)</f>
        <v>0</v>
      </c>
      <c r="L36" s="416">
        <v>1</v>
      </c>
      <c r="M36" s="50">
        <f t="shared" si="3"/>
        <v>0</v>
      </c>
      <c r="O36" s="50">
        <f t="shared" si="0"/>
        <v>0</v>
      </c>
    </row>
    <row r="37" spans="1:15">
      <c r="A37" s="19">
        <v>1001</v>
      </c>
      <c r="B37" s="28" t="s">
        <v>1038</v>
      </c>
      <c r="C37" s="28" t="s">
        <v>1042</v>
      </c>
      <c r="D37" s="51" t="s">
        <v>1092</v>
      </c>
      <c r="E37" s="370"/>
      <c r="F37" s="370"/>
      <c r="G37" s="631">
        <f t="shared" si="1"/>
        <v>0</v>
      </c>
      <c r="H37" s="631">
        <f t="shared" si="2"/>
        <v>0</v>
      </c>
      <c r="I37" s="49"/>
      <c r="J37" s="49"/>
      <c r="K37" s="50">
        <f>SUMIF('10b-Bereikbaarheidsvoorz.'!B:B,'10a-Periodieke beurt'!B37,'10b-Bereikbaarheidsvoorz.'!G:G)</f>
        <v>0</v>
      </c>
      <c r="L37" s="416">
        <v>1</v>
      </c>
      <c r="M37" s="50">
        <f t="shared" si="3"/>
        <v>0</v>
      </c>
      <c r="O37" s="50">
        <f t="shared" si="0"/>
        <v>0</v>
      </c>
    </row>
    <row r="38" spans="1:15">
      <c r="A38" s="19">
        <v>1002</v>
      </c>
      <c r="B38" s="28" t="s">
        <v>1069</v>
      </c>
      <c r="C38" s="28" t="s">
        <v>1042</v>
      </c>
      <c r="D38" s="51" t="s">
        <v>1092</v>
      </c>
      <c r="E38" s="370"/>
      <c r="F38" s="370"/>
      <c r="G38" s="631">
        <f t="shared" si="1"/>
        <v>0</v>
      </c>
      <c r="H38" s="631">
        <f t="shared" si="2"/>
        <v>0</v>
      </c>
      <c r="I38" s="49"/>
      <c r="J38" s="49"/>
      <c r="K38" s="50">
        <f>SUMIF('10b-Bereikbaarheidsvoorz.'!B:B,'10a-Periodieke beurt'!B38,'10b-Bereikbaarheidsvoorz.'!G:G)</f>
        <v>0</v>
      </c>
      <c r="L38" s="416">
        <v>1</v>
      </c>
      <c r="M38" s="50">
        <f t="shared" si="3"/>
        <v>0</v>
      </c>
      <c r="O38" s="50">
        <f t="shared" si="0"/>
        <v>0</v>
      </c>
    </row>
    <row r="39" spans="1:15">
      <c r="A39" s="52">
        <v>201</v>
      </c>
      <c r="B39" s="53" t="s">
        <v>1536</v>
      </c>
      <c r="C39" s="53" t="s">
        <v>1403</v>
      </c>
      <c r="D39" s="51" t="s">
        <v>1092</v>
      </c>
      <c r="E39" s="371"/>
      <c r="F39" s="370"/>
      <c r="G39" s="631">
        <f t="shared" si="1"/>
        <v>0</v>
      </c>
      <c r="H39" s="631">
        <f t="shared" si="2"/>
        <v>0</v>
      </c>
      <c r="I39" s="49"/>
      <c r="J39" s="49"/>
      <c r="K39" s="50">
        <f>SUMIF('10b-Bereikbaarheidsvoorz.'!B:B,'10a-Periodieke beurt'!B39,'10b-Bereikbaarheidsvoorz.'!G:G)</f>
        <v>0</v>
      </c>
      <c r="L39" s="417">
        <v>1</v>
      </c>
      <c r="M39" s="50">
        <f t="shared" si="3"/>
        <v>0</v>
      </c>
      <c r="O39" s="50">
        <f t="shared" si="0"/>
        <v>0</v>
      </c>
    </row>
    <row r="40" spans="1:15">
      <c r="A40" s="52">
        <v>202</v>
      </c>
      <c r="B40" s="53" t="s">
        <v>1404</v>
      </c>
      <c r="C40" s="53" t="s">
        <v>1403</v>
      </c>
      <c r="D40" s="51" t="s">
        <v>1092</v>
      </c>
      <c r="E40" s="371"/>
      <c r="F40" s="370"/>
      <c r="G40" s="631">
        <f t="shared" si="1"/>
        <v>0</v>
      </c>
      <c r="H40" s="631">
        <f t="shared" si="2"/>
        <v>0</v>
      </c>
      <c r="I40" s="49"/>
      <c r="J40" s="49"/>
      <c r="K40" s="50">
        <f>SUMIF('10b-Bereikbaarheidsvoorz.'!B:B,'10a-Periodieke beurt'!B40,'10b-Bereikbaarheidsvoorz.'!G:G)</f>
        <v>0</v>
      </c>
      <c r="L40" s="417">
        <v>1</v>
      </c>
      <c r="M40" s="50">
        <f t="shared" si="3"/>
        <v>0</v>
      </c>
      <c r="O40" s="50">
        <f t="shared" si="0"/>
        <v>0</v>
      </c>
    </row>
    <row r="41" spans="1:15">
      <c r="A41" s="52">
        <v>203</v>
      </c>
      <c r="B41" s="53" t="s">
        <v>1405</v>
      </c>
      <c r="C41" s="53" t="s">
        <v>1403</v>
      </c>
      <c r="D41" s="51" t="s">
        <v>1092</v>
      </c>
      <c r="E41" s="371"/>
      <c r="F41" s="370"/>
      <c r="G41" s="631">
        <f t="shared" si="1"/>
        <v>0</v>
      </c>
      <c r="H41" s="631">
        <f t="shared" si="2"/>
        <v>0</v>
      </c>
      <c r="I41" s="49"/>
      <c r="J41" s="49"/>
      <c r="K41" s="50">
        <f>SUMIF('10b-Bereikbaarheidsvoorz.'!B:B,'10a-Periodieke beurt'!B41,'10b-Bereikbaarheidsvoorz.'!G:G)</f>
        <v>0</v>
      </c>
      <c r="L41" s="417">
        <v>1</v>
      </c>
      <c r="M41" s="50">
        <f t="shared" si="3"/>
        <v>0</v>
      </c>
      <c r="O41" s="50">
        <f t="shared" si="0"/>
        <v>0</v>
      </c>
    </row>
    <row r="42" spans="1:15">
      <c r="A42" s="52">
        <v>204</v>
      </c>
      <c r="B42" s="53" t="s">
        <v>1406</v>
      </c>
      <c r="C42" s="53" t="s">
        <v>1403</v>
      </c>
      <c r="D42" s="51" t="s">
        <v>1092</v>
      </c>
      <c r="E42" s="371"/>
      <c r="F42" s="370"/>
      <c r="G42" s="631">
        <f t="shared" si="1"/>
        <v>0</v>
      </c>
      <c r="H42" s="631">
        <f t="shared" si="2"/>
        <v>0</v>
      </c>
      <c r="I42" s="49"/>
      <c r="J42" s="49"/>
      <c r="K42" s="50">
        <f>SUMIF('10b-Bereikbaarheidsvoorz.'!B:B,'10a-Periodieke beurt'!B42,'10b-Bereikbaarheidsvoorz.'!G:G)</f>
        <v>0</v>
      </c>
      <c r="L42" s="417">
        <v>1</v>
      </c>
      <c r="M42" s="50">
        <f t="shared" si="3"/>
        <v>0</v>
      </c>
      <c r="O42" s="50">
        <f t="shared" si="0"/>
        <v>0</v>
      </c>
    </row>
    <row r="43" spans="1:15">
      <c r="A43" s="52">
        <v>205</v>
      </c>
      <c r="B43" s="53" t="s">
        <v>1407</v>
      </c>
      <c r="C43" s="53" t="s">
        <v>1403</v>
      </c>
      <c r="D43" s="51" t="s">
        <v>1092</v>
      </c>
      <c r="E43" s="371"/>
      <c r="F43" s="370"/>
      <c r="G43" s="631">
        <f t="shared" si="1"/>
        <v>0</v>
      </c>
      <c r="H43" s="631">
        <f t="shared" si="2"/>
        <v>0</v>
      </c>
      <c r="I43" s="49"/>
      <c r="J43" s="49"/>
      <c r="K43" s="50">
        <f>SUMIF('10b-Bereikbaarheidsvoorz.'!B:B,'10a-Periodieke beurt'!B43,'10b-Bereikbaarheidsvoorz.'!G:G)</f>
        <v>0</v>
      </c>
      <c r="L43" s="417">
        <v>1</v>
      </c>
      <c r="M43" s="50">
        <f t="shared" si="3"/>
        <v>0</v>
      </c>
      <c r="O43" s="50">
        <f t="shared" si="0"/>
        <v>0</v>
      </c>
    </row>
    <row r="44" spans="1:15">
      <c r="A44" s="52">
        <v>206</v>
      </c>
      <c r="B44" s="53" t="s">
        <v>1408</v>
      </c>
      <c r="C44" s="53" t="s">
        <v>1403</v>
      </c>
      <c r="D44" s="51" t="s">
        <v>1092</v>
      </c>
      <c r="E44" s="371"/>
      <c r="F44" s="370"/>
      <c r="G44" s="631">
        <f t="shared" si="1"/>
        <v>0</v>
      </c>
      <c r="H44" s="631">
        <f t="shared" si="2"/>
        <v>0</v>
      </c>
      <c r="I44" s="49"/>
      <c r="J44" s="49"/>
      <c r="K44" s="50">
        <f>SUMIF('10b-Bereikbaarheidsvoorz.'!B:B,'10a-Periodieke beurt'!B44,'10b-Bereikbaarheidsvoorz.'!G:G)</f>
        <v>0</v>
      </c>
      <c r="L44" s="417">
        <v>1</v>
      </c>
      <c r="M44" s="50">
        <f t="shared" si="3"/>
        <v>0</v>
      </c>
      <c r="O44" s="50">
        <f t="shared" si="0"/>
        <v>0</v>
      </c>
    </row>
    <row r="45" spans="1:15">
      <c r="A45" s="52">
        <v>207</v>
      </c>
      <c r="B45" s="53" t="s">
        <v>1409</v>
      </c>
      <c r="C45" s="53" t="s">
        <v>1403</v>
      </c>
      <c r="D45" s="51" t="s">
        <v>1092</v>
      </c>
      <c r="E45" s="371"/>
      <c r="F45" s="370"/>
      <c r="G45" s="631">
        <f t="shared" si="1"/>
        <v>0</v>
      </c>
      <c r="H45" s="631">
        <f t="shared" si="2"/>
        <v>0</v>
      </c>
      <c r="I45" s="49"/>
      <c r="J45" s="49"/>
      <c r="K45" s="50">
        <f>SUMIF('10b-Bereikbaarheidsvoorz.'!B:B,'10a-Periodieke beurt'!B45,'10b-Bereikbaarheidsvoorz.'!G:G)</f>
        <v>0</v>
      </c>
      <c r="L45" s="417">
        <v>1</v>
      </c>
      <c r="M45" s="50">
        <f t="shared" si="3"/>
        <v>0</v>
      </c>
      <c r="O45" s="50">
        <f t="shared" si="0"/>
        <v>0</v>
      </c>
    </row>
    <row r="46" spans="1:15">
      <c r="A46" s="52">
        <v>208</v>
      </c>
      <c r="B46" s="53" t="s">
        <v>1668</v>
      </c>
      <c r="C46" s="53" t="s">
        <v>1403</v>
      </c>
      <c r="D46" s="51" t="s">
        <v>1092</v>
      </c>
      <c r="E46" s="371"/>
      <c r="F46" s="370"/>
      <c r="G46" s="631">
        <f t="shared" si="1"/>
        <v>0</v>
      </c>
      <c r="H46" s="631">
        <f t="shared" si="2"/>
        <v>0</v>
      </c>
      <c r="I46" s="49"/>
      <c r="J46" s="49"/>
      <c r="K46" s="50">
        <f>SUMIF('10b-Bereikbaarheidsvoorz.'!B:B,'10a-Periodieke beurt'!B46,'10b-Bereikbaarheidsvoorz.'!G:G)</f>
        <v>0</v>
      </c>
      <c r="L46" s="417">
        <v>1</v>
      </c>
      <c r="M46" s="50">
        <f t="shared" si="3"/>
        <v>0</v>
      </c>
      <c r="O46" s="50">
        <f t="shared" si="0"/>
        <v>0</v>
      </c>
    </row>
    <row r="47" spans="1:15">
      <c r="A47" s="52">
        <v>209</v>
      </c>
      <c r="B47" s="53" t="s">
        <v>1669</v>
      </c>
      <c r="C47" s="53" t="s">
        <v>1403</v>
      </c>
      <c r="D47" s="51" t="s">
        <v>1092</v>
      </c>
      <c r="E47" s="371"/>
      <c r="F47" s="370"/>
      <c r="G47" s="631">
        <f t="shared" si="1"/>
        <v>0</v>
      </c>
      <c r="H47" s="631">
        <f t="shared" si="2"/>
        <v>0</v>
      </c>
      <c r="I47" s="49"/>
      <c r="J47" s="49"/>
      <c r="K47" s="50">
        <f>SUMIF('10b-Bereikbaarheidsvoorz.'!B:B,'10a-Periodieke beurt'!B47,'10b-Bereikbaarheidsvoorz.'!G:G)</f>
        <v>0</v>
      </c>
      <c r="L47" s="417">
        <v>1</v>
      </c>
      <c r="M47" s="50">
        <f t="shared" si="3"/>
        <v>0</v>
      </c>
      <c r="O47" s="50">
        <f t="shared" si="0"/>
        <v>0</v>
      </c>
    </row>
    <row r="48" spans="1:15">
      <c r="A48" s="52">
        <v>210</v>
      </c>
      <c r="B48" s="53" t="s">
        <v>1670</v>
      </c>
      <c r="C48" s="53" t="s">
        <v>1403</v>
      </c>
      <c r="D48" s="51" t="s">
        <v>1092</v>
      </c>
      <c r="E48" s="371"/>
      <c r="F48" s="370"/>
      <c r="G48" s="631">
        <f t="shared" si="1"/>
        <v>0</v>
      </c>
      <c r="H48" s="631">
        <f t="shared" si="2"/>
        <v>0</v>
      </c>
      <c r="I48" s="49"/>
      <c r="J48" s="49"/>
      <c r="K48" s="50">
        <f>SUMIF('10b-Bereikbaarheidsvoorz.'!B:B,'10a-Periodieke beurt'!B48,'10b-Bereikbaarheidsvoorz.'!G:G)</f>
        <v>0</v>
      </c>
      <c r="L48" s="417">
        <v>1</v>
      </c>
      <c r="M48" s="50">
        <f t="shared" si="3"/>
        <v>0</v>
      </c>
      <c r="O48" s="50">
        <f t="shared" si="0"/>
        <v>0</v>
      </c>
    </row>
    <row r="49" spans="1:15">
      <c r="A49" s="52">
        <v>211</v>
      </c>
      <c r="B49" s="53" t="s">
        <v>1671</v>
      </c>
      <c r="C49" s="53" t="s">
        <v>1403</v>
      </c>
      <c r="D49" s="51" t="s">
        <v>1092</v>
      </c>
      <c r="E49" s="371"/>
      <c r="F49" s="370"/>
      <c r="G49" s="631">
        <f t="shared" si="1"/>
        <v>0</v>
      </c>
      <c r="H49" s="631">
        <f t="shared" si="2"/>
        <v>0</v>
      </c>
      <c r="I49" s="49"/>
      <c r="J49" s="49"/>
      <c r="K49" s="50">
        <f>SUMIF('10b-Bereikbaarheidsvoorz.'!B:B,'10a-Periodieke beurt'!B49,'10b-Bereikbaarheidsvoorz.'!G:G)</f>
        <v>0</v>
      </c>
      <c r="L49" s="417">
        <v>1</v>
      </c>
      <c r="M49" s="50">
        <f t="shared" si="3"/>
        <v>0</v>
      </c>
      <c r="O49" s="50">
        <f t="shared" si="0"/>
        <v>0</v>
      </c>
    </row>
    <row r="50" spans="1:15">
      <c r="A50" s="52">
        <v>212</v>
      </c>
      <c r="B50" s="53" t="s">
        <v>1672</v>
      </c>
      <c r="C50" s="53" t="s">
        <v>1403</v>
      </c>
      <c r="D50" s="51" t="s">
        <v>1092</v>
      </c>
      <c r="E50" s="371"/>
      <c r="F50" s="370"/>
      <c r="G50" s="631">
        <f t="shared" si="1"/>
        <v>0</v>
      </c>
      <c r="H50" s="631">
        <f t="shared" si="2"/>
        <v>0</v>
      </c>
      <c r="I50" s="49"/>
      <c r="J50" s="49"/>
      <c r="K50" s="50">
        <f>SUMIF('10b-Bereikbaarheidsvoorz.'!B:B,'10a-Periodieke beurt'!B50,'10b-Bereikbaarheidsvoorz.'!G:G)</f>
        <v>0</v>
      </c>
      <c r="L50" s="417">
        <v>1</v>
      </c>
      <c r="M50" s="50">
        <f t="shared" si="3"/>
        <v>0</v>
      </c>
      <c r="O50" s="50">
        <f t="shared" si="0"/>
        <v>0</v>
      </c>
    </row>
    <row r="51" spans="1:15">
      <c r="A51" s="52">
        <v>213</v>
      </c>
      <c r="B51" s="53" t="s">
        <v>1673</v>
      </c>
      <c r="C51" s="53" t="s">
        <v>1403</v>
      </c>
      <c r="D51" s="51" t="s">
        <v>1092</v>
      </c>
      <c r="E51" s="371"/>
      <c r="F51" s="370"/>
      <c r="G51" s="631">
        <f t="shared" si="1"/>
        <v>0</v>
      </c>
      <c r="H51" s="631">
        <f t="shared" si="2"/>
        <v>0</v>
      </c>
      <c r="I51" s="49"/>
      <c r="J51" s="49"/>
      <c r="K51" s="50">
        <f>SUMIF('10b-Bereikbaarheidsvoorz.'!B:B,'10a-Periodieke beurt'!B51,'10b-Bereikbaarheidsvoorz.'!G:G)</f>
        <v>0</v>
      </c>
      <c r="L51" s="417">
        <v>1</v>
      </c>
      <c r="M51" s="50">
        <f t="shared" si="3"/>
        <v>0</v>
      </c>
      <c r="O51" s="50">
        <f t="shared" si="0"/>
        <v>0</v>
      </c>
    </row>
    <row r="52" spans="1:15">
      <c r="A52" s="52">
        <v>214</v>
      </c>
      <c r="B52" s="53" t="s">
        <v>1674</v>
      </c>
      <c r="C52" s="53" t="s">
        <v>1403</v>
      </c>
      <c r="D52" s="51" t="s">
        <v>1092</v>
      </c>
      <c r="E52" s="371"/>
      <c r="F52" s="370"/>
      <c r="G52" s="631">
        <f t="shared" si="1"/>
        <v>0</v>
      </c>
      <c r="H52" s="631">
        <f t="shared" si="2"/>
        <v>0</v>
      </c>
      <c r="I52" s="49"/>
      <c r="J52" s="49"/>
      <c r="K52" s="50">
        <f>SUMIF('10b-Bereikbaarheidsvoorz.'!B:B,'10a-Periodieke beurt'!B52,'10b-Bereikbaarheidsvoorz.'!G:G)</f>
        <v>0</v>
      </c>
      <c r="L52" s="417">
        <v>1</v>
      </c>
      <c r="M52" s="50">
        <f t="shared" si="3"/>
        <v>0</v>
      </c>
      <c r="O52" s="50">
        <f t="shared" si="0"/>
        <v>0</v>
      </c>
    </row>
    <row r="53" spans="1:15">
      <c r="A53" s="52">
        <v>215</v>
      </c>
      <c r="B53" s="53" t="s">
        <v>1675</v>
      </c>
      <c r="C53" s="53" t="s">
        <v>1403</v>
      </c>
      <c r="D53" s="51" t="s">
        <v>1092</v>
      </c>
      <c r="E53" s="371"/>
      <c r="F53" s="370"/>
      <c r="G53" s="631">
        <f t="shared" si="1"/>
        <v>0</v>
      </c>
      <c r="H53" s="631">
        <f t="shared" si="2"/>
        <v>0</v>
      </c>
      <c r="I53" s="49"/>
      <c r="J53" s="49"/>
      <c r="K53" s="50">
        <f>SUMIF('10b-Bereikbaarheidsvoorz.'!B:B,'10a-Periodieke beurt'!B53,'10b-Bereikbaarheidsvoorz.'!G:G)</f>
        <v>0</v>
      </c>
      <c r="L53" s="417">
        <v>1</v>
      </c>
      <c r="M53" s="50">
        <f t="shared" si="3"/>
        <v>0</v>
      </c>
      <c r="O53" s="50">
        <f t="shared" si="0"/>
        <v>0</v>
      </c>
    </row>
    <row r="54" spans="1:15">
      <c r="A54" s="52">
        <v>301</v>
      </c>
      <c r="B54" s="53" t="s">
        <v>1410</v>
      </c>
      <c r="C54" s="53" t="s">
        <v>1394</v>
      </c>
      <c r="D54" s="51" t="s">
        <v>1092</v>
      </c>
      <c r="E54" s="371"/>
      <c r="F54" s="370"/>
      <c r="G54" s="631">
        <f t="shared" si="1"/>
        <v>0</v>
      </c>
      <c r="H54" s="631">
        <f t="shared" si="2"/>
        <v>0</v>
      </c>
      <c r="I54" s="49"/>
      <c r="J54" s="49"/>
      <c r="K54" s="50">
        <f>SUMIF('10b-Bereikbaarheidsvoorz.'!B:B,'10a-Periodieke beurt'!B54,'10b-Bereikbaarheidsvoorz.'!G:G)</f>
        <v>0</v>
      </c>
      <c r="L54" s="417">
        <v>1</v>
      </c>
      <c r="M54" s="50">
        <f t="shared" si="3"/>
        <v>0</v>
      </c>
      <c r="O54" s="50">
        <f t="shared" si="0"/>
        <v>0</v>
      </c>
    </row>
    <row r="55" spans="1:15">
      <c r="A55" s="52">
        <v>302</v>
      </c>
      <c r="B55" s="53" t="s">
        <v>1393</v>
      </c>
      <c r="C55" s="53" t="s">
        <v>1394</v>
      </c>
      <c r="D55" s="51" t="s">
        <v>1092</v>
      </c>
      <c r="E55" s="371"/>
      <c r="F55" s="370"/>
      <c r="G55" s="631">
        <f t="shared" si="1"/>
        <v>0</v>
      </c>
      <c r="H55" s="631">
        <f t="shared" si="2"/>
        <v>0</v>
      </c>
      <c r="I55" s="49"/>
      <c r="J55" s="49"/>
      <c r="K55" s="50">
        <f>SUMIF('10b-Bereikbaarheidsvoorz.'!B:B,'10a-Periodieke beurt'!B55,'10b-Bereikbaarheidsvoorz.'!G:G)</f>
        <v>0</v>
      </c>
      <c r="L55" s="417">
        <v>1</v>
      </c>
      <c r="M55" s="50">
        <f t="shared" si="3"/>
        <v>0</v>
      </c>
      <c r="O55" s="50">
        <f t="shared" si="0"/>
        <v>0</v>
      </c>
    </row>
    <row r="56" spans="1:15">
      <c r="A56" s="52">
        <v>303</v>
      </c>
      <c r="B56" s="53" t="s">
        <v>133</v>
      </c>
      <c r="C56" s="53" t="s">
        <v>1394</v>
      </c>
      <c r="D56" s="51" t="s">
        <v>1092</v>
      </c>
      <c r="E56" s="371"/>
      <c r="F56" s="370"/>
      <c r="G56" s="631">
        <f t="shared" si="1"/>
        <v>0</v>
      </c>
      <c r="H56" s="631">
        <f t="shared" si="2"/>
        <v>0</v>
      </c>
      <c r="I56" s="49"/>
      <c r="J56" s="49"/>
      <c r="K56" s="50">
        <f>SUMIF('10b-Bereikbaarheidsvoorz.'!B:B,'10a-Periodieke beurt'!B56,'10b-Bereikbaarheidsvoorz.'!G:G)</f>
        <v>0</v>
      </c>
      <c r="L56" s="417">
        <v>2</v>
      </c>
      <c r="M56" s="50">
        <f t="shared" si="3"/>
        <v>0</v>
      </c>
      <c r="O56" s="50">
        <f t="shared" si="0"/>
        <v>0</v>
      </c>
    </row>
    <row r="57" spans="1:15" ht="14.25">
      <c r="A57" s="52">
        <v>304</v>
      </c>
      <c r="B57" s="54" t="s">
        <v>1397</v>
      </c>
      <c r="C57" s="53" t="s">
        <v>1394</v>
      </c>
      <c r="D57" s="51" t="s">
        <v>1092</v>
      </c>
      <c r="E57" s="371"/>
      <c r="F57" s="370"/>
      <c r="G57" s="631">
        <f t="shared" si="1"/>
        <v>0</v>
      </c>
      <c r="H57" s="631">
        <f t="shared" si="2"/>
        <v>0</v>
      </c>
      <c r="I57" s="49"/>
      <c r="J57" s="49"/>
      <c r="K57" s="50">
        <f>SUMIF('10b-Bereikbaarheidsvoorz.'!B:B,'10a-Periodieke beurt'!B57,'10b-Bereikbaarheidsvoorz.'!G:G)</f>
        <v>0</v>
      </c>
      <c r="L57" s="417">
        <v>1</v>
      </c>
      <c r="M57" s="50">
        <f t="shared" si="3"/>
        <v>0</v>
      </c>
      <c r="O57" s="50">
        <f t="shared" si="0"/>
        <v>0</v>
      </c>
    </row>
    <row r="58" spans="1:15">
      <c r="A58" s="52">
        <v>305</v>
      </c>
      <c r="B58" s="53" t="s">
        <v>1400</v>
      </c>
      <c r="C58" s="53" t="s">
        <v>1394</v>
      </c>
      <c r="D58" s="51" t="s">
        <v>1092</v>
      </c>
      <c r="E58" s="371"/>
      <c r="F58" s="370"/>
      <c r="G58" s="631">
        <f t="shared" si="1"/>
        <v>0</v>
      </c>
      <c r="H58" s="631">
        <f t="shared" si="2"/>
        <v>0</v>
      </c>
      <c r="I58" s="49"/>
      <c r="J58" s="49"/>
      <c r="K58" s="50">
        <f>SUMIF('10b-Bereikbaarheidsvoorz.'!B:B,'10a-Periodieke beurt'!B58,'10b-Bereikbaarheidsvoorz.'!G:G)</f>
        <v>0</v>
      </c>
      <c r="L58" s="417">
        <v>1</v>
      </c>
      <c r="M58" s="50">
        <f t="shared" si="3"/>
        <v>0</v>
      </c>
      <c r="O58" s="50">
        <f t="shared" si="0"/>
        <v>0</v>
      </c>
    </row>
    <row r="59" spans="1:15">
      <c r="A59" s="52">
        <v>306</v>
      </c>
      <c r="B59" s="53" t="s">
        <v>1401</v>
      </c>
      <c r="C59" s="53" t="s">
        <v>1394</v>
      </c>
      <c r="D59" s="51" t="s">
        <v>1092</v>
      </c>
      <c r="E59" s="371"/>
      <c r="F59" s="370"/>
      <c r="G59" s="631">
        <f t="shared" si="1"/>
        <v>0</v>
      </c>
      <c r="H59" s="631">
        <f t="shared" si="2"/>
        <v>0</v>
      </c>
      <c r="I59" s="49"/>
      <c r="J59" s="49"/>
      <c r="K59" s="50">
        <f>SUMIF('10b-Bereikbaarheidsvoorz.'!B:B,'10a-Periodieke beurt'!B59,'10b-Bereikbaarheidsvoorz.'!G:G)</f>
        <v>0</v>
      </c>
      <c r="L59" s="417">
        <v>1</v>
      </c>
      <c r="M59" s="50">
        <f t="shared" si="3"/>
        <v>0</v>
      </c>
      <c r="O59" s="50">
        <f t="shared" si="0"/>
        <v>0</v>
      </c>
    </row>
    <row r="60" spans="1:15">
      <c r="A60" s="52">
        <v>307</v>
      </c>
      <c r="B60" s="53" t="s">
        <v>1395</v>
      </c>
      <c r="C60" s="53" t="s">
        <v>1394</v>
      </c>
      <c r="D60" s="51" t="s">
        <v>1092</v>
      </c>
      <c r="E60" s="371"/>
      <c r="F60" s="370"/>
      <c r="G60" s="631">
        <f t="shared" si="1"/>
        <v>0</v>
      </c>
      <c r="H60" s="631">
        <f t="shared" si="2"/>
        <v>0</v>
      </c>
      <c r="I60" s="49"/>
      <c r="J60" s="49"/>
      <c r="K60" s="50">
        <f>SUMIF('10b-Bereikbaarheidsvoorz.'!B:B,'10a-Periodieke beurt'!B60,'10b-Bereikbaarheidsvoorz.'!G:G)</f>
        <v>0</v>
      </c>
      <c r="L60" s="417">
        <v>1</v>
      </c>
      <c r="M60" s="50">
        <f t="shared" si="3"/>
        <v>0</v>
      </c>
      <c r="O60" s="50">
        <f t="shared" si="0"/>
        <v>0</v>
      </c>
    </row>
    <row r="61" spans="1:15">
      <c r="A61" s="52">
        <v>308</v>
      </c>
      <c r="B61" s="53" t="s">
        <v>1402</v>
      </c>
      <c r="C61" s="53" t="s">
        <v>1394</v>
      </c>
      <c r="D61" s="51" t="s">
        <v>1092</v>
      </c>
      <c r="E61" s="371"/>
      <c r="F61" s="370"/>
      <c r="G61" s="631">
        <f t="shared" si="1"/>
        <v>0</v>
      </c>
      <c r="H61" s="631">
        <f t="shared" si="2"/>
        <v>0</v>
      </c>
      <c r="I61" s="49"/>
      <c r="J61" s="49"/>
      <c r="K61" s="50">
        <f>SUMIF('10b-Bereikbaarheidsvoorz.'!B:B,'10a-Periodieke beurt'!B61,'10b-Bereikbaarheidsvoorz.'!G:G)</f>
        <v>0</v>
      </c>
      <c r="L61" s="417">
        <v>1</v>
      </c>
      <c r="M61" s="50">
        <f t="shared" si="3"/>
        <v>0</v>
      </c>
      <c r="O61" s="50">
        <f t="shared" si="0"/>
        <v>0</v>
      </c>
    </row>
    <row r="62" spans="1:15">
      <c r="A62" s="52">
        <v>309</v>
      </c>
      <c r="B62" s="53" t="s">
        <v>1398</v>
      </c>
      <c r="C62" s="53" t="s">
        <v>1394</v>
      </c>
      <c r="D62" s="51" t="s">
        <v>1092</v>
      </c>
      <c r="E62" s="371"/>
      <c r="F62" s="370"/>
      <c r="G62" s="631">
        <f t="shared" si="1"/>
        <v>0</v>
      </c>
      <c r="H62" s="631">
        <f t="shared" si="2"/>
        <v>0</v>
      </c>
      <c r="I62" s="49"/>
      <c r="J62" s="49"/>
      <c r="K62" s="50">
        <f>SUMIF('10b-Bereikbaarheidsvoorz.'!B:B,'10a-Periodieke beurt'!B62,'10b-Bereikbaarheidsvoorz.'!G:G)</f>
        <v>0</v>
      </c>
      <c r="L62" s="417">
        <v>1</v>
      </c>
      <c r="M62" s="50">
        <f t="shared" si="3"/>
        <v>0</v>
      </c>
      <c r="O62" s="50">
        <f t="shared" si="0"/>
        <v>0</v>
      </c>
    </row>
    <row r="63" spans="1:15">
      <c r="A63" s="52">
        <v>310</v>
      </c>
      <c r="B63" s="53" t="s">
        <v>1399</v>
      </c>
      <c r="C63" s="53" t="s">
        <v>1394</v>
      </c>
      <c r="D63" s="51" t="s">
        <v>1092</v>
      </c>
      <c r="E63" s="371"/>
      <c r="F63" s="370"/>
      <c r="G63" s="631">
        <f t="shared" si="1"/>
        <v>0</v>
      </c>
      <c r="H63" s="631">
        <f t="shared" si="2"/>
        <v>0</v>
      </c>
      <c r="I63" s="49"/>
      <c r="J63" s="49"/>
      <c r="K63" s="50">
        <f>SUMIF('10b-Bereikbaarheidsvoorz.'!B:B,'10a-Periodieke beurt'!B63,'10b-Bereikbaarheidsvoorz.'!G:G)</f>
        <v>0</v>
      </c>
      <c r="L63" s="417">
        <v>1</v>
      </c>
      <c r="M63" s="50">
        <f t="shared" si="3"/>
        <v>0</v>
      </c>
      <c r="O63" s="50">
        <f t="shared" si="0"/>
        <v>0</v>
      </c>
    </row>
    <row r="64" spans="1:15">
      <c r="A64" s="52">
        <v>311</v>
      </c>
      <c r="B64" s="53" t="s">
        <v>1396</v>
      </c>
      <c r="C64" s="53" t="s">
        <v>1394</v>
      </c>
      <c r="D64" s="51" t="s">
        <v>1092</v>
      </c>
      <c r="E64" s="371"/>
      <c r="F64" s="370"/>
      <c r="G64" s="631">
        <f t="shared" si="1"/>
        <v>0</v>
      </c>
      <c r="H64" s="631">
        <f t="shared" si="2"/>
        <v>0</v>
      </c>
      <c r="I64" s="49"/>
      <c r="J64" s="49"/>
      <c r="K64" s="50">
        <f>SUMIF('10b-Bereikbaarheidsvoorz.'!B:B,'10a-Periodieke beurt'!B64,'10b-Bereikbaarheidsvoorz.'!G:G)</f>
        <v>0</v>
      </c>
      <c r="L64" s="417">
        <v>1</v>
      </c>
      <c r="M64" s="50">
        <f t="shared" si="3"/>
        <v>0</v>
      </c>
      <c r="O64" s="50">
        <f t="shared" si="0"/>
        <v>0</v>
      </c>
    </row>
    <row r="65" spans="1:22">
      <c r="A65" s="52">
        <v>312</v>
      </c>
      <c r="B65" s="53" t="s">
        <v>1411</v>
      </c>
      <c r="C65" s="53" t="s">
        <v>1394</v>
      </c>
      <c r="D65" s="51" t="s">
        <v>1092</v>
      </c>
      <c r="E65" s="371"/>
      <c r="F65" s="370"/>
      <c r="G65" s="631">
        <f t="shared" si="1"/>
        <v>0</v>
      </c>
      <c r="H65" s="631">
        <f t="shared" si="2"/>
        <v>0</v>
      </c>
      <c r="I65" s="49"/>
      <c r="J65" s="49"/>
      <c r="K65" s="50">
        <f>SUMIF('10b-Bereikbaarheidsvoorz.'!B:B,'10a-Periodieke beurt'!B65,'10b-Bereikbaarheidsvoorz.'!G:G)</f>
        <v>0</v>
      </c>
      <c r="L65" s="417">
        <v>1</v>
      </c>
      <c r="M65" s="50">
        <f t="shared" si="3"/>
        <v>0</v>
      </c>
      <c r="O65" s="50">
        <f t="shared" si="0"/>
        <v>0</v>
      </c>
    </row>
    <row r="67" spans="1:22" s="55" customFormat="1">
      <c r="A67" s="374" t="s">
        <v>1305</v>
      </c>
      <c r="B67" s="375"/>
      <c r="C67" s="375"/>
      <c r="D67" s="376"/>
      <c r="E67" s="377"/>
      <c r="F67" s="377"/>
      <c r="G67" s="378"/>
      <c r="H67" s="378"/>
      <c r="I67" s="378"/>
      <c r="J67" s="378"/>
      <c r="K67" s="379"/>
      <c r="L67" s="418"/>
      <c r="M67" s="379">
        <f>SUM(M19:M66)</f>
        <v>0</v>
      </c>
      <c r="Q67" s="44"/>
      <c r="R67" s="44"/>
      <c r="S67" s="44"/>
      <c r="T67" s="44"/>
      <c r="U67" s="44"/>
      <c r="V67" s="44"/>
    </row>
    <row r="68" spans="1:22">
      <c r="E68" s="56"/>
      <c r="F68" s="56"/>
      <c r="G68" s="56"/>
      <c r="H68" s="56"/>
      <c r="I68" s="56"/>
      <c r="J68" s="56"/>
      <c r="M68" s="414"/>
      <c r="N68" s="414"/>
      <c r="O68" s="414"/>
      <c r="Q68" s="56"/>
      <c r="R68" s="56"/>
    </row>
    <row r="69" spans="1:22" ht="15">
      <c r="A69" s="354" t="s">
        <v>1117</v>
      </c>
      <c r="M69" s="414"/>
      <c r="N69" s="414"/>
      <c r="O69" s="414"/>
      <c r="Q69" s="57"/>
      <c r="R69" s="57"/>
      <c r="S69" s="58"/>
      <c r="T69" s="57"/>
    </row>
    <row r="70" spans="1:22">
      <c r="A70" s="107" t="s">
        <v>2076</v>
      </c>
      <c r="M70" s="414"/>
      <c r="N70" s="414"/>
      <c r="O70" s="414"/>
    </row>
    <row r="71" spans="1:22">
      <c r="A71" s="107" t="s">
        <v>1119</v>
      </c>
    </row>
  </sheetData>
  <mergeCells count="5">
    <mergeCell ref="A15:B15"/>
    <mergeCell ref="A16:B16"/>
    <mergeCell ref="A12:B12"/>
    <mergeCell ref="A13:B13"/>
    <mergeCell ref="A14:B14"/>
  </mergeCells>
  <pageMargins left="0.7" right="0.7" top="0.75" bottom="0.75" header="0.3" footer="0.3"/>
  <pageSetup paperSize="9" scale="4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33B1-6022-4295-A10F-871CBE1AE94D}">
  <sheetPr>
    <tabColor theme="0" tint="-0.14999847407452621"/>
    <pageSetUpPr fitToPage="1"/>
  </sheetPr>
  <dimension ref="A1:Q70"/>
  <sheetViews>
    <sheetView showGridLines="0" zoomScale="70" zoomScaleNormal="70" workbookViewId="0">
      <pane ySplit="13" topLeftCell="A14" activePane="bottomLeft" state="frozen"/>
      <selection activeCell="F30" sqref="F30"/>
      <selection pane="bottomLeft" activeCell="E44" sqref="E44"/>
    </sheetView>
  </sheetViews>
  <sheetFormatPr defaultColWidth="9.140625" defaultRowHeight="13.5"/>
  <cols>
    <col min="1" max="1" width="10.85546875" style="27" customWidth="1"/>
    <col min="2" max="2" width="20.140625" style="27" bestFit="1" customWidth="1"/>
    <col min="3" max="3" width="23.85546875" style="27" customWidth="1"/>
    <col min="4" max="4" width="15.28515625" style="146" customWidth="1"/>
    <col min="5" max="6" width="17" style="27" customWidth="1"/>
    <col min="7" max="7" width="22.5703125" style="27" bestFit="1" customWidth="1"/>
    <col min="8" max="16384" width="9.140625" style="27"/>
  </cols>
  <sheetData>
    <row r="1" spans="1:17" s="2" customFormat="1">
      <c r="A1" s="247" t="s">
        <v>2</v>
      </c>
      <c r="B1" s="248"/>
      <c r="D1" s="404"/>
    </row>
    <row r="2" spans="1:17" s="2" customFormat="1">
      <c r="A2" s="4"/>
      <c r="C2" s="4"/>
      <c r="D2" s="404"/>
      <c r="N2" s="27"/>
      <c r="O2" s="27"/>
      <c r="P2" s="27"/>
      <c r="Q2" s="27"/>
    </row>
    <row r="3" spans="1:17" s="29" customFormat="1" ht="17.25">
      <c r="A3" s="259" t="s">
        <v>3</v>
      </c>
      <c r="B3" s="259"/>
      <c r="C3" s="261" t="str">
        <f>'1-Inschrijfstaat'!B3</f>
        <v>GVB Infra B.V.</v>
      </c>
      <c r="D3" s="405"/>
      <c r="E3" s="7"/>
      <c r="F3" s="7"/>
      <c r="G3" s="7"/>
      <c r="H3" s="7"/>
      <c r="I3" s="7"/>
      <c r="J3" s="7"/>
      <c r="K3" s="7"/>
      <c r="L3" s="7"/>
      <c r="M3" s="7"/>
      <c r="N3" s="27"/>
      <c r="O3" s="27"/>
      <c r="P3" s="27"/>
      <c r="Q3" s="27"/>
    </row>
    <row r="4" spans="1:17" s="29" customFormat="1" ht="17.25">
      <c r="A4" s="259" t="s">
        <v>1093</v>
      </c>
      <c r="B4" s="259"/>
      <c r="C4" s="241" t="str">
        <f ca="1">MID(CELL("bestandsnaam",$D$11),SEARCH("]",CELL("bestandsnaam",$D$11),1)+1,256)</f>
        <v>10b-Bereikbaarheidsvoorz.</v>
      </c>
      <c r="D4" s="405"/>
      <c r="E4" s="7"/>
      <c r="F4" s="7"/>
      <c r="G4" s="7"/>
      <c r="H4" s="7"/>
      <c r="I4" s="7"/>
      <c r="J4" s="7"/>
      <c r="K4" s="7"/>
      <c r="L4" s="7"/>
      <c r="M4" s="7"/>
      <c r="N4" s="27"/>
      <c r="O4" s="27"/>
      <c r="P4" s="27"/>
      <c r="Q4" s="27"/>
    </row>
    <row r="5" spans="1:17" s="29" customFormat="1" ht="18.75" customHeight="1">
      <c r="A5" s="259" t="s">
        <v>4</v>
      </c>
      <c r="B5" s="259"/>
      <c r="C5" s="261" t="str">
        <f>'1-Inschrijfstaat'!B5</f>
        <v>Diverse</v>
      </c>
      <c r="D5" s="405"/>
      <c r="E5" s="7"/>
      <c r="F5" s="7"/>
      <c r="G5" s="7"/>
      <c r="H5" s="7"/>
      <c r="I5" s="7"/>
      <c r="J5" s="7"/>
      <c r="K5" s="7"/>
      <c r="L5" s="7"/>
      <c r="M5" s="7"/>
    </row>
    <row r="6" spans="1:17" s="29" customFormat="1" ht="17.25">
      <c r="A6" s="260" t="s">
        <v>9</v>
      </c>
      <c r="B6" s="259"/>
      <c r="C6" s="261" t="str">
        <f>'1-Inschrijfstaat'!B6</f>
        <v>2021-61</v>
      </c>
      <c r="D6" s="405"/>
      <c r="E6" s="7"/>
      <c r="F6" s="7"/>
      <c r="G6" s="7"/>
      <c r="H6" s="7"/>
      <c r="I6" s="7"/>
      <c r="J6" s="7"/>
      <c r="K6" s="7"/>
      <c r="L6" s="7"/>
      <c r="M6" s="7"/>
      <c r="N6" s="27"/>
      <c r="O6" s="27"/>
      <c r="P6" s="27"/>
      <c r="Q6" s="27"/>
    </row>
    <row r="7" spans="1:17" s="29" customFormat="1" ht="17.25">
      <c r="A7" s="259" t="s">
        <v>6</v>
      </c>
      <c r="B7" s="259"/>
      <c r="C7" s="261" t="str">
        <f>'1-Inschrijfstaat'!B7</f>
        <v>Naam dienstverlener</v>
      </c>
      <c r="D7" s="406"/>
      <c r="E7" s="8"/>
      <c r="F7" s="8"/>
      <c r="G7" s="8"/>
      <c r="H7" s="8"/>
      <c r="I7" s="8"/>
      <c r="J7" s="8"/>
      <c r="K7" s="8"/>
      <c r="L7" s="8"/>
      <c r="M7" s="8"/>
      <c r="N7" s="27"/>
      <c r="O7" s="27"/>
      <c r="P7" s="27"/>
      <c r="Q7" s="27"/>
    </row>
    <row r="8" spans="1:17" s="29" customFormat="1" ht="17.25">
      <c r="A8" s="259" t="s">
        <v>7</v>
      </c>
      <c r="B8" s="259"/>
      <c r="C8" s="540" t="str">
        <f>'1-Inschrijfstaat'!B8</f>
        <v>1 januari 2022</v>
      </c>
      <c r="D8" s="405"/>
      <c r="E8" s="7"/>
      <c r="F8" s="7"/>
      <c r="G8" s="7"/>
      <c r="H8" s="7"/>
      <c r="I8" s="7"/>
      <c r="J8" s="7"/>
      <c r="K8" s="7"/>
      <c r="L8" s="7"/>
      <c r="M8" s="7"/>
      <c r="N8" s="27"/>
      <c r="O8" s="27"/>
      <c r="P8" s="27"/>
      <c r="Q8" s="27"/>
    </row>
    <row r="9" spans="1:17" s="29" customFormat="1" ht="17.25">
      <c r="A9" s="250" t="s">
        <v>0</v>
      </c>
      <c r="B9" s="250"/>
      <c r="C9" s="261" t="str">
        <f>'1-Inschrijfstaat'!B9</f>
        <v>1 Technische schoonmaak Algemeen</v>
      </c>
      <c r="D9" s="405"/>
      <c r="E9" s="7"/>
      <c r="F9" s="7"/>
      <c r="G9" s="27"/>
      <c r="H9" s="27"/>
      <c r="I9" s="27"/>
      <c r="J9" s="27"/>
      <c r="K9" s="27"/>
      <c r="L9" s="27"/>
      <c r="M9" s="27"/>
      <c r="N9" s="27"/>
      <c r="O9" s="27"/>
    </row>
    <row r="10" spans="1:17" s="29" customFormat="1" ht="17.25">
      <c r="A10" s="5"/>
      <c r="C10" s="5"/>
      <c r="D10" s="407"/>
      <c r="E10" s="231"/>
      <c r="F10" s="231"/>
    </row>
    <row r="11" spans="1:17" s="29" customFormat="1" ht="17.25">
      <c r="A11" s="251" t="s">
        <v>2059</v>
      </c>
      <c r="B11" s="252"/>
      <c r="C11" s="252"/>
      <c r="D11" s="408"/>
      <c r="E11" s="252"/>
      <c r="F11" s="536"/>
      <c r="G11" s="253"/>
    </row>
    <row r="12" spans="1:17" s="2" customFormat="1">
      <c r="D12" s="404"/>
    </row>
    <row r="13" spans="1:17" s="233" customFormat="1" ht="50.45" customHeight="1">
      <c r="A13" s="254" t="s">
        <v>289</v>
      </c>
      <c r="B13" s="254" t="s">
        <v>290</v>
      </c>
      <c r="C13" s="254" t="s">
        <v>13</v>
      </c>
      <c r="D13" s="409" t="s">
        <v>2060</v>
      </c>
      <c r="E13" s="254" t="s">
        <v>2061</v>
      </c>
      <c r="F13" s="254" t="s">
        <v>2084</v>
      </c>
      <c r="G13" s="254" t="s">
        <v>2075</v>
      </c>
    </row>
    <row r="14" spans="1:17">
      <c r="A14" s="28">
        <v>102</v>
      </c>
      <c r="B14" s="28" t="s">
        <v>849</v>
      </c>
      <c r="C14" s="28" t="s">
        <v>180</v>
      </c>
      <c r="D14" s="561"/>
      <c r="E14" s="541"/>
      <c r="F14" s="568"/>
      <c r="G14" s="150">
        <f>(D14+E14)*F14</f>
        <v>0</v>
      </c>
    </row>
    <row r="15" spans="1:17">
      <c r="A15" s="28">
        <v>103</v>
      </c>
      <c r="B15" s="28" t="s">
        <v>717</v>
      </c>
      <c r="C15" s="28" t="s">
        <v>180</v>
      </c>
      <c r="D15" s="561"/>
      <c r="E15" s="541"/>
      <c r="F15" s="568"/>
      <c r="G15" s="150">
        <f t="shared" ref="G15:G64" si="0">(D15+E15)*F15</f>
        <v>0</v>
      </c>
    </row>
    <row r="16" spans="1:17">
      <c r="A16" s="28">
        <v>104</v>
      </c>
      <c r="B16" s="28" t="s">
        <v>165</v>
      </c>
      <c r="C16" s="28" t="s">
        <v>180</v>
      </c>
      <c r="D16" s="561"/>
      <c r="E16" s="541"/>
      <c r="F16" s="568"/>
      <c r="G16" s="150">
        <f t="shared" si="0"/>
        <v>0</v>
      </c>
    </row>
    <row r="17" spans="1:7">
      <c r="A17" s="28">
        <v>105</v>
      </c>
      <c r="B17" s="28" t="s">
        <v>850</v>
      </c>
      <c r="C17" s="28" t="s">
        <v>180</v>
      </c>
      <c r="D17" s="561"/>
      <c r="E17" s="541"/>
      <c r="F17" s="568"/>
      <c r="G17" s="150">
        <f t="shared" si="0"/>
        <v>0</v>
      </c>
    </row>
    <row r="18" spans="1:7">
      <c r="A18" s="28">
        <v>106</v>
      </c>
      <c r="B18" s="28" t="s">
        <v>1034</v>
      </c>
      <c r="C18" s="28" t="s">
        <v>22</v>
      </c>
      <c r="D18" s="561"/>
      <c r="E18" s="541"/>
      <c r="F18" s="568"/>
      <c r="G18" s="150">
        <f t="shared" si="0"/>
        <v>0</v>
      </c>
    </row>
    <row r="19" spans="1:7">
      <c r="A19" s="28">
        <v>107</v>
      </c>
      <c r="B19" s="28" t="s">
        <v>288</v>
      </c>
      <c r="C19" s="28" t="s">
        <v>22</v>
      </c>
      <c r="D19" s="561"/>
      <c r="E19" s="541"/>
      <c r="F19" s="568"/>
      <c r="G19" s="150">
        <f t="shared" si="0"/>
        <v>0</v>
      </c>
    </row>
    <row r="20" spans="1:7">
      <c r="A20" s="28">
        <v>108</v>
      </c>
      <c r="B20" s="28" t="s">
        <v>254</v>
      </c>
      <c r="C20" s="28" t="s">
        <v>22</v>
      </c>
      <c r="D20" s="561"/>
      <c r="E20" s="541"/>
      <c r="F20" s="568"/>
      <c r="G20" s="150">
        <f t="shared" si="0"/>
        <v>0</v>
      </c>
    </row>
    <row r="21" spans="1:7">
      <c r="A21" s="28">
        <v>109</v>
      </c>
      <c r="B21" s="28" t="s">
        <v>851</v>
      </c>
      <c r="C21" s="28" t="s">
        <v>22</v>
      </c>
      <c r="D21" s="561"/>
      <c r="E21" s="541"/>
      <c r="F21" s="568"/>
      <c r="G21" s="150">
        <f t="shared" si="0"/>
        <v>0</v>
      </c>
    </row>
    <row r="22" spans="1:7">
      <c r="A22" s="28">
        <v>110</v>
      </c>
      <c r="B22" s="28" t="s">
        <v>103</v>
      </c>
      <c r="C22" s="28" t="s">
        <v>22</v>
      </c>
      <c r="D22" s="561"/>
      <c r="E22" s="541"/>
      <c r="F22" s="568"/>
      <c r="G22" s="150">
        <f t="shared" si="0"/>
        <v>0</v>
      </c>
    </row>
    <row r="23" spans="1:7">
      <c r="A23" s="28">
        <v>111</v>
      </c>
      <c r="B23" s="28" t="s">
        <v>852</v>
      </c>
      <c r="C23" s="28" t="s">
        <v>22</v>
      </c>
      <c r="D23" s="561"/>
      <c r="E23" s="541"/>
      <c r="F23" s="568"/>
      <c r="G23" s="150">
        <f t="shared" si="0"/>
        <v>0</v>
      </c>
    </row>
    <row r="24" spans="1:7">
      <c r="A24" s="28">
        <v>112</v>
      </c>
      <c r="B24" s="28" t="s">
        <v>140</v>
      </c>
      <c r="C24" s="28" t="s">
        <v>22</v>
      </c>
      <c r="D24" s="561"/>
      <c r="E24" s="541"/>
      <c r="F24" s="568"/>
      <c r="G24" s="150">
        <f t="shared" si="0"/>
        <v>0</v>
      </c>
    </row>
    <row r="25" spans="1:7">
      <c r="A25" s="28">
        <v>113</v>
      </c>
      <c r="B25" s="28" t="s">
        <v>853</v>
      </c>
      <c r="C25" s="28" t="s">
        <v>22</v>
      </c>
      <c r="D25" s="561"/>
      <c r="E25" s="541"/>
      <c r="F25" s="568"/>
      <c r="G25" s="150">
        <f t="shared" si="0"/>
        <v>0</v>
      </c>
    </row>
    <row r="26" spans="1:7">
      <c r="A26" s="28">
        <v>114</v>
      </c>
      <c r="B26" s="28" t="s">
        <v>21</v>
      </c>
      <c r="C26" s="28" t="s">
        <v>22</v>
      </c>
      <c r="D26" s="561"/>
      <c r="E26" s="541"/>
      <c r="F26" s="568"/>
      <c r="G26" s="150">
        <f t="shared" si="0"/>
        <v>0</v>
      </c>
    </row>
    <row r="27" spans="1:7">
      <c r="A27" s="28">
        <v>115</v>
      </c>
      <c r="B27" s="28" t="s">
        <v>73</v>
      </c>
      <c r="C27" s="28" t="s">
        <v>74</v>
      </c>
      <c r="D27" s="561"/>
      <c r="E27" s="541"/>
      <c r="F27" s="568"/>
      <c r="G27" s="150">
        <f t="shared" si="0"/>
        <v>0</v>
      </c>
    </row>
    <row r="28" spans="1:7">
      <c r="A28" s="28">
        <v>116</v>
      </c>
      <c r="B28" s="28" t="s">
        <v>237</v>
      </c>
      <c r="C28" s="28" t="s">
        <v>22</v>
      </c>
      <c r="D28" s="561"/>
      <c r="E28" s="541"/>
      <c r="F28" s="568"/>
      <c r="G28" s="150">
        <f t="shared" si="0"/>
        <v>0</v>
      </c>
    </row>
    <row r="29" spans="1:7">
      <c r="A29" s="28">
        <v>117</v>
      </c>
      <c r="B29" s="28" t="s">
        <v>296</v>
      </c>
      <c r="C29" s="28" t="s">
        <v>22</v>
      </c>
      <c r="D29" s="561"/>
      <c r="E29" s="541"/>
      <c r="F29" s="568"/>
      <c r="G29" s="150">
        <f t="shared" si="0"/>
        <v>0</v>
      </c>
    </row>
    <row r="30" spans="1:7">
      <c r="A30" s="28">
        <v>118</v>
      </c>
      <c r="B30" s="28" t="s">
        <v>198</v>
      </c>
      <c r="C30" s="28" t="s">
        <v>22</v>
      </c>
      <c r="D30" s="561"/>
      <c r="E30" s="541"/>
      <c r="F30" s="568"/>
      <c r="G30" s="150">
        <f t="shared" si="0"/>
        <v>0</v>
      </c>
    </row>
    <row r="31" spans="1:7">
      <c r="A31" s="28">
        <v>119</v>
      </c>
      <c r="B31" s="28" t="s">
        <v>310</v>
      </c>
      <c r="C31" s="28" t="s">
        <v>22</v>
      </c>
      <c r="D31" s="561"/>
      <c r="E31" s="541"/>
      <c r="F31" s="568"/>
      <c r="G31" s="150">
        <f t="shared" si="0"/>
        <v>0</v>
      </c>
    </row>
    <row r="32" spans="1:7">
      <c r="A32" s="28">
        <v>120</v>
      </c>
      <c r="B32" s="28" t="s">
        <v>300</v>
      </c>
      <c r="C32" s="28" t="s">
        <v>22</v>
      </c>
      <c r="D32" s="561"/>
      <c r="E32" s="541"/>
      <c r="F32" s="568"/>
      <c r="G32" s="150">
        <f t="shared" si="0"/>
        <v>0</v>
      </c>
    </row>
    <row r="33" spans="1:7">
      <c r="A33" s="28">
        <v>121</v>
      </c>
      <c r="B33" s="28" t="s">
        <v>181</v>
      </c>
      <c r="C33" s="28" t="s">
        <v>22</v>
      </c>
      <c r="D33" s="561"/>
      <c r="E33" s="541"/>
      <c r="F33" s="568"/>
      <c r="G33" s="150">
        <f t="shared" si="0"/>
        <v>0</v>
      </c>
    </row>
    <row r="34" spans="1:7">
      <c r="A34" s="28">
        <v>1001</v>
      </c>
      <c r="B34" s="28" t="s">
        <v>1038</v>
      </c>
      <c r="C34" s="28" t="s">
        <v>1042</v>
      </c>
      <c r="D34" s="561"/>
      <c r="E34" s="541"/>
      <c r="F34" s="568"/>
      <c r="G34" s="150">
        <f t="shared" si="0"/>
        <v>0</v>
      </c>
    </row>
    <row r="35" spans="1:7">
      <c r="A35" s="28">
        <v>1002</v>
      </c>
      <c r="B35" s="28" t="s">
        <v>1069</v>
      </c>
      <c r="C35" s="28" t="s">
        <v>1042</v>
      </c>
      <c r="D35" s="561"/>
      <c r="E35" s="541"/>
      <c r="F35" s="568"/>
      <c r="G35" s="150">
        <f t="shared" si="0"/>
        <v>0</v>
      </c>
    </row>
    <row r="36" spans="1:7">
      <c r="A36" s="53">
        <v>201</v>
      </c>
      <c r="B36" s="53" t="s">
        <v>1536</v>
      </c>
      <c r="C36" s="53" t="s">
        <v>1403</v>
      </c>
      <c r="D36" s="561"/>
      <c r="E36" s="541"/>
      <c r="F36" s="568"/>
      <c r="G36" s="150">
        <f t="shared" si="0"/>
        <v>0</v>
      </c>
    </row>
    <row r="37" spans="1:7">
      <c r="A37" s="53">
        <v>202</v>
      </c>
      <c r="B37" s="53" t="s">
        <v>1404</v>
      </c>
      <c r="C37" s="53" t="s">
        <v>1403</v>
      </c>
      <c r="D37" s="561"/>
      <c r="E37" s="541"/>
      <c r="F37" s="568"/>
      <c r="G37" s="150">
        <f t="shared" si="0"/>
        <v>0</v>
      </c>
    </row>
    <row r="38" spans="1:7">
      <c r="A38" s="53">
        <v>203</v>
      </c>
      <c r="B38" s="53" t="s">
        <v>1405</v>
      </c>
      <c r="C38" s="53" t="s">
        <v>1403</v>
      </c>
      <c r="D38" s="561"/>
      <c r="E38" s="541"/>
      <c r="F38" s="568"/>
      <c r="G38" s="150">
        <f t="shared" si="0"/>
        <v>0</v>
      </c>
    </row>
    <row r="39" spans="1:7">
      <c r="A39" s="53">
        <v>204</v>
      </c>
      <c r="B39" s="53" t="s">
        <v>1406</v>
      </c>
      <c r="C39" s="53" t="s">
        <v>1403</v>
      </c>
      <c r="D39" s="561"/>
      <c r="E39" s="541"/>
      <c r="F39" s="568"/>
      <c r="G39" s="150">
        <f t="shared" si="0"/>
        <v>0</v>
      </c>
    </row>
    <row r="40" spans="1:7">
      <c r="A40" s="53">
        <v>205</v>
      </c>
      <c r="B40" s="53" t="s">
        <v>1407</v>
      </c>
      <c r="C40" s="53" t="s">
        <v>1403</v>
      </c>
      <c r="D40" s="561"/>
      <c r="E40" s="541"/>
      <c r="F40" s="568"/>
      <c r="G40" s="150">
        <f t="shared" si="0"/>
        <v>0</v>
      </c>
    </row>
    <row r="41" spans="1:7">
      <c r="A41" s="53">
        <v>206</v>
      </c>
      <c r="B41" s="53" t="s">
        <v>1408</v>
      </c>
      <c r="C41" s="53" t="s">
        <v>1403</v>
      </c>
      <c r="D41" s="561"/>
      <c r="E41" s="541"/>
      <c r="F41" s="568"/>
      <c r="G41" s="150">
        <f t="shared" si="0"/>
        <v>0</v>
      </c>
    </row>
    <row r="42" spans="1:7">
      <c r="A42" s="53">
        <v>207</v>
      </c>
      <c r="B42" s="53" t="s">
        <v>1409</v>
      </c>
      <c r="C42" s="53" t="s">
        <v>1403</v>
      </c>
      <c r="D42" s="561"/>
      <c r="E42" s="541"/>
      <c r="F42" s="568"/>
      <c r="G42" s="150">
        <f t="shared" si="0"/>
        <v>0</v>
      </c>
    </row>
    <row r="43" spans="1:7">
      <c r="A43" s="53">
        <v>208</v>
      </c>
      <c r="B43" s="53" t="s">
        <v>1668</v>
      </c>
      <c r="C43" s="53" t="s">
        <v>1403</v>
      </c>
      <c r="D43" s="561"/>
      <c r="E43" s="541"/>
      <c r="F43" s="568"/>
      <c r="G43" s="150">
        <f t="shared" si="0"/>
        <v>0</v>
      </c>
    </row>
    <row r="44" spans="1:7">
      <c r="A44" s="53">
        <v>209</v>
      </c>
      <c r="B44" s="53" t="s">
        <v>1669</v>
      </c>
      <c r="C44" s="53" t="s">
        <v>1403</v>
      </c>
      <c r="D44" s="561"/>
      <c r="E44" s="541"/>
      <c r="F44" s="568"/>
      <c r="G44" s="150">
        <f t="shared" si="0"/>
        <v>0</v>
      </c>
    </row>
    <row r="45" spans="1:7">
      <c r="A45" s="53">
        <v>210</v>
      </c>
      <c r="B45" s="53" t="s">
        <v>1670</v>
      </c>
      <c r="C45" s="53" t="s">
        <v>1403</v>
      </c>
      <c r="D45" s="561"/>
      <c r="E45" s="541"/>
      <c r="F45" s="568"/>
      <c r="G45" s="150">
        <f t="shared" si="0"/>
        <v>0</v>
      </c>
    </row>
    <row r="46" spans="1:7">
      <c r="A46" s="53">
        <v>211</v>
      </c>
      <c r="B46" s="53" t="s">
        <v>1671</v>
      </c>
      <c r="C46" s="53" t="s">
        <v>1403</v>
      </c>
      <c r="D46" s="561"/>
      <c r="E46" s="541"/>
      <c r="F46" s="568"/>
      <c r="G46" s="150">
        <f t="shared" si="0"/>
        <v>0</v>
      </c>
    </row>
    <row r="47" spans="1:7">
      <c r="A47" s="53">
        <v>212</v>
      </c>
      <c r="B47" s="53" t="s">
        <v>1672</v>
      </c>
      <c r="C47" s="53" t="s">
        <v>1403</v>
      </c>
      <c r="D47" s="561"/>
      <c r="E47" s="541"/>
      <c r="F47" s="568"/>
      <c r="G47" s="150">
        <f t="shared" si="0"/>
        <v>0</v>
      </c>
    </row>
    <row r="48" spans="1:7">
      <c r="A48" s="53">
        <v>213</v>
      </c>
      <c r="B48" s="53" t="s">
        <v>1673</v>
      </c>
      <c r="C48" s="53" t="s">
        <v>1403</v>
      </c>
      <c r="D48" s="561"/>
      <c r="E48" s="541"/>
      <c r="F48" s="568"/>
      <c r="G48" s="150">
        <f t="shared" si="0"/>
        <v>0</v>
      </c>
    </row>
    <row r="49" spans="1:7">
      <c r="A49" s="53">
        <v>214</v>
      </c>
      <c r="B49" s="53" t="s">
        <v>1674</v>
      </c>
      <c r="C49" s="53" t="s">
        <v>1403</v>
      </c>
      <c r="D49" s="561"/>
      <c r="E49" s="541"/>
      <c r="F49" s="568"/>
      <c r="G49" s="150">
        <f t="shared" si="0"/>
        <v>0</v>
      </c>
    </row>
    <row r="50" spans="1:7">
      <c r="A50" s="53">
        <v>215</v>
      </c>
      <c r="B50" s="53" t="s">
        <v>1675</v>
      </c>
      <c r="C50" s="53" t="s">
        <v>1403</v>
      </c>
      <c r="D50" s="561"/>
      <c r="E50" s="541"/>
      <c r="F50" s="568"/>
      <c r="G50" s="150">
        <f t="shared" si="0"/>
        <v>0</v>
      </c>
    </row>
    <row r="51" spans="1:7">
      <c r="A51" s="549">
        <v>301</v>
      </c>
      <c r="B51" s="549" t="s">
        <v>1410</v>
      </c>
      <c r="C51" s="549" t="s">
        <v>1394</v>
      </c>
      <c r="D51" s="561"/>
      <c r="E51" s="541"/>
      <c r="F51" s="568"/>
      <c r="G51" s="150">
        <f t="shared" si="0"/>
        <v>0</v>
      </c>
    </row>
    <row r="52" spans="1:7">
      <c r="A52" s="53">
        <v>302</v>
      </c>
      <c r="B52" s="53" t="s">
        <v>1393</v>
      </c>
      <c r="C52" s="53" t="s">
        <v>1394</v>
      </c>
      <c r="D52" s="561"/>
      <c r="E52" s="541"/>
      <c r="F52" s="569"/>
      <c r="G52" s="150">
        <f t="shared" si="0"/>
        <v>0</v>
      </c>
    </row>
    <row r="53" spans="1:7">
      <c r="A53" s="53">
        <v>303</v>
      </c>
      <c r="B53" s="53" t="s">
        <v>133</v>
      </c>
      <c r="C53" s="53" t="s">
        <v>1394</v>
      </c>
      <c r="D53" s="561"/>
      <c r="E53" s="541"/>
      <c r="F53" s="569"/>
      <c r="G53" s="150">
        <f t="shared" si="0"/>
        <v>0</v>
      </c>
    </row>
    <row r="54" spans="1:7">
      <c r="A54" s="537" t="s">
        <v>2057</v>
      </c>
      <c r="B54" s="153" t="s">
        <v>2053</v>
      </c>
      <c r="C54" s="53" t="s">
        <v>1394</v>
      </c>
      <c r="D54" s="561"/>
      <c r="E54" s="541"/>
      <c r="F54" s="568"/>
      <c r="G54" s="150">
        <f t="shared" si="0"/>
        <v>0</v>
      </c>
    </row>
    <row r="55" spans="1:7">
      <c r="A55" s="53">
        <v>304</v>
      </c>
      <c r="B55" s="508" t="s">
        <v>1397</v>
      </c>
      <c r="C55" s="53" t="s">
        <v>1394</v>
      </c>
      <c r="D55" s="561"/>
      <c r="E55" s="541"/>
      <c r="F55" s="569"/>
      <c r="G55" s="150">
        <f t="shared" si="0"/>
        <v>0</v>
      </c>
    </row>
    <row r="56" spans="1:7">
      <c r="A56" s="53">
        <v>305</v>
      </c>
      <c r="B56" s="53" t="s">
        <v>1400</v>
      </c>
      <c r="C56" s="53" t="s">
        <v>1394</v>
      </c>
      <c r="D56" s="561"/>
      <c r="E56" s="541"/>
      <c r="F56" s="569"/>
      <c r="G56" s="150">
        <f t="shared" si="0"/>
        <v>0</v>
      </c>
    </row>
    <row r="57" spans="1:7">
      <c r="A57" s="53">
        <v>306</v>
      </c>
      <c r="B57" s="53" t="s">
        <v>1401</v>
      </c>
      <c r="C57" s="53" t="s">
        <v>1394</v>
      </c>
      <c r="D57" s="561"/>
      <c r="E57" s="541"/>
      <c r="F57" s="569"/>
      <c r="G57" s="150">
        <f t="shared" si="0"/>
        <v>0</v>
      </c>
    </row>
    <row r="58" spans="1:7">
      <c r="A58" s="53">
        <v>307</v>
      </c>
      <c r="B58" s="53" t="s">
        <v>1395</v>
      </c>
      <c r="C58" s="53" t="s">
        <v>1394</v>
      </c>
      <c r="D58" s="561"/>
      <c r="E58" s="541"/>
      <c r="F58" s="569"/>
      <c r="G58" s="150">
        <f t="shared" si="0"/>
        <v>0</v>
      </c>
    </row>
    <row r="59" spans="1:7">
      <c r="A59" s="53">
        <v>308</v>
      </c>
      <c r="B59" s="53" t="s">
        <v>1402</v>
      </c>
      <c r="C59" s="53" t="s">
        <v>1394</v>
      </c>
      <c r="D59" s="561"/>
      <c r="E59" s="541"/>
      <c r="F59" s="569"/>
      <c r="G59" s="150">
        <f t="shared" si="0"/>
        <v>0</v>
      </c>
    </row>
    <row r="60" spans="1:7">
      <c r="A60" s="53">
        <v>309</v>
      </c>
      <c r="B60" s="53" t="s">
        <v>1398</v>
      </c>
      <c r="C60" s="53" t="s">
        <v>1394</v>
      </c>
      <c r="D60" s="561"/>
      <c r="E60" s="541"/>
      <c r="F60" s="569"/>
      <c r="G60" s="150">
        <f t="shared" si="0"/>
        <v>0</v>
      </c>
    </row>
    <row r="61" spans="1:7">
      <c r="A61" s="53">
        <v>310</v>
      </c>
      <c r="B61" s="53" t="s">
        <v>1399</v>
      </c>
      <c r="C61" s="53" t="s">
        <v>1394</v>
      </c>
      <c r="D61" s="561"/>
      <c r="E61" s="541"/>
      <c r="F61" s="569"/>
      <c r="G61" s="150">
        <f t="shared" si="0"/>
        <v>0</v>
      </c>
    </row>
    <row r="62" spans="1:7">
      <c r="A62" s="53">
        <v>311</v>
      </c>
      <c r="B62" s="53" t="s">
        <v>1396</v>
      </c>
      <c r="C62" s="53" t="s">
        <v>1394</v>
      </c>
      <c r="D62" s="561"/>
      <c r="E62" s="541"/>
      <c r="F62" s="569"/>
      <c r="G62" s="150">
        <f t="shared" si="0"/>
        <v>0</v>
      </c>
    </row>
    <row r="63" spans="1:7">
      <c r="A63" s="537" t="s">
        <v>2056</v>
      </c>
      <c r="B63" s="153" t="s">
        <v>2054</v>
      </c>
      <c r="C63" s="53" t="s">
        <v>1394</v>
      </c>
      <c r="D63" s="561"/>
      <c r="E63" s="541"/>
      <c r="F63" s="568"/>
      <c r="G63" s="150">
        <f t="shared" si="0"/>
        <v>0</v>
      </c>
    </row>
    <row r="64" spans="1:7">
      <c r="A64" s="53">
        <v>312</v>
      </c>
      <c r="B64" s="53" t="s">
        <v>1411</v>
      </c>
      <c r="C64" s="53" t="s">
        <v>1394</v>
      </c>
      <c r="D64" s="561"/>
      <c r="E64" s="541"/>
      <c r="F64" s="569"/>
      <c r="G64" s="150">
        <f t="shared" si="0"/>
        <v>0</v>
      </c>
    </row>
    <row r="65" spans="1:7" ht="14.25" thickBot="1">
      <c r="F65" s="614"/>
    </row>
    <row r="66" spans="1:7" s="196" customFormat="1" thickBot="1">
      <c r="A66" s="403"/>
      <c r="B66" s="237" t="s">
        <v>1338</v>
      </c>
      <c r="C66" s="237"/>
      <c r="D66" s="411">
        <f>SUM(D14:D64)</f>
        <v>0</v>
      </c>
      <c r="E66" s="255">
        <f>SUM(E14:E64)</f>
        <v>0</v>
      </c>
      <c r="F66" s="615"/>
      <c r="G66" s="255">
        <f>SUM(G14:G64)</f>
        <v>0</v>
      </c>
    </row>
    <row r="68" spans="1:7" ht="15">
      <c r="A68" s="354" t="s">
        <v>1117</v>
      </c>
      <c r="B68" s="616"/>
      <c r="C68" s="616"/>
      <c r="D68" s="617"/>
      <c r="E68" s="616"/>
    </row>
    <row r="69" spans="1:7">
      <c r="A69" s="107" t="s">
        <v>2129</v>
      </c>
      <c r="B69" s="616"/>
      <c r="C69" s="616"/>
      <c r="D69" s="617"/>
      <c r="E69" s="616"/>
    </row>
    <row r="70" spans="1:7">
      <c r="A70" s="107" t="s">
        <v>1119</v>
      </c>
      <c r="B70" s="616"/>
      <c r="C70" s="616"/>
      <c r="D70" s="617"/>
      <c r="E70" s="616"/>
    </row>
  </sheetData>
  <autoFilter ref="A13:G66" xr:uid="{E7F9568E-A4F1-428F-9CA5-9F24B7932071}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2F73-F2AD-47CA-831B-480112B89458}">
  <sheetPr>
    <tabColor theme="0" tint="-0.14999847407452621"/>
  </sheetPr>
  <dimension ref="A1:F44"/>
  <sheetViews>
    <sheetView showGridLines="0" zoomScaleNormal="100" workbookViewId="0">
      <pane ySplit="9" topLeftCell="A10" activePane="bottomLeft" state="frozen"/>
      <selection activeCell="F30" sqref="F30"/>
      <selection pane="bottomLeft" activeCell="E23" sqref="E23"/>
    </sheetView>
  </sheetViews>
  <sheetFormatPr defaultColWidth="11.42578125" defaultRowHeight="13.5"/>
  <cols>
    <col min="1" max="1" width="41.7109375" style="27" customWidth="1"/>
    <col min="2" max="2" width="26.42578125" style="27" customWidth="1"/>
    <col min="3" max="3" width="20.140625" style="27" bestFit="1" customWidth="1"/>
    <col min="4" max="5" width="20.42578125" style="27" customWidth="1"/>
    <col min="6" max="7" width="17.5703125" style="27" customWidth="1"/>
    <col min="8" max="16384" width="11.42578125" style="27"/>
  </cols>
  <sheetData>
    <row r="1" spans="1:6" ht="14.25">
      <c r="A1" s="263" t="s">
        <v>2</v>
      </c>
    </row>
    <row r="3" spans="1:6" ht="17.25">
      <c r="A3" s="259" t="s">
        <v>3</v>
      </c>
      <c r="B3" s="348" t="str">
        <f>'1-Inschrijfstaat'!B3</f>
        <v>GVB Infra B.V.</v>
      </c>
    </row>
    <row r="4" spans="1:6" ht="17.25">
      <c r="A4" s="259" t="s">
        <v>1093</v>
      </c>
      <c r="B4" s="348" t="str">
        <f ca="1">MID(CELL("bestandsnaam",$C$8),SEARCH("]",CELL("bestandsnaam",$C$8),1)+1,256)</f>
        <v>11a- Afroepprijs graffiti</v>
      </c>
    </row>
    <row r="5" spans="1:6" ht="17.25">
      <c r="A5" s="250" t="str">
        <f>'9-Machinekosten'!A5</f>
        <v>Gebouw/plaats</v>
      </c>
      <c r="B5" s="348" t="str">
        <f>'9-Machinekosten'!B5</f>
        <v>Diverse</v>
      </c>
      <c r="C5" s="95"/>
      <c r="D5" s="95"/>
      <c r="E5" s="95"/>
      <c r="F5" s="95"/>
    </row>
    <row r="6" spans="1:6" ht="17.25">
      <c r="A6" s="250" t="str">
        <f>'9-Machinekosten'!A6</f>
        <v>Besteknummer</v>
      </c>
      <c r="B6" s="348" t="str">
        <f>'1-Inschrijfstaat'!B6</f>
        <v>2021-61</v>
      </c>
      <c r="C6" s="96"/>
      <c r="D6" s="97"/>
      <c r="E6" s="97"/>
      <c r="F6" s="97"/>
    </row>
    <row r="7" spans="1:6" ht="17.25">
      <c r="A7" s="250" t="str">
        <f>'9-Machinekosten'!A7</f>
        <v>Naam leverancier</v>
      </c>
      <c r="B7" s="348" t="str">
        <f>'1-Inschrijfstaat'!B7:D7</f>
        <v>Naam dienstverlener</v>
      </c>
      <c r="C7" s="96"/>
      <c r="D7" s="97"/>
      <c r="E7" s="97"/>
    </row>
    <row r="8" spans="1:6" ht="15.75">
      <c r="A8" s="250" t="str">
        <f>'9-Machinekosten'!A8</f>
        <v>Prijspeil</v>
      </c>
      <c r="B8" s="11" t="str">
        <f>'1-Inschrijfstaat'!B8</f>
        <v>1 januari 2022</v>
      </c>
      <c r="C8" s="96"/>
      <c r="D8" s="97"/>
      <c r="E8" s="97"/>
    </row>
    <row r="9" spans="1:6" ht="15.75">
      <c r="A9" s="250" t="str">
        <f>'9-Machinekosten'!A9</f>
        <v>Perceel</v>
      </c>
      <c r="B9" s="62" t="str">
        <f>'1-Inschrijfstaat'!B9</f>
        <v>1 Technische schoonmaak Algemeen</v>
      </c>
      <c r="C9" s="96"/>
      <c r="D9" s="97"/>
      <c r="E9" s="97"/>
    </row>
    <row r="10" spans="1:6">
      <c r="A10" s="98"/>
      <c r="B10" s="99"/>
      <c r="C10" s="99"/>
      <c r="D10" s="99"/>
      <c r="E10" s="99"/>
    </row>
    <row r="11" spans="1:6" ht="34.15" customHeight="1">
      <c r="A11" s="678" t="s">
        <v>2103</v>
      </c>
      <c r="B11" s="679"/>
      <c r="C11" s="679"/>
      <c r="D11" s="679"/>
      <c r="E11" s="680"/>
    </row>
    <row r="13" spans="1:6">
      <c r="A13" s="350" t="s">
        <v>1109</v>
      </c>
      <c r="B13" s="350" t="s">
        <v>1110</v>
      </c>
      <c r="C13" s="351" t="s">
        <v>2105</v>
      </c>
      <c r="D13" s="639" t="s">
        <v>1687</v>
      </c>
      <c r="E13" s="254" t="s">
        <v>1304</v>
      </c>
    </row>
    <row r="14" spans="1:6" ht="14.25">
      <c r="A14" s="22" t="s">
        <v>2104</v>
      </c>
      <c r="B14" s="455" t="s">
        <v>2013</v>
      </c>
      <c r="C14" s="587">
        <v>250</v>
      </c>
      <c r="D14" s="349">
        <v>0</v>
      </c>
      <c r="E14" s="588">
        <f>D14*C14</f>
        <v>0</v>
      </c>
      <c r="F14" s="401"/>
    </row>
    <row r="15" spans="1:6" ht="14.25">
      <c r="A15" s="22" t="s">
        <v>2104</v>
      </c>
      <c r="B15" s="575" t="s">
        <v>2078</v>
      </c>
      <c r="C15" s="587">
        <v>70</v>
      </c>
      <c r="D15" s="349">
        <v>0</v>
      </c>
      <c r="E15" s="588">
        <f>D15*C15</f>
        <v>0</v>
      </c>
      <c r="F15" s="401"/>
    </row>
    <row r="16" spans="1:6">
      <c r="A16" s="589" t="s">
        <v>5</v>
      </c>
      <c r="B16" s="590"/>
      <c r="C16" s="591"/>
      <c r="D16" s="591"/>
      <c r="E16" s="592">
        <f>SUM(E14:E15)</f>
        <v>0</v>
      </c>
      <c r="F16" s="401"/>
    </row>
    <row r="17" spans="1:6">
      <c r="A17" s="103"/>
      <c r="B17" s="104"/>
      <c r="C17" s="104"/>
      <c r="D17" s="105"/>
      <c r="E17" s="105"/>
    </row>
    <row r="18" spans="1:6">
      <c r="A18" s="350" t="s">
        <v>2026</v>
      </c>
      <c r="B18" s="350" t="s">
        <v>2027</v>
      </c>
      <c r="C18" s="258" t="s">
        <v>2012</v>
      </c>
      <c r="D18" s="353" t="s">
        <v>1382</v>
      </c>
      <c r="E18" s="105"/>
    </row>
    <row r="19" spans="1:6" ht="14.25">
      <c r="A19" s="22" t="s">
        <v>1383</v>
      </c>
      <c r="B19" s="458" t="s">
        <v>2019</v>
      </c>
      <c r="C19" s="458" t="s">
        <v>2014</v>
      </c>
      <c r="D19" s="349">
        <v>0</v>
      </c>
      <c r="E19" s="105"/>
      <c r="F19" s="401"/>
    </row>
    <row r="20" spans="1:6" ht="14.25">
      <c r="A20" s="22" t="s">
        <v>1383</v>
      </c>
      <c r="B20" s="458" t="s">
        <v>2020</v>
      </c>
      <c r="C20" s="458" t="s">
        <v>2014</v>
      </c>
      <c r="D20" s="349">
        <v>0</v>
      </c>
      <c r="E20" s="105"/>
      <c r="F20" s="401"/>
    </row>
    <row r="21" spans="1:6" ht="14.25">
      <c r="A21" s="22" t="s">
        <v>1383</v>
      </c>
      <c r="B21" s="458" t="s">
        <v>2021</v>
      </c>
      <c r="C21" s="458" t="s">
        <v>2022</v>
      </c>
      <c r="D21" s="349">
        <v>0</v>
      </c>
      <c r="E21" s="105"/>
      <c r="F21" s="401"/>
    </row>
    <row r="22" spans="1:6" ht="14.25">
      <c r="A22" s="22" t="s">
        <v>1383</v>
      </c>
      <c r="B22" s="458" t="s">
        <v>2023</v>
      </c>
      <c r="C22" s="458" t="s">
        <v>2024</v>
      </c>
      <c r="D22" s="349">
        <v>0</v>
      </c>
      <c r="E22" s="105"/>
      <c r="F22" s="401"/>
    </row>
    <row r="23" spans="1:6" ht="14.25">
      <c r="A23" s="22" t="s">
        <v>1383</v>
      </c>
      <c r="B23" s="458" t="s">
        <v>2025</v>
      </c>
      <c r="C23" s="458" t="s">
        <v>2024</v>
      </c>
      <c r="D23" s="349">
        <v>0</v>
      </c>
      <c r="E23" s="105"/>
      <c r="F23" s="401"/>
    </row>
    <row r="24" spans="1:6" ht="14.25">
      <c r="A24" s="22" t="s">
        <v>1383</v>
      </c>
      <c r="B24" s="656" t="s">
        <v>2147</v>
      </c>
      <c r="C24" s="656" t="s">
        <v>2148</v>
      </c>
      <c r="D24" s="349">
        <v>0</v>
      </c>
      <c r="E24" s="105"/>
      <c r="F24" s="401"/>
    </row>
    <row r="25" spans="1:6" ht="14.25">
      <c r="A25" s="22" t="s">
        <v>1383</v>
      </c>
      <c r="B25" s="656" t="s">
        <v>2149</v>
      </c>
      <c r="C25" s="656" t="s">
        <v>2148</v>
      </c>
      <c r="D25" s="349">
        <v>0</v>
      </c>
      <c r="E25" s="105"/>
      <c r="F25" s="401"/>
    </row>
    <row r="26" spans="1:6" ht="14.25">
      <c r="A26" s="22" t="s">
        <v>1384</v>
      </c>
      <c r="B26" s="458" t="s">
        <v>2019</v>
      </c>
      <c r="C26" s="458" t="s">
        <v>2014</v>
      </c>
      <c r="D26" s="349">
        <v>0</v>
      </c>
      <c r="E26" s="105"/>
      <c r="F26" s="401"/>
    </row>
    <row r="27" spans="1:6" ht="14.25">
      <c r="A27" s="22" t="s">
        <v>1384</v>
      </c>
      <c r="B27" s="458" t="s">
        <v>2020</v>
      </c>
      <c r="C27" s="458" t="s">
        <v>2014</v>
      </c>
      <c r="D27" s="349">
        <v>0</v>
      </c>
      <c r="E27" s="105"/>
      <c r="F27" s="401"/>
    </row>
    <row r="28" spans="1:6" ht="14.25">
      <c r="A28" s="22" t="s">
        <v>1384</v>
      </c>
      <c r="B28" s="458" t="s">
        <v>2021</v>
      </c>
      <c r="C28" s="458" t="s">
        <v>2022</v>
      </c>
      <c r="D28" s="349">
        <v>0</v>
      </c>
      <c r="E28" s="105"/>
      <c r="F28" s="401"/>
    </row>
    <row r="29" spans="1:6" ht="14.25">
      <c r="A29" s="22" t="s">
        <v>1384</v>
      </c>
      <c r="B29" s="458" t="s">
        <v>2023</v>
      </c>
      <c r="C29" s="458" t="s">
        <v>2024</v>
      </c>
      <c r="D29" s="349">
        <v>0</v>
      </c>
      <c r="E29" s="105"/>
      <c r="F29" s="401"/>
    </row>
    <row r="30" spans="1:6" ht="14.25">
      <c r="A30" s="22" t="s">
        <v>1384</v>
      </c>
      <c r="B30" s="458" t="s">
        <v>2025</v>
      </c>
      <c r="C30" s="458" t="s">
        <v>2024</v>
      </c>
      <c r="D30" s="349">
        <v>0</v>
      </c>
      <c r="E30" s="105"/>
      <c r="F30" s="401"/>
    </row>
    <row r="31" spans="1:6" ht="14.25">
      <c r="A31" s="22" t="s">
        <v>1384</v>
      </c>
      <c r="B31" s="656" t="s">
        <v>2147</v>
      </c>
      <c r="C31" s="656" t="s">
        <v>2148</v>
      </c>
      <c r="D31" s="349">
        <v>0</v>
      </c>
      <c r="E31" s="105"/>
      <c r="F31" s="401"/>
    </row>
    <row r="32" spans="1:6" ht="14.25">
      <c r="A32" s="22" t="s">
        <v>1384</v>
      </c>
      <c r="B32" s="656" t="s">
        <v>2149</v>
      </c>
      <c r="C32" s="656" t="s">
        <v>2148</v>
      </c>
      <c r="D32" s="349">
        <v>0</v>
      </c>
      <c r="E32" s="105"/>
      <c r="F32" s="401"/>
    </row>
    <row r="33" spans="1:6" ht="14.25">
      <c r="A33" s="22" t="s">
        <v>1385</v>
      </c>
      <c r="B33" s="458" t="s">
        <v>2019</v>
      </c>
      <c r="C33" s="458" t="s">
        <v>2014</v>
      </c>
      <c r="D33" s="349">
        <v>0</v>
      </c>
      <c r="E33" s="105"/>
      <c r="F33" s="401"/>
    </row>
    <row r="34" spans="1:6" ht="14.25">
      <c r="A34" s="22" t="s">
        <v>1385</v>
      </c>
      <c r="B34" s="458" t="s">
        <v>2020</v>
      </c>
      <c r="C34" s="458" t="s">
        <v>2014</v>
      </c>
      <c r="D34" s="349">
        <v>0</v>
      </c>
      <c r="E34" s="105"/>
    </row>
    <row r="35" spans="1:6" ht="14.25">
      <c r="A35" s="22" t="s">
        <v>1385</v>
      </c>
      <c r="B35" s="458" t="s">
        <v>2021</v>
      </c>
      <c r="C35" s="458" t="s">
        <v>2022</v>
      </c>
      <c r="D35" s="349">
        <v>0</v>
      </c>
      <c r="E35" s="107"/>
    </row>
    <row r="36" spans="1:6" ht="14.25">
      <c r="A36" s="22" t="s">
        <v>1385</v>
      </c>
      <c r="B36" s="458" t="s">
        <v>2023</v>
      </c>
      <c r="C36" s="458" t="s">
        <v>2024</v>
      </c>
      <c r="D36" s="349">
        <v>0</v>
      </c>
      <c r="E36" s="107"/>
    </row>
    <row r="37" spans="1:6" ht="14.25">
      <c r="A37" s="22" t="s">
        <v>1385</v>
      </c>
      <c r="B37" s="458" t="s">
        <v>2025</v>
      </c>
      <c r="C37" s="458" t="s">
        <v>2024</v>
      </c>
      <c r="D37" s="349">
        <v>0</v>
      </c>
      <c r="E37" s="107"/>
    </row>
    <row r="38" spans="1:6" ht="14.25">
      <c r="A38" s="22" t="s">
        <v>1385</v>
      </c>
      <c r="B38" s="656" t="s">
        <v>2147</v>
      </c>
      <c r="C38" s="656" t="s">
        <v>2148</v>
      </c>
      <c r="D38" s="349">
        <v>0</v>
      </c>
      <c r="E38" s="107"/>
    </row>
    <row r="39" spans="1:6" ht="14.25">
      <c r="A39" s="22" t="s">
        <v>1385</v>
      </c>
      <c r="B39" s="656" t="s">
        <v>2149</v>
      </c>
      <c r="C39" s="656" t="s">
        <v>2148</v>
      </c>
      <c r="D39" s="349">
        <v>0</v>
      </c>
      <c r="E39" s="110"/>
    </row>
    <row r="40" spans="1:6" ht="14.25">
      <c r="B40" s="106"/>
      <c r="C40" s="106"/>
      <c r="D40" s="107"/>
      <c r="E40" s="108"/>
    </row>
    <row r="41" spans="1:6" ht="15">
      <c r="A41" s="354" t="s">
        <v>1117</v>
      </c>
      <c r="B41" s="106"/>
      <c r="C41" s="106"/>
      <c r="D41" s="107"/>
    </row>
    <row r="42" spans="1:6" ht="14.25">
      <c r="A42" s="107" t="s">
        <v>1118</v>
      </c>
      <c r="B42" s="106"/>
      <c r="C42" s="106"/>
      <c r="D42" s="107"/>
    </row>
    <row r="43" spans="1:6" ht="14.25">
      <c r="A43" s="107" t="s">
        <v>1119</v>
      </c>
      <c r="B43" s="108"/>
      <c r="C43" s="109"/>
      <c r="D43" s="110"/>
    </row>
    <row r="44" spans="1:6" ht="14.25">
      <c r="A44" s="108"/>
      <c r="B44" s="108"/>
      <c r="C44" s="108"/>
      <c r="D44" s="108"/>
    </row>
  </sheetData>
  <mergeCells count="1">
    <mergeCell ref="A11:E11"/>
  </mergeCells>
  <pageMargins left="0.7" right="0.7" top="0.75" bottom="0.75" header="0.3" footer="0.3"/>
  <pageSetup paperSize="9" scale="6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14999847407452621"/>
  </sheetPr>
  <dimension ref="A1:F46"/>
  <sheetViews>
    <sheetView showGridLines="0" zoomScaleNormal="100" workbookViewId="0">
      <pane ySplit="9" topLeftCell="A10" activePane="bottomLeft" state="frozen"/>
      <selection activeCell="F30" sqref="F30"/>
      <selection pane="bottomLeft" activeCell="C6" sqref="C6"/>
    </sheetView>
  </sheetViews>
  <sheetFormatPr defaultColWidth="11.42578125" defaultRowHeight="13.5"/>
  <cols>
    <col min="1" max="1" width="41.7109375" style="27" customWidth="1"/>
    <col min="2" max="2" width="26.42578125" style="27" customWidth="1"/>
    <col min="3" max="3" width="20.140625" style="27" bestFit="1" customWidth="1"/>
    <col min="4" max="4" width="20.42578125" style="27" customWidth="1"/>
    <col min="5" max="6" width="17.5703125" style="27" customWidth="1"/>
    <col min="7" max="16384" width="11.42578125" style="27"/>
  </cols>
  <sheetData>
    <row r="1" spans="1:6" ht="14.25">
      <c r="A1" s="263" t="s">
        <v>2</v>
      </c>
    </row>
    <row r="3" spans="1:6" ht="17.25">
      <c r="A3" s="259" t="s">
        <v>3</v>
      </c>
      <c r="B3" s="348" t="str">
        <f>'1-Inschrijfstaat'!B3</f>
        <v>GVB Infra B.V.</v>
      </c>
    </row>
    <row r="4" spans="1:6" ht="17.25">
      <c r="A4" s="259" t="s">
        <v>1093</v>
      </c>
      <c r="B4" s="348" t="str">
        <f ca="1">MID(CELL("bestandsnaam",$C$8),SEARCH("]",CELL("bestandsnaam",$C$8),1)+1,256)</f>
        <v>11b- Afroepprijs Algemeen</v>
      </c>
    </row>
    <row r="5" spans="1:6" ht="17.25">
      <c r="A5" s="250" t="str">
        <f>'9-Machinekosten'!A5</f>
        <v>Gebouw/plaats</v>
      </c>
      <c r="B5" s="348" t="str">
        <f>'9-Machinekosten'!B5</f>
        <v>Diverse</v>
      </c>
      <c r="C5" s="95"/>
      <c r="D5" s="95"/>
    </row>
    <row r="6" spans="1:6" ht="17.25">
      <c r="A6" s="250" t="str">
        <f>'9-Machinekosten'!A6</f>
        <v>Besteknummer</v>
      </c>
      <c r="B6" s="348" t="str">
        <f>'1-Inschrijfstaat'!B6</f>
        <v>2021-61</v>
      </c>
      <c r="C6" s="96"/>
      <c r="D6" s="97"/>
    </row>
    <row r="7" spans="1:6" ht="17.25">
      <c r="A7" s="250" t="str">
        <f>'9-Machinekosten'!A7</f>
        <v>Naam leverancier</v>
      </c>
      <c r="B7" s="348" t="str">
        <f>'1-Inschrijfstaat'!B7:D7</f>
        <v>Naam dienstverlener</v>
      </c>
      <c r="C7" s="96"/>
      <c r="D7" s="97"/>
    </row>
    <row r="8" spans="1:6" ht="15.75">
      <c r="A8" s="250" t="str">
        <f>'9-Machinekosten'!A8</f>
        <v>Prijspeil</v>
      </c>
      <c r="B8" s="11" t="str">
        <f>'1-Inschrijfstaat'!B8</f>
        <v>1 januari 2022</v>
      </c>
      <c r="C8" s="96"/>
      <c r="D8" s="97"/>
    </row>
    <row r="9" spans="1:6" ht="15.75">
      <c r="A9" s="250" t="str">
        <f>'9-Machinekosten'!A9</f>
        <v>Perceel</v>
      </c>
      <c r="B9" s="62" t="str">
        <f>'1-Inschrijfstaat'!B9</f>
        <v>1 Technische schoonmaak Algemeen</v>
      </c>
      <c r="C9" s="96"/>
      <c r="D9" s="97"/>
    </row>
    <row r="10" spans="1:6">
      <c r="A10" s="98"/>
      <c r="B10" s="99"/>
      <c r="C10" s="99"/>
      <c r="D10" s="99"/>
    </row>
    <row r="11" spans="1:6" ht="34.15" customHeight="1">
      <c r="A11" s="683" t="s">
        <v>1159</v>
      </c>
      <c r="B11" s="684"/>
      <c r="C11" s="684"/>
      <c r="D11" s="684"/>
    </row>
    <row r="13" spans="1:6">
      <c r="A13" s="100"/>
      <c r="B13" s="101"/>
      <c r="C13" s="681" t="s">
        <v>1108</v>
      </c>
      <c r="D13" s="682"/>
    </row>
    <row r="14" spans="1:6">
      <c r="A14" s="350" t="s">
        <v>1109</v>
      </c>
      <c r="B14" s="350" t="s">
        <v>1110</v>
      </c>
      <c r="C14" s="351" t="s">
        <v>1082</v>
      </c>
      <c r="D14" s="352" t="s">
        <v>1083</v>
      </c>
    </row>
    <row r="15" spans="1:6" ht="14.25">
      <c r="A15" s="22" t="s">
        <v>1111</v>
      </c>
      <c r="B15" s="22" t="s">
        <v>1112</v>
      </c>
      <c r="C15" s="349">
        <v>0</v>
      </c>
      <c r="D15" s="349">
        <v>0</v>
      </c>
      <c r="E15" s="401"/>
      <c r="F15" s="401"/>
    </row>
    <row r="16" spans="1:6" ht="14.25">
      <c r="A16" s="22" t="s">
        <v>1113</v>
      </c>
      <c r="B16" s="22" t="s">
        <v>1114</v>
      </c>
      <c r="C16" s="349">
        <v>0</v>
      </c>
      <c r="D16" s="349">
        <v>0</v>
      </c>
      <c r="E16" s="401"/>
      <c r="F16" s="401"/>
    </row>
    <row r="17" spans="1:6" ht="14.25">
      <c r="A17" s="102" t="s">
        <v>1115</v>
      </c>
      <c r="B17" s="22"/>
      <c r="C17" s="349">
        <v>0</v>
      </c>
      <c r="D17" s="349">
        <v>0</v>
      </c>
      <c r="E17" s="401"/>
      <c r="F17" s="401"/>
    </row>
    <row r="18" spans="1:6" ht="14.25">
      <c r="A18" s="102" t="s">
        <v>1116</v>
      </c>
      <c r="B18" s="22"/>
      <c r="C18" s="349">
        <v>0</v>
      </c>
      <c r="D18" s="349">
        <v>0</v>
      </c>
      <c r="E18" s="401"/>
      <c r="F18" s="401"/>
    </row>
    <row r="19" spans="1:6">
      <c r="A19" s="103"/>
      <c r="B19" s="104"/>
      <c r="C19" s="104"/>
      <c r="D19" s="105"/>
    </row>
    <row r="20" spans="1:6">
      <c r="A20" s="350" t="s">
        <v>2026</v>
      </c>
      <c r="B20" s="350" t="s">
        <v>2027</v>
      </c>
      <c r="C20" s="258" t="s">
        <v>2012</v>
      </c>
      <c r="D20" s="353" t="s">
        <v>1382</v>
      </c>
    </row>
    <row r="21" spans="1:6" ht="14.25">
      <c r="A21" s="22" t="s">
        <v>1383</v>
      </c>
      <c r="B21" s="458" t="s">
        <v>2019</v>
      </c>
      <c r="C21" s="458" t="s">
        <v>2014</v>
      </c>
      <c r="D21" s="349">
        <v>0</v>
      </c>
      <c r="E21" s="401"/>
    </row>
    <row r="22" spans="1:6" ht="14.25">
      <c r="A22" s="22" t="s">
        <v>1383</v>
      </c>
      <c r="B22" s="458" t="s">
        <v>2020</v>
      </c>
      <c r="C22" s="458" t="s">
        <v>2014</v>
      </c>
      <c r="D22" s="349">
        <v>0</v>
      </c>
      <c r="E22" s="401"/>
    </row>
    <row r="23" spans="1:6" ht="14.25">
      <c r="A23" s="22" t="s">
        <v>1383</v>
      </c>
      <c r="B23" s="458" t="s">
        <v>2021</v>
      </c>
      <c r="C23" s="458" t="s">
        <v>2022</v>
      </c>
      <c r="D23" s="349">
        <v>0</v>
      </c>
      <c r="E23" s="401"/>
    </row>
    <row r="24" spans="1:6" ht="14.25">
      <c r="A24" s="22" t="s">
        <v>1383</v>
      </c>
      <c r="B24" s="458" t="s">
        <v>2023</v>
      </c>
      <c r="C24" s="458" t="s">
        <v>2024</v>
      </c>
      <c r="D24" s="349">
        <v>0</v>
      </c>
      <c r="E24" s="401"/>
    </row>
    <row r="25" spans="1:6" ht="14.25">
      <c r="A25" s="22" t="s">
        <v>1383</v>
      </c>
      <c r="B25" s="458" t="s">
        <v>2025</v>
      </c>
      <c r="C25" s="458" t="s">
        <v>2024</v>
      </c>
      <c r="D25" s="349">
        <v>0</v>
      </c>
      <c r="E25" s="401"/>
    </row>
    <row r="26" spans="1:6" ht="14.25">
      <c r="A26" s="22" t="s">
        <v>1383</v>
      </c>
      <c r="B26" s="656" t="s">
        <v>2147</v>
      </c>
      <c r="C26" s="656" t="s">
        <v>2148</v>
      </c>
      <c r="D26" s="349">
        <v>0</v>
      </c>
      <c r="E26" s="401"/>
    </row>
    <row r="27" spans="1:6" ht="14.25">
      <c r="A27" s="22" t="s">
        <v>1383</v>
      </c>
      <c r="B27" s="656" t="s">
        <v>2149</v>
      </c>
      <c r="C27" s="656" t="s">
        <v>2148</v>
      </c>
      <c r="D27" s="349">
        <v>0</v>
      </c>
      <c r="E27" s="401"/>
    </row>
    <row r="28" spans="1:6" ht="14.25">
      <c r="A28" s="22" t="s">
        <v>1384</v>
      </c>
      <c r="B28" s="458" t="s">
        <v>2019</v>
      </c>
      <c r="C28" s="458" t="s">
        <v>2014</v>
      </c>
      <c r="D28" s="349">
        <v>0</v>
      </c>
      <c r="E28" s="401"/>
    </row>
    <row r="29" spans="1:6" ht="14.25">
      <c r="A29" s="22" t="s">
        <v>1384</v>
      </c>
      <c r="B29" s="458" t="s">
        <v>2020</v>
      </c>
      <c r="C29" s="458" t="s">
        <v>2014</v>
      </c>
      <c r="D29" s="349">
        <v>0</v>
      </c>
      <c r="E29" s="401"/>
    </row>
    <row r="30" spans="1:6" ht="14.25">
      <c r="A30" s="22" t="s">
        <v>1384</v>
      </c>
      <c r="B30" s="458" t="s">
        <v>2021</v>
      </c>
      <c r="C30" s="458" t="s">
        <v>2022</v>
      </c>
      <c r="D30" s="349">
        <v>0</v>
      </c>
      <c r="E30" s="401"/>
    </row>
    <row r="31" spans="1:6" ht="14.25">
      <c r="A31" s="22" t="s">
        <v>1384</v>
      </c>
      <c r="B31" s="458" t="s">
        <v>2023</v>
      </c>
      <c r="C31" s="458" t="s">
        <v>2024</v>
      </c>
      <c r="D31" s="349">
        <v>0</v>
      </c>
      <c r="E31" s="401"/>
    </row>
    <row r="32" spans="1:6" ht="14.25">
      <c r="A32" s="22" t="s">
        <v>1384</v>
      </c>
      <c r="B32" s="458" t="s">
        <v>2025</v>
      </c>
      <c r="C32" s="458" t="s">
        <v>2024</v>
      </c>
      <c r="D32" s="349">
        <v>0</v>
      </c>
      <c r="E32" s="401"/>
    </row>
    <row r="33" spans="1:5" ht="14.25">
      <c r="A33" s="22" t="s">
        <v>1384</v>
      </c>
      <c r="B33" s="656" t="s">
        <v>2147</v>
      </c>
      <c r="C33" s="656" t="s">
        <v>2148</v>
      </c>
      <c r="D33" s="349">
        <v>0</v>
      </c>
      <c r="E33" s="401"/>
    </row>
    <row r="34" spans="1:5" ht="14.25">
      <c r="A34" s="22" t="s">
        <v>1384</v>
      </c>
      <c r="B34" s="656" t="s">
        <v>2149</v>
      </c>
      <c r="C34" s="656" t="s">
        <v>2148</v>
      </c>
      <c r="D34" s="349">
        <v>0</v>
      </c>
      <c r="E34" s="401"/>
    </row>
    <row r="35" spans="1:5" ht="14.25">
      <c r="A35" s="22" t="s">
        <v>1385</v>
      </c>
      <c r="B35" s="458" t="s">
        <v>2019</v>
      </c>
      <c r="C35" s="458" t="s">
        <v>2014</v>
      </c>
      <c r="D35" s="349">
        <v>0</v>
      </c>
      <c r="E35" s="401"/>
    </row>
    <row r="36" spans="1:5" ht="14.25">
      <c r="A36" s="22" t="s">
        <v>1385</v>
      </c>
      <c r="B36" s="458" t="s">
        <v>2020</v>
      </c>
      <c r="C36" s="458" t="s">
        <v>2014</v>
      </c>
      <c r="D36" s="349">
        <v>0</v>
      </c>
      <c r="E36" s="401"/>
    </row>
    <row r="37" spans="1:5" ht="14.25">
      <c r="A37" s="22" t="s">
        <v>1385</v>
      </c>
      <c r="B37" s="458" t="s">
        <v>2021</v>
      </c>
      <c r="C37" s="458" t="s">
        <v>2022</v>
      </c>
      <c r="D37" s="349">
        <v>0</v>
      </c>
      <c r="E37" s="401"/>
    </row>
    <row r="38" spans="1:5" ht="14.25">
      <c r="A38" s="22" t="s">
        <v>1385</v>
      </c>
      <c r="B38" s="458" t="s">
        <v>2023</v>
      </c>
      <c r="C38" s="458" t="s">
        <v>2024</v>
      </c>
      <c r="D38" s="349">
        <v>0</v>
      </c>
      <c r="E38" s="401"/>
    </row>
    <row r="39" spans="1:5" ht="14.25">
      <c r="A39" s="22" t="s">
        <v>1385</v>
      </c>
      <c r="B39" s="458" t="s">
        <v>2025</v>
      </c>
      <c r="C39" s="458" t="s">
        <v>2024</v>
      </c>
      <c r="D39" s="349">
        <v>0</v>
      </c>
      <c r="E39" s="401"/>
    </row>
    <row r="40" spans="1:5" ht="14.25">
      <c r="A40" s="22" t="s">
        <v>1385</v>
      </c>
      <c r="B40" s="656" t="s">
        <v>2147</v>
      </c>
      <c r="C40" s="656" t="s">
        <v>2148</v>
      </c>
      <c r="D40" s="349">
        <v>0</v>
      </c>
    </row>
    <row r="41" spans="1:5" ht="14.25">
      <c r="A41" s="22" t="s">
        <v>1385</v>
      </c>
      <c r="B41" s="656" t="s">
        <v>2149</v>
      </c>
      <c r="C41" s="656" t="s">
        <v>2148</v>
      </c>
      <c r="D41" s="349">
        <v>0</v>
      </c>
    </row>
    <row r="42" spans="1:5" ht="14.25">
      <c r="B42" s="106"/>
      <c r="C42" s="106"/>
      <c r="D42" s="107"/>
    </row>
    <row r="43" spans="1:5" ht="15">
      <c r="A43" s="354" t="s">
        <v>1117</v>
      </c>
      <c r="B43" s="106"/>
      <c r="C43" s="106"/>
      <c r="D43" s="107"/>
    </row>
    <row r="44" spans="1:5" ht="14.25">
      <c r="A44" s="107" t="s">
        <v>1118</v>
      </c>
      <c r="B44" s="106"/>
      <c r="C44" s="106"/>
      <c r="D44" s="107"/>
    </row>
    <row r="45" spans="1:5" ht="14.25">
      <c r="A45" s="107" t="s">
        <v>1119</v>
      </c>
      <c r="B45" s="108"/>
      <c r="C45" s="109"/>
      <c r="D45" s="110"/>
    </row>
    <row r="46" spans="1:5" ht="14.25">
      <c r="A46" s="108"/>
      <c r="B46" s="108"/>
      <c r="C46" s="108"/>
      <c r="D46" s="108"/>
    </row>
  </sheetData>
  <mergeCells count="2">
    <mergeCell ref="C13:D13"/>
    <mergeCell ref="A11:D11"/>
  </mergeCells>
  <pageMargins left="0.7" right="0.7" top="0.75" bottom="0.75" header="0.3" footer="0.3"/>
  <pageSetup paperSize="9" scale="6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14999847407452621"/>
  </sheetPr>
  <dimension ref="A1:HJ56"/>
  <sheetViews>
    <sheetView showGridLines="0" zoomScaleNormal="100" workbookViewId="0">
      <pane ySplit="10" topLeftCell="A17" activePane="bottomLeft" state="frozen"/>
      <selection activeCell="F30" sqref="F30"/>
      <selection pane="bottomLeft" activeCell="B48" sqref="B48"/>
    </sheetView>
  </sheetViews>
  <sheetFormatPr defaultColWidth="7" defaultRowHeight="13.5"/>
  <cols>
    <col min="1" max="1" width="29.85546875" style="60" customWidth="1"/>
    <col min="2" max="2" width="47" style="59" customWidth="1"/>
    <col min="3" max="3" width="10.140625" style="59" customWidth="1"/>
    <col min="4" max="4" width="9.28515625" style="59" customWidth="1"/>
    <col min="5" max="5" width="15.28515625" style="59" customWidth="1"/>
    <col min="6" max="7" width="12.140625" style="59" customWidth="1"/>
    <col min="8" max="8" width="14" style="59" customWidth="1"/>
    <col min="9" max="9" width="7.140625" style="59" bestFit="1" customWidth="1"/>
    <col min="10" max="10" width="28.5703125" style="59" customWidth="1"/>
    <col min="11" max="11" width="4.42578125" style="59" customWidth="1"/>
    <col min="12" max="12" width="10" style="60" customWidth="1"/>
    <col min="13" max="253" width="7" style="59"/>
    <col min="254" max="254" width="3.5703125" style="59" customWidth="1"/>
    <col min="255" max="255" width="24.140625" style="59" customWidth="1"/>
    <col min="256" max="256" width="54.7109375" style="59" customWidth="1"/>
    <col min="257" max="257" width="18.28515625" style="59" customWidth="1"/>
    <col min="258" max="258" width="7" style="59" customWidth="1"/>
    <col min="259" max="259" width="9.85546875" style="59" bestFit="1" customWidth="1"/>
    <col min="260" max="260" width="15.5703125" style="59" customWidth="1"/>
    <col min="261" max="261" width="11.140625" style="59" bestFit="1" customWidth="1"/>
    <col min="262" max="262" width="14" style="59" customWidth="1"/>
    <col min="263" max="263" width="12" style="59" customWidth="1"/>
    <col min="264" max="264" width="11.85546875" style="59" bestFit="1" customWidth="1"/>
    <col min="265" max="265" width="7" style="59"/>
    <col min="266" max="266" width="28.5703125" style="59" customWidth="1"/>
    <col min="267" max="267" width="4.42578125" style="59" customWidth="1"/>
    <col min="268" max="268" width="10" style="59" customWidth="1"/>
    <col min="269" max="509" width="7" style="59"/>
    <col min="510" max="510" width="3.5703125" style="59" customWidth="1"/>
    <col min="511" max="511" width="24.140625" style="59" customWidth="1"/>
    <col min="512" max="512" width="54.7109375" style="59" customWidth="1"/>
    <col min="513" max="513" width="18.28515625" style="59" customWidth="1"/>
    <col min="514" max="514" width="7" style="59" customWidth="1"/>
    <col min="515" max="515" width="9.85546875" style="59" bestFit="1" customWidth="1"/>
    <col min="516" max="516" width="15.5703125" style="59" customWidth="1"/>
    <col min="517" max="517" width="11.140625" style="59" bestFit="1" customWidth="1"/>
    <col min="518" max="518" width="14" style="59" customWidth="1"/>
    <col min="519" max="519" width="12" style="59" customWidth="1"/>
    <col min="520" max="520" width="11.85546875" style="59" bestFit="1" customWidth="1"/>
    <col min="521" max="521" width="7" style="59"/>
    <col min="522" max="522" width="28.5703125" style="59" customWidth="1"/>
    <col min="523" max="523" width="4.42578125" style="59" customWidth="1"/>
    <col min="524" max="524" width="10" style="59" customWidth="1"/>
    <col min="525" max="765" width="7" style="59"/>
    <col min="766" max="766" width="3.5703125" style="59" customWidth="1"/>
    <col min="767" max="767" width="24.140625" style="59" customWidth="1"/>
    <col min="768" max="768" width="54.7109375" style="59" customWidth="1"/>
    <col min="769" max="769" width="18.28515625" style="59" customWidth="1"/>
    <col min="770" max="770" width="7" style="59" customWidth="1"/>
    <col min="771" max="771" width="9.85546875" style="59" bestFit="1" customWidth="1"/>
    <col min="772" max="772" width="15.5703125" style="59" customWidth="1"/>
    <col min="773" max="773" width="11.140625" style="59" bestFit="1" customWidth="1"/>
    <col min="774" max="774" width="14" style="59" customWidth="1"/>
    <col min="775" max="775" width="12" style="59" customWidth="1"/>
    <col min="776" max="776" width="11.85546875" style="59" bestFit="1" customWidth="1"/>
    <col min="777" max="777" width="7" style="59"/>
    <col min="778" max="778" width="28.5703125" style="59" customWidth="1"/>
    <col min="779" max="779" width="4.42578125" style="59" customWidth="1"/>
    <col min="780" max="780" width="10" style="59" customWidth="1"/>
    <col min="781" max="1021" width="7" style="59"/>
    <col min="1022" max="1022" width="3.5703125" style="59" customWidth="1"/>
    <col min="1023" max="1023" width="24.140625" style="59" customWidth="1"/>
    <col min="1024" max="1024" width="54.7109375" style="59" customWidth="1"/>
    <col min="1025" max="1025" width="18.28515625" style="59" customWidth="1"/>
    <col min="1026" max="1026" width="7" style="59" customWidth="1"/>
    <col min="1027" max="1027" width="9.85546875" style="59" bestFit="1" customWidth="1"/>
    <col min="1028" max="1028" width="15.5703125" style="59" customWidth="1"/>
    <col min="1029" max="1029" width="11.140625" style="59" bestFit="1" customWidth="1"/>
    <col min="1030" max="1030" width="14" style="59" customWidth="1"/>
    <col min="1031" max="1031" width="12" style="59" customWidth="1"/>
    <col min="1032" max="1032" width="11.85546875" style="59" bestFit="1" customWidth="1"/>
    <col min="1033" max="1033" width="7" style="59"/>
    <col min="1034" max="1034" width="28.5703125" style="59" customWidth="1"/>
    <col min="1035" max="1035" width="4.42578125" style="59" customWidth="1"/>
    <col min="1036" max="1036" width="10" style="59" customWidth="1"/>
    <col min="1037" max="1277" width="7" style="59"/>
    <col min="1278" max="1278" width="3.5703125" style="59" customWidth="1"/>
    <col min="1279" max="1279" width="24.140625" style="59" customWidth="1"/>
    <col min="1280" max="1280" width="54.7109375" style="59" customWidth="1"/>
    <col min="1281" max="1281" width="18.28515625" style="59" customWidth="1"/>
    <col min="1282" max="1282" width="7" style="59" customWidth="1"/>
    <col min="1283" max="1283" width="9.85546875" style="59" bestFit="1" customWidth="1"/>
    <col min="1284" max="1284" width="15.5703125" style="59" customWidth="1"/>
    <col min="1285" max="1285" width="11.140625" style="59" bestFit="1" customWidth="1"/>
    <col min="1286" max="1286" width="14" style="59" customWidth="1"/>
    <col min="1287" max="1287" width="12" style="59" customWidth="1"/>
    <col min="1288" max="1288" width="11.85546875" style="59" bestFit="1" customWidth="1"/>
    <col min="1289" max="1289" width="7" style="59"/>
    <col min="1290" max="1290" width="28.5703125" style="59" customWidth="1"/>
    <col min="1291" max="1291" width="4.42578125" style="59" customWidth="1"/>
    <col min="1292" max="1292" width="10" style="59" customWidth="1"/>
    <col min="1293" max="1533" width="7" style="59"/>
    <col min="1534" max="1534" width="3.5703125" style="59" customWidth="1"/>
    <col min="1535" max="1535" width="24.140625" style="59" customWidth="1"/>
    <col min="1536" max="1536" width="54.7109375" style="59" customWidth="1"/>
    <col min="1537" max="1537" width="18.28515625" style="59" customWidth="1"/>
    <col min="1538" max="1538" width="7" style="59" customWidth="1"/>
    <col min="1539" max="1539" width="9.85546875" style="59" bestFit="1" customWidth="1"/>
    <col min="1540" max="1540" width="15.5703125" style="59" customWidth="1"/>
    <col min="1541" max="1541" width="11.140625" style="59" bestFit="1" customWidth="1"/>
    <col min="1542" max="1542" width="14" style="59" customWidth="1"/>
    <col min="1543" max="1543" width="12" style="59" customWidth="1"/>
    <col min="1544" max="1544" width="11.85546875" style="59" bestFit="1" customWidth="1"/>
    <col min="1545" max="1545" width="7" style="59"/>
    <col min="1546" max="1546" width="28.5703125" style="59" customWidth="1"/>
    <col min="1547" max="1547" width="4.42578125" style="59" customWidth="1"/>
    <col min="1548" max="1548" width="10" style="59" customWidth="1"/>
    <col min="1549" max="1789" width="7" style="59"/>
    <col min="1790" max="1790" width="3.5703125" style="59" customWidth="1"/>
    <col min="1791" max="1791" width="24.140625" style="59" customWidth="1"/>
    <col min="1792" max="1792" width="54.7109375" style="59" customWidth="1"/>
    <col min="1793" max="1793" width="18.28515625" style="59" customWidth="1"/>
    <col min="1794" max="1794" width="7" style="59" customWidth="1"/>
    <col min="1795" max="1795" width="9.85546875" style="59" bestFit="1" customWidth="1"/>
    <col min="1796" max="1796" width="15.5703125" style="59" customWidth="1"/>
    <col min="1797" max="1797" width="11.140625" style="59" bestFit="1" customWidth="1"/>
    <col min="1798" max="1798" width="14" style="59" customWidth="1"/>
    <col min="1799" max="1799" width="12" style="59" customWidth="1"/>
    <col min="1800" max="1800" width="11.85546875" style="59" bestFit="1" customWidth="1"/>
    <col min="1801" max="1801" width="7" style="59"/>
    <col min="1802" max="1802" width="28.5703125" style="59" customWidth="1"/>
    <col min="1803" max="1803" width="4.42578125" style="59" customWidth="1"/>
    <col min="1804" max="1804" width="10" style="59" customWidth="1"/>
    <col min="1805" max="2045" width="7" style="59"/>
    <col min="2046" max="2046" width="3.5703125" style="59" customWidth="1"/>
    <col min="2047" max="2047" width="24.140625" style="59" customWidth="1"/>
    <col min="2048" max="2048" width="54.7109375" style="59" customWidth="1"/>
    <col min="2049" max="2049" width="18.28515625" style="59" customWidth="1"/>
    <col min="2050" max="2050" width="7" style="59" customWidth="1"/>
    <col min="2051" max="2051" width="9.85546875" style="59" bestFit="1" customWidth="1"/>
    <col min="2052" max="2052" width="15.5703125" style="59" customWidth="1"/>
    <col min="2053" max="2053" width="11.140625" style="59" bestFit="1" customWidth="1"/>
    <col min="2054" max="2054" width="14" style="59" customWidth="1"/>
    <col min="2055" max="2055" width="12" style="59" customWidth="1"/>
    <col min="2056" max="2056" width="11.85546875" style="59" bestFit="1" customWidth="1"/>
    <col min="2057" max="2057" width="7" style="59"/>
    <col min="2058" max="2058" width="28.5703125" style="59" customWidth="1"/>
    <col min="2059" max="2059" width="4.42578125" style="59" customWidth="1"/>
    <col min="2060" max="2060" width="10" style="59" customWidth="1"/>
    <col min="2061" max="2301" width="7" style="59"/>
    <col min="2302" max="2302" width="3.5703125" style="59" customWidth="1"/>
    <col min="2303" max="2303" width="24.140625" style="59" customWidth="1"/>
    <col min="2304" max="2304" width="54.7109375" style="59" customWidth="1"/>
    <col min="2305" max="2305" width="18.28515625" style="59" customWidth="1"/>
    <col min="2306" max="2306" width="7" style="59" customWidth="1"/>
    <col min="2307" max="2307" width="9.85546875" style="59" bestFit="1" customWidth="1"/>
    <col min="2308" max="2308" width="15.5703125" style="59" customWidth="1"/>
    <col min="2309" max="2309" width="11.140625" style="59" bestFit="1" customWidth="1"/>
    <col min="2310" max="2310" width="14" style="59" customWidth="1"/>
    <col min="2311" max="2311" width="12" style="59" customWidth="1"/>
    <col min="2312" max="2312" width="11.85546875" style="59" bestFit="1" customWidth="1"/>
    <col min="2313" max="2313" width="7" style="59"/>
    <col min="2314" max="2314" width="28.5703125" style="59" customWidth="1"/>
    <col min="2315" max="2315" width="4.42578125" style="59" customWidth="1"/>
    <col min="2316" max="2316" width="10" style="59" customWidth="1"/>
    <col min="2317" max="2557" width="7" style="59"/>
    <col min="2558" max="2558" width="3.5703125" style="59" customWidth="1"/>
    <col min="2559" max="2559" width="24.140625" style="59" customWidth="1"/>
    <col min="2560" max="2560" width="54.7109375" style="59" customWidth="1"/>
    <col min="2561" max="2561" width="18.28515625" style="59" customWidth="1"/>
    <col min="2562" max="2562" width="7" style="59" customWidth="1"/>
    <col min="2563" max="2563" width="9.85546875" style="59" bestFit="1" customWidth="1"/>
    <col min="2564" max="2564" width="15.5703125" style="59" customWidth="1"/>
    <col min="2565" max="2565" width="11.140625" style="59" bestFit="1" customWidth="1"/>
    <col min="2566" max="2566" width="14" style="59" customWidth="1"/>
    <col min="2567" max="2567" width="12" style="59" customWidth="1"/>
    <col min="2568" max="2568" width="11.85546875" style="59" bestFit="1" customWidth="1"/>
    <col min="2569" max="2569" width="7" style="59"/>
    <col min="2570" max="2570" width="28.5703125" style="59" customWidth="1"/>
    <col min="2571" max="2571" width="4.42578125" style="59" customWidth="1"/>
    <col min="2572" max="2572" width="10" style="59" customWidth="1"/>
    <col min="2573" max="2813" width="7" style="59"/>
    <col min="2814" max="2814" width="3.5703125" style="59" customWidth="1"/>
    <col min="2815" max="2815" width="24.140625" style="59" customWidth="1"/>
    <col min="2816" max="2816" width="54.7109375" style="59" customWidth="1"/>
    <col min="2817" max="2817" width="18.28515625" style="59" customWidth="1"/>
    <col min="2818" max="2818" width="7" style="59" customWidth="1"/>
    <col min="2819" max="2819" width="9.85546875" style="59" bestFit="1" customWidth="1"/>
    <col min="2820" max="2820" width="15.5703125" style="59" customWidth="1"/>
    <col min="2821" max="2821" width="11.140625" style="59" bestFit="1" customWidth="1"/>
    <col min="2822" max="2822" width="14" style="59" customWidth="1"/>
    <col min="2823" max="2823" width="12" style="59" customWidth="1"/>
    <col min="2824" max="2824" width="11.85546875" style="59" bestFit="1" customWidth="1"/>
    <col min="2825" max="2825" width="7" style="59"/>
    <col min="2826" max="2826" width="28.5703125" style="59" customWidth="1"/>
    <col min="2827" max="2827" width="4.42578125" style="59" customWidth="1"/>
    <col min="2828" max="2828" width="10" style="59" customWidth="1"/>
    <col min="2829" max="3069" width="7" style="59"/>
    <col min="3070" max="3070" width="3.5703125" style="59" customWidth="1"/>
    <col min="3071" max="3071" width="24.140625" style="59" customWidth="1"/>
    <col min="3072" max="3072" width="54.7109375" style="59" customWidth="1"/>
    <col min="3073" max="3073" width="18.28515625" style="59" customWidth="1"/>
    <col min="3074" max="3074" width="7" style="59" customWidth="1"/>
    <col min="3075" max="3075" width="9.85546875" style="59" bestFit="1" customWidth="1"/>
    <col min="3076" max="3076" width="15.5703125" style="59" customWidth="1"/>
    <col min="3077" max="3077" width="11.140625" style="59" bestFit="1" customWidth="1"/>
    <col min="3078" max="3078" width="14" style="59" customWidth="1"/>
    <col min="3079" max="3079" width="12" style="59" customWidth="1"/>
    <col min="3080" max="3080" width="11.85546875" style="59" bestFit="1" customWidth="1"/>
    <col min="3081" max="3081" width="7" style="59"/>
    <col min="3082" max="3082" width="28.5703125" style="59" customWidth="1"/>
    <col min="3083" max="3083" width="4.42578125" style="59" customWidth="1"/>
    <col min="3084" max="3084" width="10" style="59" customWidth="1"/>
    <col min="3085" max="3325" width="7" style="59"/>
    <col min="3326" max="3326" width="3.5703125" style="59" customWidth="1"/>
    <col min="3327" max="3327" width="24.140625" style="59" customWidth="1"/>
    <col min="3328" max="3328" width="54.7109375" style="59" customWidth="1"/>
    <col min="3329" max="3329" width="18.28515625" style="59" customWidth="1"/>
    <col min="3330" max="3330" width="7" style="59" customWidth="1"/>
    <col min="3331" max="3331" width="9.85546875" style="59" bestFit="1" customWidth="1"/>
    <col min="3332" max="3332" width="15.5703125" style="59" customWidth="1"/>
    <col min="3333" max="3333" width="11.140625" style="59" bestFit="1" customWidth="1"/>
    <col min="3334" max="3334" width="14" style="59" customWidth="1"/>
    <col min="3335" max="3335" width="12" style="59" customWidth="1"/>
    <col min="3336" max="3336" width="11.85546875" style="59" bestFit="1" customWidth="1"/>
    <col min="3337" max="3337" width="7" style="59"/>
    <col min="3338" max="3338" width="28.5703125" style="59" customWidth="1"/>
    <col min="3339" max="3339" width="4.42578125" style="59" customWidth="1"/>
    <col min="3340" max="3340" width="10" style="59" customWidth="1"/>
    <col min="3341" max="3581" width="7" style="59"/>
    <col min="3582" max="3582" width="3.5703125" style="59" customWidth="1"/>
    <col min="3583" max="3583" width="24.140625" style="59" customWidth="1"/>
    <col min="3584" max="3584" width="54.7109375" style="59" customWidth="1"/>
    <col min="3585" max="3585" width="18.28515625" style="59" customWidth="1"/>
    <col min="3586" max="3586" width="7" style="59" customWidth="1"/>
    <col min="3587" max="3587" width="9.85546875" style="59" bestFit="1" customWidth="1"/>
    <col min="3588" max="3588" width="15.5703125" style="59" customWidth="1"/>
    <col min="3589" max="3589" width="11.140625" style="59" bestFit="1" customWidth="1"/>
    <col min="3590" max="3590" width="14" style="59" customWidth="1"/>
    <col min="3591" max="3591" width="12" style="59" customWidth="1"/>
    <col min="3592" max="3592" width="11.85546875" style="59" bestFit="1" customWidth="1"/>
    <col min="3593" max="3593" width="7" style="59"/>
    <col min="3594" max="3594" width="28.5703125" style="59" customWidth="1"/>
    <col min="3595" max="3595" width="4.42578125" style="59" customWidth="1"/>
    <col min="3596" max="3596" width="10" style="59" customWidth="1"/>
    <col min="3597" max="3837" width="7" style="59"/>
    <col min="3838" max="3838" width="3.5703125" style="59" customWidth="1"/>
    <col min="3839" max="3839" width="24.140625" style="59" customWidth="1"/>
    <col min="3840" max="3840" width="54.7109375" style="59" customWidth="1"/>
    <col min="3841" max="3841" width="18.28515625" style="59" customWidth="1"/>
    <col min="3842" max="3842" width="7" style="59" customWidth="1"/>
    <col min="3843" max="3843" width="9.85546875" style="59" bestFit="1" customWidth="1"/>
    <col min="3844" max="3844" width="15.5703125" style="59" customWidth="1"/>
    <col min="3845" max="3845" width="11.140625" style="59" bestFit="1" customWidth="1"/>
    <col min="3846" max="3846" width="14" style="59" customWidth="1"/>
    <col min="3847" max="3847" width="12" style="59" customWidth="1"/>
    <col min="3848" max="3848" width="11.85546875" style="59" bestFit="1" customWidth="1"/>
    <col min="3849" max="3849" width="7" style="59"/>
    <col min="3850" max="3850" width="28.5703125" style="59" customWidth="1"/>
    <col min="3851" max="3851" width="4.42578125" style="59" customWidth="1"/>
    <col min="3852" max="3852" width="10" style="59" customWidth="1"/>
    <col min="3853" max="4093" width="7" style="59"/>
    <col min="4094" max="4094" width="3.5703125" style="59" customWidth="1"/>
    <col min="4095" max="4095" width="24.140625" style="59" customWidth="1"/>
    <col min="4096" max="4096" width="54.7109375" style="59" customWidth="1"/>
    <col min="4097" max="4097" width="18.28515625" style="59" customWidth="1"/>
    <col min="4098" max="4098" width="7" style="59" customWidth="1"/>
    <col min="4099" max="4099" width="9.85546875" style="59" bestFit="1" customWidth="1"/>
    <col min="4100" max="4100" width="15.5703125" style="59" customWidth="1"/>
    <col min="4101" max="4101" width="11.140625" style="59" bestFit="1" customWidth="1"/>
    <col min="4102" max="4102" width="14" style="59" customWidth="1"/>
    <col min="4103" max="4103" width="12" style="59" customWidth="1"/>
    <col min="4104" max="4104" width="11.85546875" style="59" bestFit="1" customWidth="1"/>
    <col min="4105" max="4105" width="7" style="59"/>
    <col min="4106" max="4106" width="28.5703125" style="59" customWidth="1"/>
    <col min="4107" max="4107" width="4.42578125" style="59" customWidth="1"/>
    <col min="4108" max="4108" width="10" style="59" customWidth="1"/>
    <col min="4109" max="4349" width="7" style="59"/>
    <col min="4350" max="4350" width="3.5703125" style="59" customWidth="1"/>
    <col min="4351" max="4351" width="24.140625" style="59" customWidth="1"/>
    <col min="4352" max="4352" width="54.7109375" style="59" customWidth="1"/>
    <col min="4353" max="4353" width="18.28515625" style="59" customWidth="1"/>
    <col min="4354" max="4354" width="7" style="59" customWidth="1"/>
    <col min="4355" max="4355" width="9.85546875" style="59" bestFit="1" customWidth="1"/>
    <col min="4356" max="4356" width="15.5703125" style="59" customWidth="1"/>
    <col min="4357" max="4357" width="11.140625" style="59" bestFit="1" customWidth="1"/>
    <col min="4358" max="4358" width="14" style="59" customWidth="1"/>
    <col min="4359" max="4359" width="12" style="59" customWidth="1"/>
    <col min="4360" max="4360" width="11.85546875" style="59" bestFit="1" customWidth="1"/>
    <col min="4361" max="4361" width="7" style="59"/>
    <col min="4362" max="4362" width="28.5703125" style="59" customWidth="1"/>
    <col min="4363" max="4363" width="4.42578125" style="59" customWidth="1"/>
    <col min="4364" max="4364" width="10" style="59" customWidth="1"/>
    <col min="4365" max="4605" width="7" style="59"/>
    <col min="4606" max="4606" width="3.5703125" style="59" customWidth="1"/>
    <col min="4607" max="4607" width="24.140625" style="59" customWidth="1"/>
    <col min="4608" max="4608" width="54.7109375" style="59" customWidth="1"/>
    <col min="4609" max="4609" width="18.28515625" style="59" customWidth="1"/>
    <col min="4610" max="4610" width="7" style="59" customWidth="1"/>
    <col min="4611" max="4611" width="9.85546875" style="59" bestFit="1" customWidth="1"/>
    <col min="4612" max="4612" width="15.5703125" style="59" customWidth="1"/>
    <col min="4613" max="4613" width="11.140625" style="59" bestFit="1" customWidth="1"/>
    <col min="4614" max="4614" width="14" style="59" customWidth="1"/>
    <col min="4615" max="4615" width="12" style="59" customWidth="1"/>
    <col min="4616" max="4616" width="11.85546875" style="59" bestFit="1" customWidth="1"/>
    <col min="4617" max="4617" width="7" style="59"/>
    <col min="4618" max="4618" width="28.5703125" style="59" customWidth="1"/>
    <col min="4619" max="4619" width="4.42578125" style="59" customWidth="1"/>
    <col min="4620" max="4620" width="10" style="59" customWidth="1"/>
    <col min="4621" max="4861" width="7" style="59"/>
    <col min="4862" max="4862" width="3.5703125" style="59" customWidth="1"/>
    <col min="4863" max="4863" width="24.140625" style="59" customWidth="1"/>
    <col min="4864" max="4864" width="54.7109375" style="59" customWidth="1"/>
    <col min="4865" max="4865" width="18.28515625" style="59" customWidth="1"/>
    <col min="4866" max="4866" width="7" style="59" customWidth="1"/>
    <col min="4867" max="4867" width="9.85546875" style="59" bestFit="1" customWidth="1"/>
    <col min="4868" max="4868" width="15.5703125" style="59" customWidth="1"/>
    <col min="4869" max="4869" width="11.140625" style="59" bestFit="1" customWidth="1"/>
    <col min="4870" max="4870" width="14" style="59" customWidth="1"/>
    <col min="4871" max="4871" width="12" style="59" customWidth="1"/>
    <col min="4872" max="4872" width="11.85546875" style="59" bestFit="1" customWidth="1"/>
    <col min="4873" max="4873" width="7" style="59"/>
    <col min="4874" max="4874" width="28.5703125" style="59" customWidth="1"/>
    <col min="4875" max="4875" width="4.42578125" style="59" customWidth="1"/>
    <col min="4876" max="4876" width="10" style="59" customWidth="1"/>
    <col min="4877" max="5117" width="7" style="59"/>
    <col min="5118" max="5118" width="3.5703125" style="59" customWidth="1"/>
    <col min="5119" max="5119" width="24.140625" style="59" customWidth="1"/>
    <col min="5120" max="5120" width="54.7109375" style="59" customWidth="1"/>
    <col min="5121" max="5121" width="18.28515625" style="59" customWidth="1"/>
    <col min="5122" max="5122" width="7" style="59" customWidth="1"/>
    <col min="5123" max="5123" width="9.85546875" style="59" bestFit="1" customWidth="1"/>
    <col min="5124" max="5124" width="15.5703125" style="59" customWidth="1"/>
    <col min="5125" max="5125" width="11.140625" style="59" bestFit="1" customWidth="1"/>
    <col min="5126" max="5126" width="14" style="59" customWidth="1"/>
    <col min="5127" max="5127" width="12" style="59" customWidth="1"/>
    <col min="5128" max="5128" width="11.85546875" style="59" bestFit="1" customWidth="1"/>
    <col min="5129" max="5129" width="7" style="59"/>
    <col min="5130" max="5130" width="28.5703125" style="59" customWidth="1"/>
    <col min="5131" max="5131" width="4.42578125" style="59" customWidth="1"/>
    <col min="5132" max="5132" width="10" style="59" customWidth="1"/>
    <col min="5133" max="5373" width="7" style="59"/>
    <col min="5374" max="5374" width="3.5703125" style="59" customWidth="1"/>
    <col min="5375" max="5375" width="24.140625" style="59" customWidth="1"/>
    <col min="5376" max="5376" width="54.7109375" style="59" customWidth="1"/>
    <col min="5377" max="5377" width="18.28515625" style="59" customWidth="1"/>
    <col min="5378" max="5378" width="7" style="59" customWidth="1"/>
    <col min="5379" max="5379" width="9.85546875" style="59" bestFit="1" customWidth="1"/>
    <col min="5380" max="5380" width="15.5703125" style="59" customWidth="1"/>
    <col min="5381" max="5381" width="11.140625" style="59" bestFit="1" customWidth="1"/>
    <col min="5382" max="5382" width="14" style="59" customWidth="1"/>
    <col min="5383" max="5383" width="12" style="59" customWidth="1"/>
    <col min="5384" max="5384" width="11.85546875" style="59" bestFit="1" customWidth="1"/>
    <col min="5385" max="5385" width="7" style="59"/>
    <col min="5386" max="5386" width="28.5703125" style="59" customWidth="1"/>
    <col min="5387" max="5387" width="4.42578125" style="59" customWidth="1"/>
    <col min="5388" max="5388" width="10" style="59" customWidth="1"/>
    <col min="5389" max="5629" width="7" style="59"/>
    <col min="5630" max="5630" width="3.5703125" style="59" customWidth="1"/>
    <col min="5631" max="5631" width="24.140625" style="59" customWidth="1"/>
    <col min="5632" max="5632" width="54.7109375" style="59" customWidth="1"/>
    <col min="5633" max="5633" width="18.28515625" style="59" customWidth="1"/>
    <col min="5634" max="5634" width="7" style="59" customWidth="1"/>
    <col min="5635" max="5635" width="9.85546875" style="59" bestFit="1" customWidth="1"/>
    <col min="5636" max="5636" width="15.5703125" style="59" customWidth="1"/>
    <col min="5637" max="5637" width="11.140625" style="59" bestFit="1" customWidth="1"/>
    <col min="5638" max="5638" width="14" style="59" customWidth="1"/>
    <col min="5639" max="5639" width="12" style="59" customWidth="1"/>
    <col min="5640" max="5640" width="11.85546875" style="59" bestFit="1" customWidth="1"/>
    <col min="5641" max="5641" width="7" style="59"/>
    <col min="5642" max="5642" width="28.5703125" style="59" customWidth="1"/>
    <col min="5643" max="5643" width="4.42578125" style="59" customWidth="1"/>
    <col min="5644" max="5644" width="10" style="59" customWidth="1"/>
    <col min="5645" max="5885" width="7" style="59"/>
    <col min="5886" max="5886" width="3.5703125" style="59" customWidth="1"/>
    <col min="5887" max="5887" width="24.140625" style="59" customWidth="1"/>
    <col min="5888" max="5888" width="54.7109375" style="59" customWidth="1"/>
    <col min="5889" max="5889" width="18.28515625" style="59" customWidth="1"/>
    <col min="5890" max="5890" width="7" style="59" customWidth="1"/>
    <col min="5891" max="5891" width="9.85546875" style="59" bestFit="1" customWidth="1"/>
    <col min="5892" max="5892" width="15.5703125" style="59" customWidth="1"/>
    <col min="5893" max="5893" width="11.140625" style="59" bestFit="1" customWidth="1"/>
    <col min="5894" max="5894" width="14" style="59" customWidth="1"/>
    <col min="5895" max="5895" width="12" style="59" customWidth="1"/>
    <col min="5896" max="5896" width="11.85546875" style="59" bestFit="1" customWidth="1"/>
    <col min="5897" max="5897" width="7" style="59"/>
    <col min="5898" max="5898" width="28.5703125" style="59" customWidth="1"/>
    <col min="5899" max="5899" width="4.42578125" style="59" customWidth="1"/>
    <col min="5900" max="5900" width="10" style="59" customWidth="1"/>
    <col min="5901" max="6141" width="7" style="59"/>
    <col min="6142" max="6142" width="3.5703125" style="59" customWidth="1"/>
    <col min="6143" max="6143" width="24.140625" style="59" customWidth="1"/>
    <col min="6144" max="6144" width="54.7109375" style="59" customWidth="1"/>
    <col min="6145" max="6145" width="18.28515625" style="59" customWidth="1"/>
    <col min="6146" max="6146" width="7" style="59" customWidth="1"/>
    <col min="6147" max="6147" width="9.85546875" style="59" bestFit="1" customWidth="1"/>
    <col min="6148" max="6148" width="15.5703125" style="59" customWidth="1"/>
    <col min="6149" max="6149" width="11.140625" style="59" bestFit="1" customWidth="1"/>
    <col min="6150" max="6150" width="14" style="59" customWidth="1"/>
    <col min="6151" max="6151" width="12" style="59" customWidth="1"/>
    <col min="6152" max="6152" width="11.85546875" style="59" bestFit="1" customWidth="1"/>
    <col min="6153" max="6153" width="7" style="59"/>
    <col min="6154" max="6154" width="28.5703125" style="59" customWidth="1"/>
    <col min="6155" max="6155" width="4.42578125" style="59" customWidth="1"/>
    <col min="6156" max="6156" width="10" style="59" customWidth="1"/>
    <col min="6157" max="6397" width="7" style="59"/>
    <col min="6398" max="6398" width="3.5703125" style="59" customWidth="1"/>
    <col min="6399" max="6399" width="24.140625" style="59" customWidth="1"/>
    <col min="6400" max="6400" width="54.7109375" style="59" customWidth="1"/>
    <col min="6401" max="6401" width="18.28515625" style="59" customWidth="1"/>
    <col min="6402" max="6402" width="7" style="59" customWidth="1"/>
    <col min="6403" max="6403" width="9.85546875" style="59" bestFit="1" customWidth="1"/>
    <col min="6404" max="6404" width="15.5703125" style="59" customWidth="1"/>
    <col min="6405" max="6405" width="11.140625" style="59" bestFit="1" customWidth="1"/>
    <col min="6406" max="6406" width="14" style="59" customWidth="1"/>
    <col min="6407" max="6407" width="12" style="59" customWidth="1"/>
    <col min="6408" max="6408" width="11.85546875" style="59" bestFit="1" customWidth="1"/>
    <col min="6409" max="6409" width="7" style="59"/>
    <col min="6410" max="6410" width="28.5703125" style="59" customWidth="1"/>
    <col min="6411" max="6411" width="4.42578125" style="59" customWidth="1"/>
    <col min="6412" max="6412" width="10" style="59" customWidth="1"/>
    <col min="6413" max="6653" width="7" style="59"/>
    <col min="6654" max="6654" width="3.5703125" style="59" customWidth="1"/>
    <col min="6655" max="6655" width="24.140625" style="59" customWidth="1"/>
    <col min="6656" max="6656" width="54.7109375" style="59" customWidth="1"/>
    <col min="6657" max="6657" width="18.28515625" style="59" customWidth="1"/>
    <col min="6658" max="6658" width="7" style="59" customWidth="1"/>
    <col min="6659" max="6659" width="9.85546875" style="59" bestFit="1" customWidth="1"/>
    <col min="6660" max="6660" width="15.5703125" style="59" customWidth="1"/>
    <col min="6661" max="6661" width="11.140625" style="59" bestFit="1" customWidth="1"/>
    <col min="6662" max="6662" width="14" style="59" customWidth="1"/>
    <col min="6663" max="6663" width="12" style="59" customWidth="1"/>
    <col min="6664" max="6664" width="11.85546875" style="59" bestFit="1" customWidth="1"/>
    <col min="6665" max="6665" width="7" style="59"/>
    <col min="6666" max="6666" width="28.5703125" style="59" customWidth="1"/>
    <col min="6667" max="6667" width="4.42578125" style="59" customWidth="1"/>
    <col min="6668" max="6668" width="10" style="59" customWidth="1"/>
    <col min="6669" max="6909" width="7" style="59"/>
    <col min="6910" max="6910" width="3.5703125" style="59" customWidth="1"/>
    <col min="6911" max="6911" width="24.140625" style="59" customWidth="1"/>
    <col min="6912" max="6912" width="54.7109375" style="59" customWidth="1"/>
    <col min="6913" max="6913" width="18.28515625" style="59" customWidth="1"/>
    <col min="6914" max="6914" width="7" style="59" customWidth="1"/>
    <col min="6915" max="6915" width="9.85546875" style="59" bestFit="1" customWidth="1"/>
    <col min="6916" max="6916" width="15.5703125" style="59" customWidth="1"/>
    <col min="6917" max="6917" width="11.140625" style="59" bestFit="1" customWidth="1"/>
    <col min="6918" max="6918" width="14" style="59" customWidth="1"/>
    <col min="6919" max="6919" width="12" style="59" customWidth="1"/>
    <col min="6920" max="6920" width="11.85546875" style="59" bestFit="1" customWidth="1"/>
    <col min="6921" max="6921" width="7" style="59"/>
    <col min="6922" max="6922" width="28.5703125" style="59" customWidth="1"/>
    <col min="6923" max="6923" width="4.42578125" style="59" customWidth="1"/>
    <col min="6924" max="6924" width="10" style="59" customWidth="1"/>
    <col min="6925" max="7165" width="7" style="59"/>
    <col min="7166" max="7166" width="3.5703125" style="59" customWidth="1"/>
    <col min="7167" max="7167" width="24.140625" style="59" customWidth="1"/>
    <col min="7168" max="7168" width="54.7109375" style="59" customWidth="1"/>
    <col min="7169" max="7169" width="18.28515625" style="59" customWidth="1"/>
    <col min="7170" max="7170" width="7" style="59" customWidth="1"/>
    <col min="7171" max="7171" width="9.85546875" style="59" bestFit="1" customWidth="1"/>
    <col min="7172" max="7172" width="15.5703125" style="59" customWidth="1"/>
    <col min="7173" max="7173" width="11.140625" style="59" bestFit="1" customWidth="1"/>
    <col min="7174" max="7174" width="14" style="59" customWidth="1"/>
    <col min="7175" max="7175" width="12" style="59" customWidth="1"/>
    <col min="7176" max="7176" width="11.85546875" style="59" bestFit="1" customWidth="1"/>
    <col min="7177" max="7177" width="7" style="59"/>
    <col min="7178" max="7178" width="28.5703125" style="59" customWidth="1"/>
    <col min="7179" max="7179" width="4.42578125" style="59" customWidth="1"/>
    <col min="7180" max="7180" width="10" style="59" customWidth="1"/>
    <col min="7181" max="7421" width="7" style="59"/>
    <col min="7422" max="7422" width="3.5703125" style="59" customWidth="1"/>
    <col min="7423" max="7423" width="24.140625" style="59" customWidth="1"/>
    <col min="7424" max="7424" width="54.7109375" style="59" customWidth="1"/>
    <col min="7425" max="7425" width="18.28515625" style="59" customWidth="1"/>
    <col min="7426" max="7426" width="7" style="59" customWidth="1"/>
    <col min="7427" max="7427" width="9.85546875" style="59" bestFit="1" customWidth="1"/>
    <col min="7428" max="7428" width="15.5703125" style="59" customWidth="1"/>
    <col min="7429" max="7429" width="11.140625" style="59" bestFit="1" customWidth="1"/>
    <col min="7430" max="7430" width="14" style="59" customWidth="1"/>
    <col min="7431" max="7431" width="12" style="59" customWidth="1"/>
    <col min="7432" max="7432" width="11.85546875" style="59" bestFit="1" customWidth="1"/>
    <col min="7433" max="7433" width="7" style="59"/>
    <col min="7434" max="7434" width="28.5703125" style="59" customWidth="1"/>
    <col min="7435" max="7435" width="4.42578125" style="59" customWidth="1"/>
    <col min="7436" max="7436" width="10" style="59" customWidth="1"/>
    <col min="7437" max="7677" width="7" style="59"/>
    <col min="7678" max="7678" width="3.5703125" style="59" customWidth="1"/>
    <col min="7679" max="7679" width="24.140625" style="59" customWidth="1"/>
    <col min="7680" max="7680" width="54.7109375" style="59" customWidth="1"/>
    <col min="7681" max="7681" width="18.28515625" style="59" customWidth="1"/>
    <col min="7682" max="7682" width="7" style="59" customWidth="1"/>
    <col min="7683" max="7683" width="9.85546875" style="59" bestFit="1" customWidth="1"/>
    <col min="7684" max="7684" width="15.5703125" style="59" customWidth="1"/>
    <col min="7685" max="7685" width="11.140625" style="59" bestFit="1" customWidth="1"/>
    <col min="7686" max="7686" width="14" style="59" customWidth="1"/>
    <col min="7687" max="7687" width="12" style="59" customWidth="1"/>
    <col min="7688" max="7688" width="11.85546875" style="59" bestFit="1" customWidth="1"/>
    <col min="7689" max="7689" width="7" style="59"/>
    <col min="7690" max="7690" width="28.5703125" style="59" customWidth="1"/>
    <col min="7691" max="7691" width="4.42578125" style="59" customWidth="1"/>
    <col min="7692" max="7692" width="10" style="59" customWidth="1"/>
    <col min="7693" max="7933" width="7" style="59"/>
    <col min="7934" max="7934" width="3.5703125" style="59" customWidth="1"/>
    <col min="7935" max="7935" width="24.140625" style="59" customWidth="1"/>
    <col min="7936" max="7936" width="54.7109375" style="59" customWidth="1"/>
    <col min="7937" max="7937" width="18.28515625" style="59" customWidth="1"/>
    <col min="7938" max="7938" width="7" style="59" customWidth="1"/>
    <col min="7939" max="7939" width="9.85546875" style="59" bestFit="1" customWidth="1"/>
    <col min="7940" max="7940" width="15.5703125" style="59" customWidth="1"/>
    <col min="7941" max="7941" width="11.140625" style="59" bestFit="1" customWidth="1"/>
    <col min="7942" max="7942" width="14" style="59" customWidth="1"/>
    <col min="7943" max="7943" width="12" style="59" customWidth="1"/>
    <col min="7944" max="7944" width="11.85546875" style="59" bestFit="1" customWidth="1"/>
    <col min="7945" max="7945" width="7" style="59"/>
    <col min="7946" max="7946" width="28.5703125" style="59" customWidth="1"/>
    <col min="7947" max="7947" width="4.42578125" style="59" customWidth="1"/>
    <col min="7948" max="7948" width="10" style="59" customWidth="1"/>
    <col min="7949" max="8189" width="7" style="59"/>
    <col min="8190" max="8190" width="3.5703125" style="59" customWidth="1"/>
    <col min="8191" max="8191" width="24.140625" style="59" customWidth="1"/>
    <col min="8192" max="8192" width="54.7109375" style="59" customWidth="1"/>
    <col min="8193" max="8193" width="18.28515625" style="59" customWidth="1"/>
    <col min="8194" max="8194" width="7" style="59" customWidth="1"/>
    <col min="8195" max="8195" width="9.85546875" style="59" bestFit="1" customWidth="1"/>
    <col min="8196" max="8196" width="15.5703125" style="59" customWidth="1"/>
    <col min="8197" max="8197" width="11.140625" style="59" bestFit="1" customWidth="1"/>
    <col min="8198" max="8198" width="14" style="59" customWidth="1"/>
    <col min="8199" max="8199" width="12" style="59" customWidth="1"/>
    <col min="8200" max="8200" width="11.85546875" style="59" bestFit="1" customWidth="1"/>
    <col min="8201" max="8201" width="7" style="59"/>
    <col min="8202" max="8202" width="28.5703125" style="59" customWidth="1"/>
    <col min="8203" max="8203" width="4.42578125" style="59" customWidth="1"/>
    <col min="8204" max="8204" width="10" style="59" customWidth="1"/>
    <col min="8205" max="8445" width="7" style="59"/>
    <col min="8446" max="8446" width="3.5703125" style="59" customWidth="1"/>
    <col min="8447" max="8447" width="24.140625" style="59" customWidth="1"/>
    <col min="8448" max="8448" width="54.7109375" style="59" customWidth="1"/>
    <col min="8449" max="8449" width="18.28515625" style="59" customWidth="1"/>
    <col min="8450" max="8450" width="7" style="59" customWidth="1"/>
    <col min="8451" max="8451" width="9.85546875" style="59" bestFit="1" customWidth="1"/>
    <col min="8452" max="8452" width="15.5703125" style="59" customWidth="1"/>
    <col min="8453" max="8453" width="11.140625" style="59" bestFit="1" customWidth="1"/>
    <col min="8454" max="8454" width="14" style="59" customWidth="1"/>
    <col min="8455" max="8455" width="12" style="59" customWidth="1"/>
    <col min="8456" max="8456" width="11.85546875" style="59" bestFit="1" customWidth="1"/>
    <col min="8457" max="8457" width="7" style="59"/>
    <col min="8458" max="8458" width="28.5703125" style="59" customWidth="1"/>
    <col min="8459" max="8459" width="4.42578125" style="59" customWidth="1"/>
    <col min="8460" max="8460" width="10" style="59" customWidth="1"/>
    <col min="8461" max="8701" width="7" style="59"/>
    <col min="8702" max="8702" width="3.5703125" style="59" customWidth="1"/>
    <col min="8703" max="8703" width="24.140625" style="59" customWidth="1"/>
    <col min="8704" max="8704" width="54.7109375" style="59" customWidth="1"/>
    <col min="8705" max="8705" width="18.28515625" style="59" customWidth="1"/>
    <col min="8706" max="8706" width="7" style="59" customWidth="1"/>
    <col min="8707" max="8707" width="9.85546875" style="59" bestFit="1" customWidth="1"/>
    <col min="8708" max="8708" width="15.5703125" style="59" customWidth="1"/>
    <col min="8709" max="8709" width="11.140625" style="59" bestFit="1" customWidth="1"/>
    <col min="8710" max="8710" width="14" style="59" customWidth="1"/>
    <col min="8711" max="8711" width="12" style="59" customWidth="1"/>
    <col min="8712" max="8712" width="11.85546875" style="59" bestFit="1" customWidth="1"/>
    <col min="8713" max="8713" width="7" style="59"/>
    <col min="8714" max="8714" width="28.5703125" style="59" customWidth="1"/>
    <col min="8715" max="8715" width="4.42578125" style="59" customWidth="1"/>
    <col min="8716" max="8716" width="10" style="59" customWidth="1"/>
    <col min="8717" max="8957" width="7" style="59"/>
    <col min="8958" max="8958" width="3.5703125" style="59" customWidth="1"/>
    <col min="8959" max="8959" width="24.140625" style="59" customWidth="1"/>
    <col min="8960" max="8960" width="54.7109375" style="59" customWidth="1"/>
    <col min="8961" max="8961" width="18.28515625" style="59" customWidth="1"/>
    <col min="8962" max="8962" width="7" style="59" customWidth="1"/>
    <col min="8963" max="8963" width="9.85546875" style="59" bestFit="1" customWidth="1"/>
    <col min="8964" max="8964" width="15.5703125" style="59" customWidth="1"/>
    <col min="8965" max="8965" width="11.140625" style="59" bestFit="1" customWidth="1"/>
    <col min="8966" max="8966" width="14" style="59" customWidth="1"/>
    <col min="8967" max="8967" width="12" style="59" customWidth="1"/>
    <col min="8968" max="8968" width="11.85546875" style="59" bestFit="1" customWidth="1"/>
    <col min="8969" max="8969" width="7" style="59"/>
    <col min="8970" max="8970" width="28.5703125" style="59" customWidth="1"/>
    <col min="8971" max="8971" width="4.42578125" style="59" customWidth="1"/>
    <col min="8972" max="8972" width="10" style="59" customWidth="1"/>
    <col min="8973" max="9213" width="7" style="59"/>
    <col min="9214" max="9214" width="3.5703125" style="59" customWidth="1"/>
    <col min="9215" max="9215" width="24.140625" style="59" customWidth="1"/>
    <col min="9216" max="9216" width="54.7109375" style="59" customWidth="1"/>
    <col min="9217" max="9217" width="18.28515625" style="59" customWidth="1"/>
    <col min="9218" max="9218" width="7" style="59" customWidth="1"/>
    <col min="9219" max="9219" width="9.85546875" style="59" bestFit="1" customWidth="1"/>
    <col min="9220" max="9220" width="15.5703125" style="59" customWidth="1"/>
    <col min="9221" max="9221" width="11.140625" style="59" bestFit="1" customWidth="1"/>
    <col min="9222" max="9222" width="14" style="59" customWidth="1"/>
    <col min="9223" max="9223" width="12" style="59" customWidth="1"/>
    <col min="9224" max="9224" width="11.85546875" style="59" bestFit="1" customWidth="1"/>
    <col min="9225" max="9225" width="7" style="59"/>
    <col min="9226" max="9226" width="28.5703125" style="59" customWidth="1"/>
    <col min="9227" max="9227" width="4.42578125" style="59" customWidth="1"/>
    <col min="9228" max="9228" width="10" style="59" customWidth="1"/>
    <col min="9229" max="9469" width="7" style="59"/>
    <col min="9470" max="9470" width="3.5703125" style="59" customWidth="1"/>
    <col min="9471" max="9471" width="24.140625" style="59" customWidth="1"/>
    <col min="9472" max="9472" width="54.7109375" style="59" customWidth="1"/>
    <col min="9473" max="9473" width="18.28515625" style="59" customWidth="1"/>
    <col min="9474" max="9474" width="7" style="59" customWidth="1"/>
    <col min="9475" max="9475" width="9.85546875" style="59" bestFit="1" customWidth="1"/>
    <col min="9476" max="9476" width="15.5703125" style="59" customWidth="1"/>
    <col min="9477" max="9477" width="11.140625" style="59" bestFit="1" customWidth="1"/>
    <col min="9478" max="9478" width="14" style="59" customWidth="1"/>
    <col min="9479" max="9479" width="12" style="59" customWidth="1"/>
    <col min="9480" max="9480" width="11.85546875" style="59" bestFit="1" customWidth="1"/>
    <col min="9481" max="9481" width="7" style="59"/>
    <col min="9482" max="9482" width="28.5703125" style="59" customWidth="1"/>
    <col min="9483" max="9483" width="4.42578125" style="59" customWidth="1"/>
    <col min="9484" max="9484" width="10" style="59" customWidth="1"/>
    <col min="9485" max="9725" width="7" style="59"/>
    <col min="9726" max="9726" width="3.5703125" style="59" customWidth="1"/>
    <col min="9727" max="9727" width="24.140625" style="59" customWidth="1"/>
    <col min="9728" max="9728" width="54.7109375" style="59" customWidth="1"/>
    <col min="9729" max="9729" width="18.28515625" style="59" customWidth="1"/>
    <col min="9730" max="9730" width="7" style="59" customWidth="1"/>
    <col min="9731" max="9731" width="9.85546875" style="59" bestFit="1" customWidth="1"/>
    <col min="9732" max="9732" width="15.5703125" style="59" customWidth="1"/>
    <col min="9733" max="9733" width="11.140625" style="59" bestFit="1" customWidth="1"/>
    <col min="9734" max="9734" width="14" style="59" customWidth="1"/>
    <col min="9735" max="9735" width="12" style="59" customWidth="1"/>
    <col min="9736" max="9736" width="11.85546875" style="59" bestFit="1" customWidth="1"/>
    <col min="9737" max="9737" width="7" style="59"/>
    <col min="9738" max="9738" width="28.5703125" style="59" customWidth="1"/>
    <col min="9739" max="9739" width="4.42578125" style="59" customWidth="1"/>
    <col min="9740" max="9740" width="10" style="59" customWidth="1"/>
    <col min="9741" max="9981" width="7" style="59"/>
    <col min="9982" max="9982" width="3.5703125" style="59" customWidth="1"/>
    <col min="9983" max="9983" width="24.140625" style="59" customWidth="1"/>
    <col min="9984" max="9984" width="54.7109375" style="59" customWidth="1"/>
    <col min="9985" max="9985" width="18.28515625" style="59" customWidth="1"/>
    <col min="9986" max="9986" width="7" style="59" customWidth="1"/>
    <col min="9987" max="9987" width="9.85546875" style="59" bestFit="1" customWidth="1"/>
    <col min="9988" max="9988" width="15.5703125" style="59" customWidth="1"/>
    <col min="9989" max="9989" width="11.140625" style="59" bestFit="1" customWidth="1"/>
    <col min="9990" max="9990" width="14" style="59" customWidth="1"/>
    <col min="9991" max="9991" width="12" style="59" customWidth="1"/>
    <col min="9992" max="9992" width="11.85546875" style="59" bestFit="1" customWidth="1"/>
    <col min="9993" max="9993" width="7" style="59"/>
    <col min="9994" max="9994" width="28.5703125" style="59" customWidth="1"/>
    <col min="9995" max="9995" width="4.42578125" style="59" customWidth="1"/>
    <col min="9996" max="9996" width="10" style="59" customWidth="1"/>
    <col min="9997" max="10237" width="7" style="59"/>
    <col min="10238" max="10238" width="3.5703125" style="59" customWidth="1"/>
    <col min="10239" max="10239" width="24.140625" style="59" customWidth="1"/>
    <col min="10240" max="10240" width="54.7109375" style="59" customWidth="1"/>
    <col min="10241" max="10241" width="18.28515625" style="59" customWidth="1"/>
    <col min="10242" max="10242" width="7" style="59" customWidth="1"/>
    <col min="10243" max="10243" width="9.85546875" style="59" bestFit="1" customWidth="1"/>
    <col min="10244" max="10244" width="15.5703125" style="59" customWidth="1"/>
    <col min="10245" max="10245" width="11.140625" style="59" bestFit="1" customWidth="1"/>
    <col min="10246" max="10246" width="14" style="59" customWidth="1"/>
    <col min="10247" max="10247" width="12" style="59" customWidth="1"/>
    <col min="10248" max="10248" width="11.85546875" style="59" bestFit="1" customWidth="1"/>
    <col min="10249" max="10249" width="7" style="59"/>
    <col min="10250" max="10250" width="28.5703125" style="59" customWidth="1"/>
    <col min="10251" max="10251" width="4.42578125" style="59" customWidth="1"/>
    <col min="10252" max="10252" width="10" style="59" customWidth="1"/>
    <col min="10253" max="10493" width="7" style="59"/>
    <col min="10494" max="10494" width="3.5703125" style="59" customWidth="1"/>
    <col min="10495" max="10495" width="24.140625" style="59" customWidth="1"/>
    <col min="10496" max="10496" width="54.7109375" style="59" customWidth="1"/>
    <col min="10497" max="10497" width="18.28515625" style="59" customWidth="1"/>
    <col min="10498" max="10498" width="7" style="59" customWidth="1"/>
    <col min="10499" max="10499" width="9.85546875" style="59" bestFit="1" customWidth="1"/>
    <col min="10500" max="10500" width="15.5703125" style="59" customWidth="1"/>
    <col min="10501" max="10501" width="11.140625" style="59" bestFit="1" customWidth="1"/>
    <col min="10502" max="10502" width="14" style="59" customWidth="1"/>
    <col min="10503" max="10503" width="12" style="59" customWidth="1"/>
    <col min="10504" max="10504" width="11.85546875" style="59" bestFit="1" customWidth="1"/>
    <col min="10505" max="10505" width="7" style="59"/>
    <col min="10506" max="10506" width="28.5703125" style="59" customWidth="1"/>
    <col min="10507" max="10507" width="4.42578125" style="59" customWidth="1"/>
    <col min="10508" max="10508" width="10" style="59" customWidth="1"/>
    <col min="10509" max="10749" width="7" style="59"/>
    <col min="10750" max="10750" width="3.5703125" style="59" customWidth="1"/>
    <col min="10751" max="10751" width="24.140625" style="59" customWidth="1"/>
    <col min="10752" max="10752" width="54.7109375" style="59" customWidth="1"/>
    <col min="10753" max="10753" width="18.28515625" style="59" customWidth="1"/>
    <col min="10754" max="10754" width="7" style="59" customWidth="1"/>
    <col min="10755" max="10755" width="9.85546875" style="59" bestFit="1" customWidth="1"/>
    <col min="10756" max="10756" width="15.5703125" style="59" customWidth="1"/>
    <col min="10757" max="10757" width="11.140625" style="59" bestFit="1" customWidth="1"/>
    <col min="10758" max="10758" width="14" style="59" customWidth="1"/>
    <col min="10759" max="10759" width="12" style="59" customWidth="1"/>
    <col min="10760" max="10760" width="11.85546875" style="59" bestFit="1" customWidth="1"/>
    <col min="10761" max="10761" width="7" style="59"/>
    <col min="10762" max="10762" width="28.5703125" style="59" customWidth="1"/>
    <col min="10763" max="10763" width="4.42578125" style="59" customWidth="1"/>
    <col min="10764" max="10764" width="10" style="59" customWidth="1"/>
    <col min="10765" max="11005" width="7" style="59"/>
    <col min="11006" max="11006" width="3.5703125" style="59" customWidth="1"/>
    <col min="11007" max="11007" width="24.140625" style="59" customWidth="1"/>
    <col min="11008" max="11008" width="54.7109375" style="59" customWidth="1"/>
    <col min="11009" max="11009" width="18.28515625" style="59" customWidth="1"/>
    <col min="11010" max="11010" width="7" style="59" customWidth="1"/>
    <col min="11011" max="11011" width="9.85546875" style="59" bestFit="1" customWidth="1"/>
    <col min="11012" max="11012" width="15.5703125" style="59" customWidth="1"/>
    <col min="11013" max="11013" width="11.140625" style="59" bestFit="1" customWidth="1"/>
    <col min="11014" max="11014" width="14" style="59" customWidth="1"/>
    <col min="11015" max="11015" width="12" style="59" customWidth="1"/>
    <col min="11016" max="11016" width="11.85546875" style="59" bestFit="1" customWidth="1"/>
    <col min="11017" max="11017" width="7" style="59"/>
    <col min="11018" max="11018" width="28.5703125" style="59" customWidth="1"/>
    <col min="11019" max="11019" width="4.42578125" style="59" customWidth="1"/>
    <col min="11020" max="11020" width="10" style="59" customWidth="1"/>
    <col min="11021" max="11261" width="7" style="59"/>
    <col min="11262" max="11262" width="3.5703125" style="59" customWidth="1"/>
    <col min="11263" max="11263" width="24.140625" style="59" customWidth="1"/>
    <col min="11264" max="11264" width="54.7109375" style="59" customWidth="1"/>
    <col min="11265" max="11265" width="18.28515625" style="59" customWidth="1"/>
    <col min="11266" max="11266" width="7" style="59" customWidth="1"/>
    <col min="11267" max="11267" width="9.85546875" style="59" bestFit="1" customWidth="1"/>
    <col min="11268" max="11268" width="15.5703125" style="59" customWidth="1"/>
    <col min="11269" max="11269" width="11.140625" style="59" bestFit="1" customWidth="1"/>
    <col min="11270" max="11270" width="14" style="59" customWidth="1"/>
    <col min="11271" max="11271" width="12" style="59" customWidth="1"/>
    <col min="11272" max="11272" width="11.85546875" style="59" bestFit="1" customWidth="1"/>
    <col min="11273" max="11273" width="7" style="59"/>
    <col min="11274" max="11274" width="28.5703125" style="59" customWidth="1"/>
    <col min="11275" max="11275" width="4.42578125" style="59" customWidth="1"/>
    <col min="11276" max="11276" width="10" style="59" customWidth="1"/>
    <col min="11277" max="11517" width="7" style="59"/>
    <col min="11518" max="11518" width="3.5703125" style="59" customWidth="1"/>
    <col min="11519" max="11519" width="24.140625" style="59" customWidth="1"/>
    <col min="11520" max="11520" width="54.7109375" style="59" customWidth="1"/>
    <col min="11521" max="11521" width="18.28515625" style="59" customWidth="1"/>
    <col min="11522" max="11522" width="7" style="59" customWidth="1"/>
    <col min="11523" max="11523" width="9.85546875" style="59" bestFit="1" customWidth="1"/>
    <col min="11524" max="11524" width="15.5703125" style="59" customWidth="1"/>
    <col min="11525" max="11525" width="11.140625" style="59" bestFit="1" customWidth="1"/>
    <col min="11526" max="11526" width="14" style="59" customWidth="1"/>
    <col min="11527" max="11527" width="12" style="59" customWidth="1"/>
    <col min="11528" max="11528" width="11.85546875" style="59" bestFit="1" customWidth="1"/>
    <col min="11529" max="11529" width="7" style="59"/>
    <col min="11530" max="11530" width="28.5703125" style="59" customWidth="1"/>
    <col min="11531" max="11531" width="4.42578125" style="59" customWidth="1"/>
    <col min="11532" max="11532" width="10" style="59" customWidth="1"/>
    <col min="11533" max="11773" width="7" style="59"/>
    <col min="11774" max="11774" width="3.5703125" style="59" customWidth="1"/>
    <col min="11775" max="11775" width="24.140625" style="59" customWidth="1"/>
    <col min="11776" max="11776" width="54.7109375" style="59" customWidth="1"/>
    <col min="11777" max="11777" width="18.28515625" style="59" customWidth="1"/>
    <col min="11778" max="11778" width="7" style="59" customWidth="1"/>
    <col min="11779" max="11779" width="9.85546875" style="59" bestFit="1" customWidth="1"/>
    <col min="11780" max="11780" width="15.5703125" style="59" customWidth="1"/>
    <col min="11781" max="11781" width="11.140625" style="59" bestFit="1" customWidth="1"/>
    <col min="11782" max="11782" width="14" style="59" customWidth="1"/>
    <col min="11783" max="11783" width="12" style="59" customWidth="1"/>
    <col min="11784" max="11784" width="11.85546875" style="59" bestFit="1" customWidth="1"/>
    <col min="11785" max="11785" width="7" style="59"/>
    <col min="11786" max="11786" width="28.5703125" style="59" customWidth="1"/>
    <col min="11787" max="11787" width="4.42578125" style="59" customWidth="1"/>
    <col min="11788" max="11788" width="10" style="59" customWidth="1"/>
    <col min="11789" max="12029" width="7" style="59"/>
    <col min="12030" max="12030" width="3.5703125" style="59" customWidth="1"/>
    <col min="12031" max="12031" width="24.140625" style="59" customWidth="1"/>
    <col min="12032" max="12032" width="54.7109375" style="59" customWidth="1"/>
    <col min="12033" max="12033" width="18.28515625" style="59" customWidth="1"/>
    <col min="12034" max="12034" width="7" style="59" customWidth="1"/>
    <col min="12035" max="12035" width="9.85546875" style="59" bestFit="1" customWidth="1"/>
    <col min="12036" max="12036" width="15.5703125" style="59" customWidth="1"/>
    <col min="12037" max="12037" width="11.140625" style="59" bestFit="1" customWidth="1"/>
    <col min="12038" max="12038" width="14" style="59" customWidth="1"/>
    <col min="12039" max="12039" width="12" style="59" customWidth="1"/>
    <col min="12040" max="12040" width="11.85546875" style="59" bestFit="1" customWidth="1"/>
    <col min="12041" max="12041" width="7" style="59"/>
    <col min="12042" max="12042" width="28.5703125" style="59" customWidth="1"/>
    <col min="12043" max="12043" width="4.42578125" style="59" customWidth="1"/>
    <col min="12044" max="12044" width="10" style="59" customWidth="1"/>
    <col min="12045" max="12285" width="7" style="59"/>
    <col min="12286" max="12286" width="3.5703125" style="59" customWidth="1"/>
    <col min="12287" max="12287" width="24.140625" style="59" customWidth="1"/>
    <col min="12288" max="12288" width="54.7109375" style="59" customWidth="1"/>
    <col min="12289" max="12289" width="18.28515625" style="59" customWidth="1"/>
    <col min="12290" max="12290" width="7" style="59" customWidth="1"/>
    <col min="12291" max="12291" width="9.85546875" style="59" bestFit="1" customWidth="1"/>
    <col min="12292" max="12292" width="15.5703125" style="59" customWidth="1"/>
    <col min="12293" max="12293" width="11.140625" style="59" bestFit="1" customWidth="1"/>
    <col min="12294" max="12294" width="14" style="59" customWidth="1"/>
    <col min="12295" max="12295" width="12" style="59" customWidth="1"/>
    <col min="12296" max="12296" width="11.85546875" style="59" bestFit="1" customWidth="1"/>
    <col min="12297" max="12297" width="7" style="59"/>
    <col min="12298" max="12298" width="28.5703125" style="59" customWidth="1"/>
    <col min="12299" max="12299" width="4.42578125" style="59" customWidth="1"/>
    <col min="12300" max="12300" width="10" style="59" customWidth="1"/>
    <col min="12301" max="12541" width="7" style="59"/>
    <col min="12542" max="12542" width="3.5703125" style="59" customWidth="1"/>
    <col min="12543" max="12543" width="24.140625" style="59" customWidth="1"/>
    <col min="12544" max="12544" width="54.7109375" style="59" customWidth="1"/>
    <col min="12545" max="12545" width="18.28515625" style="59" customWidth="1"/>
    <col min="12546" max="12546" width="7" style="59" customWidth="1"/>
    <col min="12547" max="12547" width="9.85546875" style="59" bestFit="1" customWidth="1"/>
    <col min="12548" max="12548" width="15.5703125" style="59" customWidth="1"/>
    <col min="12549" max="12549" width="11.140625" style="59" bestFit="1" customWidth="1"/>
    <col min="12550" max="12550" width="14" style="59" customWidth="1"/>
    <col min="12551" max="12551" width="12" style="59" customWidth="1"/>
    <col min="12552" max="12552" width="11.85546875" style="59" bestFit="1" customWidth="1"/>
    <col min="12553" max="12553" width="7" style="59"/>
    <col min="12554" max="12554" width="28.5703125" style="59" customWidth="1"/>
    <col min="12555" max="12555" width="4.42578125" style="59" customWidth="1"/>
    <col min="12556" max="12556" width="10" style="59" customWidth="1"/>
    <col min="12557" max="12797" width="7" style="59"/>
    <col min="12798" max="12798" width="3.5703125" style="59" customWidth="1"/>
    <col min="12799" max="12799" width="24.140625" style="59" customWidth="1"/>
    <col min="12800" max="12800" width="54.7109375" style="59" customWidth="1"/>
    <col min="12801" max="12801" width="18.28515625" style="59" customWidth="1"/>
    <col min="12802" max="12802" width="7" style="59" customWidth="1"/>
    <col min="12803" max="12803" width="9.85546875" style="59" bestFit="1" customWidth="1"/>
    <col min="12804" max="12804" width="15.5703125" style="59" customWidth="1"/>
    <col min="12805" max="12805" width="11.140625" style="59" bestFit="1" customWidth="1"/>
    <col min="12806" max="12806" width="14" style="59" customWidth="1"/>
    <col min="12807" max="12807" width="12" style="59" customWidth="1"/>
    <col min="12808" max="12808" width="11.85546875" style="59" bestFit="1" customWidth="1"/>
    <col min="12809" max="12809" width="7" style="59"/>
    <col min="12810" max="12810" width="28.5703125" style="59" customWidth="1"/>
    <col min="12811" max="12811" width="4.42578125" style="59" customWidth="1"/>
    <col min="12812" max="12812" width="10" style="59" customWidth="1"/>
    <col min="12813" max="13053" width="7" style="59"/>
    <col min="13054" max="13054" width="3.5703125" style="59" customWidth="1"/>
    <col min="13055" max="13055" width="24.140625" style="59" customWidth="1"/>
    <col min="13056" max="13056" width="54.7109375" style="59" customWidth="1"/>
    <col min="13057" max="13057" width="18.28515625" style="59" customWidth="1"/>
    <col min="13058" max="13058" width="7" style="59" customWidth="1"/>
    <col min="13059" max="13059" width="9.85546875" style="59" bestFit="1" customWidth="1"/>
    <col min="13060" max="13060" width="15.5703125" style="59" customWidth="1"/>
    <col min="13061" max="13061" width="11.140625" style="59" bestFit="1" customWidth="1"/>
    <col min="13062" max="13062" width="14" style="59" customWidth="1"/>
    <col min="13063" max="13063" width="12" style="59" customWidth="1"/>
    <col min="13064" max="13064" width="11.85546875" style="59" bestFit="1" customWidth="1"/>
    <col min="13065" max="13065" width="7" style="59"/>
    <col min="13066" max="13066" width="28.5703125" style="59" customWidth="1"/>
    <col min="13067" max="13067" width="4.42578125" style="59" customWidth="1"/>
    <col min="13068" max="13068" width="10" style="59" customWidth="1"/>
    <col min="13069" max="13309" width="7" style="59"/>
    <col min="13310" max="13310" width="3.5703125" style="59" customWidth="1"/>
    <col min="13311" max="13311" width="24.140625" style="59" customWidth="1"/>
    <col min="13312" max="13312" width="54.7109375" style="59" customWidth="1"/>
    <col min="13313" max="13313" width="18.28515625" style="59" customWidth="1"/>
    <col min="13314" max="13314" width="7" style="59" customWidth="1"/>
    <col min="13315" max="13315" width="9.85546875" style="59" bestFit="1" customWidth="1"/>
    <col min="13316" max="13316" width="15.5703125" style="59" customWidth="1"/>
    <col min="13317" max="13317" width="11.140625" style="59" bestFit="1" customWidth="1"/>
    <col min="13318" max="13318" width="14" style="59" customWidth="1"/>
    <col min="13319" max="13319" width="12" style="59" customWidth="1"/>
    <col min="13320" max="13320" width="11.85546875" style="59" bestFit="1" customWidth="1"/>
    <col min="13321" max="13321" width="7" style="59"/>
    <col min="13322" max="13322" width="28.5703125" style="59" customWidth="1"/>
    <col min="13323" max="13323" width="4.42578125" style="59" customWidth="1"/>
    <col min="13324" max="13324" width="10" style="59" customWidth="1"/>
    <col min="13325" max="13565" width="7" style="59"/>
    <col min="13566" max="13566" width="3.5703125" style="59" customWidth="1"/>
    <col min="13567" max="13567" width="24.140625" style="59" customWidth="1"/>
    <col min="13568" max="13568" width="54.7109375" style="59" customWidth="1"/>
    <col min="13569" max="13569" width="18.28515625" style="59" customWidth="1"/>
    <col min="13570" max="13570" width="7" style="59" customWidth="1"/>
    <col min="13571" max="13571" width="9.85546875" style="59" bestFit="1" customWidth="1"/>
    <col min="13572" max="13572" width="15.5703125" style="59" customWidth="1"/>
    <col min="13573" max="13573" width="11.140625" style="59" bestFit="1" customWidth="1"/>
    <col min="13574" max="13574" width="14" style="59" customWidth="1"/>
    <col min="13575" max="13575" width="12" style="59" customWidth="1"/>
    <col min="13576" max="13576" width="11.85546875" style="59" bestFit="1" customWidth="1"/>
    <col min="13577" max="13577" width="7" style="59"/>
    <col min="13578" max="13578" width="28.5703125" style="59" customWidth="1"/>
    <col min="13579" max="13579" width="4.42578125" style="59" customWidth="1"/>
    <col min="13580" max="13580" width="10" style="59" customWidth="1"/>
    <col min="13581" max="13821" width="7" style="59"/>
    <col min="13822" max="13822" width="3.5703125" style="59" customWidth="1"/>
    <col min="13823" max="13823" width="24.140625" style="59" customWidth="1"/>
    <col min="13824" max="13824" width="54.7109375" style="59" customWidth="1"/>
    <col min="13825" max="13825" width="18.28515625" style="59" customWidth="1"/>
    <col min="13826" max="13826" width="7" style="59" customWidth="1"/>
    <col min="13827" max="13827" width="9.85546875" style="59" bestFit="1" customWidth="1"/>
    <col min="13828" max="13828" width="15.5703125" style="59" customWidth="1"/>
    <col min="13829" max="13829" width="11.140625" style="59" bestFit="1" customWidth="1"/>
    <col min="13830" max="13830" width="14" style="59" customWidth="1"/>
    <col min="13831" max="13831" width="12" style="59" customWidth="1"/>
    <col min="13832" max="13832" width="11.85546875" style="59" bestFit="1" customWidth="1"/>
    <col min="13833" max="13833" width="7" style="59"/>
    <col min="13834" max="13834" width="28.5703125" style="59" customWidth="1"/>
    <col min="13835" max="13835" width="4.42578125" style="59" customWidth="1"/>
    <col min="13836" max="13836" width="10" style="59" customWidth="1"/>
    <col min="13837" max="14077" width="7" style="59"/>
    <col min="14078" max="14078" width="3.5703125" style="59" customWidth="1"/>
    <col min="14079" max="14079" width="24.140625" style="59" customWidth="1"/>
    <col min="14080" max="14080" width="54.7109375" style="59" customWidth="1"/>
    <col min="14081" max="14081" width="18.28515625" style="59" customWidth="1"/>
    <col min="14082" max="14082" width="7" style="59" customWidth="1"/>
    <col min="14083" max="14083" width="9.85546875" style="59" bestFit="1" customWidth="1"/>
    <col min="14084" max="14084" width="15.5703125" style="59" customWidth="1"/>
    <col min="14085" max="14085" width="11.140625" style="59" bestFit="1" customWidth="1"/>
    <col min="14086" max="14086" width="14" style="59" customWidth="1"/>
    <col min="14087" max="14087" width="12" style="59" customWidth="1"/>
    <col min="14088" max="14088" width="11.85546875" style="59" bestFit="1" customWidth="1"/>
    <col min="14089" max="14089" width="7" style="59"/>
    <col min="14090" max="14090" width="28.5703125" style="59" customWidth="1"/>
    <col min="14091" max="14091" width="4.42578125" style="59" customWidth="1"/>
    <col min="14092" max="14092" width="10" style="59" customWidth="1"/>
    <col min="14093" max="14333" width="7" style="59"/>
    <col min="14334" max="14334" width="3.5703125" style="59" customWidth="1"/>
    <col min="14335" max="14335" width="24.140625" style="59" customWidth="1"/>
    <col min="14336" max="14336" width="54.7109375" style="59" customWidth="1"/>
    <col min="14337" max="14337" width="18.28515625" style="59" customWidth="1"/>
    <col min="14338" max="14338" width="7" style="59" customWidth="1"/>
    <col min="14339" max="14339" width="9.85546875" style="59" bestFit="1" customWidth="1"/>
    <col min="14340" max="14340" width="15.5703125" style="59" customWidth="1"/>
    <col min="14341" max="14341" width="11.140625" style="59" bestFit="1" customWidth="1"/>
    <col min="14342" max="14342" width="14" style="59" customWidth="1"/>
    <col min="14343" max="14343" width="12" style="59" customWidth="1"/>
    <col min="14344" max="14344" width="11.85546875" style="59" bestFit="1" customWidth="1"/>
    <col min="14345" max="14345" width="7" style="59"/>
    <col min="14346" max="14346" width="28.5703125" style="59" customWidth="1"/>
    <col min="14347" max="14347" width="4.42578125" style="59" customWidth="1"/>
    <col min="14348" max="14348" width="10" style="59" customWidth="1"/>
    <col min="14349" max="14589" width="7" style="59"/>
    <col min="14590" max="14590" width="3.5703125" style="59" customWidth="1"/>
    <col min="14591" max="14591" width="24.140625" style="59" customWidth="1"/>
    <col min="14592" max="14592" width="54.7109375" style="59" customWidth="1"/>
    <col min="14593" max="14593" width="18.28515625" style="59" customWidth="1"/>
    <col min="14594" max="14594" width="7" style="59" customWidth="1"/>
    <col min="14595" max="14595" width="9.85546875" style="59" bestFit="1" customWidth="1"/>
    <col min="14596" max="14596" width="15.5703125" style="59" customWidth="1"/>
    <col min="14597" max="14597" width="11.140625" style="59" bestFit="1" customWidth="1"/>
    <col min="14598" max="14598" width="14" style="59" customWidth="1"/>
    <col min="14599" max="14599" width="12" style="59" customWidth="1"/>
    <col min="14600" max="14600" width="11.85546875" style="59" bestFit="1" customWidth="1"/>
    <col min="14601" max="14601" width="7" style="59"/>
    <col min="14602" max="14602" width="28.5703125" style="59" customWidth="1"/>
    <col min="14603" max="14603" width="4.42578125" style="59" customWidth="1"/>
    <col min="14604" max="14604" width="10" style="59" customWidth="1"/>
    <col min="14605" max="14845" width="7" style="59"/>
    <col min="14846" max="14846" width="3.5703125" style="59" customWidth="1"/>
    <col min="14847" max="14847" width="24.140625" style="59" customWidth="1"/>
    <col min="14848" max="14848" width="54.7109375" style="59" customWidth="1"/>
    <col min="14849" max="14849" width="18.28515625" style="59" customWidth="1"/>
    <col min="14850" max="14850" width="7" style="59" customWidth="1"/>
    <col min="14851" max="14851" width="9.85546875" style="59" bestFit="1" customWidth="1"/>
    <col min="14852" max="14852" width="15.5703125" style="59" customWidth="1"/>
    <col min="14853" max="14853" width="11.140625" style="59" bestFit="1" customWidth="1"/>
    <col min="14854" max="14854" width="14" style="59" customWidth="1"/>
    <col min="14855" max="14855" width="12" style="59" customWidth="1"/>
    <col min="14856" max="14856" width="11.85546875" style="59" bestFit="1" customWidth="1"/>
    <col min="14857" max="14857" width="7" style="59"/>
    <col min="14858" max="14858" width="28.5703125" style="59" customWidth="1"/>
    <col min="14859" max="14859" width="4.42578125" style="59" customWidth="1"/>
    <col min="14860" max="14860" width="10" style="59" customWidth="1"/>
    <col min="14861" max="15101" width="7" style="59"/>
    <col min="15102" max="15102" width="3.5703125" style="59" customWidth="1"/>
    <col min="15103" max="15103" width="24.140625" style="59" customWidth="1"/>
    <col min="15104" max="15104" width="54.7109375" style="59" customWidth="1"/>
    <col min="15105" max="15105" width="18.28515625" style="59" customWidth="1"/>
    <col min="15106" max="15106" width="7" style="59" customWidth="1"/>
    <col min="15107" max="15107" width="9.85546875" style="59" bestFit="1" customWidth="1"/>
    <col min="15108" max="15108" width="15.5703125" style="59" customWidth="1"/>
    <col min="15109" max="15109" width="11.140625" style="59" bestFit="1" customWidth="1"/>
    <col min="15110" max="15110" width="14" style="59" customWidth="1"/>
    <col min="15111" max="15111" width="12" style="59" customWidth="1"/>
    <col min="15112" max="15112" width="11.85546875" style="59" bestFit="1" customWidth="1"/>
    <col min="15113" max="15113" width="7" style="59"/>
    <col min="15114" max="15114" width="28.5703125" style="59" customWidth="1"/>
    <col min="15115" max="15115" width="4.42578125" style="59" customWidth="1"/>
    <col min="15116" max="15116" width="10" style="59" customWidth="1"/>
    <col min="15117" max="15357" width="7" style="59"/>
    <col min="15358" max="15358" width="3.5703125" style="59" customWidth="1"/>
    <col min="15359" max="15359" width="24.140625" style="59" customWidth="1"/>
    <col min="15360" max="15360" width="54.7109375" style="59" customWidth="1"/>
    <col min="15361" max="15361" width="18.28515625" style="59" customWidth="1"/>
    <col min="15362" max="15362" width="7" style="59" customWidth="1"/>
    <col min="15363" max="15363" width="9.85546875" style="59" bestFit="1" customWidth="1"/>
    <col min="15364" max="15364" width="15.5703125" style="59" customWidth="1"/>
    <col min="15365" max="15365" width="11.140625" style="59" bestFit="1" customWidth="1"/>
    <col min="15366" max="15366" width="14" style="59" customWidth="1"/>
    <col min="15367" max="15367" width="12" style="59" customWidth="1"/>
    <col min="15368" max="15368" width="11.85546875" style="59" bestFit="1" customWidth="1"/>
    <col min="15369" max="15369" width="7" style="59"/>
    <col min="15370" max="15370" width="28.5703125" style="59" customWidth="1"/>
    <col min="15371" max="15371" width="4.42578125" style="59" customWidth="1"/>
    <col min="15372" max="15372" width="10" style="59" customWidth="1"/>
    <col min="15373" max="15613" width="7" style="59"/>
    <col min="15614" max="15614" width="3.5703125" style="59" customWidth="1"/>
    <col min="15615" max="15615" width="24.140625" style="59" customWidth="1"/>
    <col min="15616" max="15616" width="54.7109375" style="59" customWidth="1"/>
    <col min="15617" max="15617" width="18.28515625" style="59" customWidth="1"/>
    <col min="15618" max="15618" width="7" style="59" customWidth="1"/>
    <col min="15619" max="15619" width="9.85546875" style="59" bestFit="1" customWidth="1"/>
    <col min="15620" max="15620" width="15.5703125" style="59" customWidth="1"/>
    <col min="15621" max="15621" width="11.140625" style="59" bestFit="1" customWidth="1"/>
    <col min="15622" max="15622" width="14" style="59" customWidth="1"/>
    <col min="15623" max="15623" width="12" style="59" customWidth="1"/>
    <col min="15624" max="15624" width="11.85546875" style="59" bestFit="1" customWidth="1"/>
    <col min="15625" max="15625" width="7" style="59"/>
    <col min="15626" max="15626" width="28.5703125" style="59" customWidth="1"/>
    <col min="15627" max="15627" width="4.42578125" style="59" customWidth="1"/>
    <col min="15628" max="15628" width="10" style="59" customWidth="1"/>
    <col min="15629" max="15869" width="7" style="59"/>
    <col min="15870" max="15870" width="3.5703125" style="59" customWidth="1"/>
    <col min="15871" max="15871" width="24.140625" style="59" customWidth="1"/>
    <col min="15872" max="15872" width="54.7109375" style="59" customWidth="1"/>
    <col min="15873" max="15873" width="18.28515625" style="59" customWidth="1"/>
    <col min="15874" max="15874" width="7" style="59" customWidth="1"/>
    <col min="15875" max="15875" width="9.85546875" style="59" bestFit="1" customWidth="1"/>
    <col min="15876" max="15876" width="15.5703125" style="59" customWidth="1"/>
    <col min="15877" max="15877" width="11.140625" style="59" bestFit="1" customWidth="1"/>
    <col min="15878" max="15878" width="14" style="59" customWidth="1"/>
    <col min="15879" max="15879" width="12" style="59" customWidth="1"/>
    <col min="15880" max="15880" width="11.85546875" style="59" bestFit="1" customWidth="1"/>
    <col min="15881" max="15881" width="7" style="59"/>
    <col min="15882" max="15882" width="28.5703125" style="59" customWidth="1"/>
    <col min="15883" max="15883" width="4.42578125" style="59" customWidth="1"/>
    <col min="15884" max="15884" width="10" style="59" customWidth="1"/>
    <col min="15885" max="16125" width="7" style="59"/>
    <col min="16126" max="16126" width="3.5703125" style="59" customWidth="1"/>
    <col min="16127" max="16127" width="24.140625" style="59" customWidth="1"/>
    <col min="16128" max="16128" width="54.7109375" style="59" customWidth="1"/>
    <col min="16129" max="16129" width="18.28515625" style="59" customWidth="1"/>
    <col min="16130" max="16130" width="7" style="59" customWidth="1"/>
    <col min="16131" max="16131" width="9.85546875" style="59" bestFit="1" customWidth="1"/>
    <col min="16132" max="16132" width="15.5703125" style="59" customWidth="1"/>
    <col min="16133" max="16133" width="11.140625" style="59" bestFit="1" customWidth="1"/>
    <col min="16134" max="16134" width="14" style="59" customWidth="1"/>
    <col min="16135" max="16135" width="12" style="59" customWidth="1"/>
    <col min="16136" max="16136" width="11.85546875" style="59" bestFit="1" customWidth="1"/>
    <col min="16137" max="16137" width="7" style="59"/>
    <col min="16138" max="16138" width="28.5703125" style="59" customWidth="1"/>
    <col min="16139" max="16139" width="4.42578125" style="59" customWidth="1"/>
    <col min="16140" max="16140" width="10" style="59" customWidth="1"/>
    <col min="16141" max="16384" width="7" style="59"/>
  </cols>
  <sheetData>
    <row r="1" spans="1:218" ht="14.25">
      <c r="A1" s="263" t="s">
        <v>2</v>
      </c>
    </row>
    <row r="2" spans="1:218" ht="14.25">
      <c r="A2" s="61"/>
    </row>
    <row r="3" spans="1:218" ht="21" customHeight="1">
      <c r="A3" s="250" t="str">
        <f>'1-Inschrijfstaat'!A3</f>
        <v>Naam opdrachtgever</v>
      </c>
      <c r="B3" s="348" t="str">
        <f>'1-Inschrijfstaat'!B3</f>
        <v>GVB Infra B.V.</v>
      </c>
    </row>
    <row r="4" spans="1:218" ht="21" customHeight="1">
      <c r="A4" s="250" t="str">
        <f>'1-Inschrijfstaat'!A4</f>
        <v>Calculatie onderdeel</v>
      </c>
      <c r="B4" s="348" t="str">
        <f ca="1">MID(CELL("bestandsnaam",$B$10),SEARCH("]",CELL("bestandsnaam",$B$10),1)+1,256)</f>
        <v>11c-Afroep RVS kraaiennest</v>
      </c>
    </row>
    <row r="5" spans="1:218" ht="17.25">
      <c r="A5" s="250" t="str">
        <f>'11b- Afroepprijs Algemeen'!A5</f>
        <v>Gebouw/plaats</v>
      </c>
      <c r="B5" s="348" t="str">
        <f>'1-Inschrijfstaat'!B5</f>
        <v>Diverse</v>
      </c>
    </row>
    <row r="6" spans="1:218" ht="17.25">
      <c r="A6" s="250" t="str">
        <f>'11b- Afroepprijs Algemeen'!A6</f>
        <v>Besteknummer</v>
      </c>
      <c r="B6" s="348" t="str">
        <f>'1-Inschrijfstaat'!B6</f>
        <v>2021-61</v>
      </c>
    </row>
    <row r="7" spans="1:218" ht="17.25">
      <c r="A7" s="250" t="str">
        <f>'11b- Afroepprijs Algemeen'!A7</f>
        <v>Naam leverancier</v>
      </c>
      <c r="B7" s="348" t="str">
        <f>'1-Inschrijfstaat'!B7:D7</f>
        <v>Naam dienstverlener</v>
      </c>
    </row>
    <row r="8" spans="1:218" ht="16.5">
      <c r="A8" s="250" t="str">
        <f>'11b- Afroepprijs Algemeen'!A8</f>
        <v>Prijspeil</v>
      </c>
      <c r="B8" s="11" t="str">
        <f>'1-Inschrijfstaat'!B8</f>
        <v>1 januari 2022</v>
      </c>
    </row>
    <row r="9" spans="1:218" ht="16.5">
      <c r="A9" s="250" t="str">
        <f>'11b- Afroepprijs Algemeen'!A9</f>
        <v>Perceel</v>
      </c>
      <c r="B9" s="62" t="str">
        <f>'1-Inschrijfstaat'!B9</f>
        <v>1 Technische schoonmaak Algemeen</v>
      </c>
    </row>
    <row r="10" spans="1:218" ht="17.25">
      <c r="A10" s="260" t="s">
        <v>1085</v>
      </c>
      <c r="B10" s="46" t="s">
        <v>2018</v>
      </c>
      <c r="C10" s="358"/>
      <c r="D10" s="358"/>
      <c r="E10" s="358"/>
      <c r="F10" s="358"/>
      <c r="G10" s="358"/>
    </row>
    <row r="11" spans="1:218" ht="17.25">
      <c r="A11" s="45"/>
      <c r="B11" s="86"/>
    </row>
    <row r="12" spans="1:218" ht="12" customHeight="1">
      <c r="A12" s="63"/>
      <c r="B12" s="63"/>
      <c r="C12" s="63"/>
      <c r="D12" s="64"/>
      <c r="E12" s="64"/>
    </row>
    <row r="13" spans="1:218" ht="25.5">
      <c r="A13" s="267" t="s">
        <v>1690</v>
      </c>
      <c r="B13" s="258" t="s">
        <v>2012</v>
      </c>
      <c r="C13" s="268" t="s">
        <v>1687</v>
      </c>
      <c r="I13" s="65"/>
      <c r="J13" s="65"/>
      <c r="K13" s="65"/>
      <c r="L13" s="66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</row>
    <row r="14" spans="1:218" ht="14.25">
      <c r="A14" s="67" t="s">
        <v>1688</v>
      </c>
      <c r="B14" s="455" t="s">
        <v>2013</v>
      </c>
      <c r="C14" s="359">
        <v>0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</row>
    <row r="15" spans="1:218" ht="14.25">
      <c r="A15" s="67" t="s">
        <v>1688</v>
      </c>
      <c r="B15" s="575" t="s">
        <v>2078</v>
      </c>
      <c r="C15" s="359">
        <v>0</v>
      </c>
      <c r="D15" s="64"/>
      <c r="E15" s="64"/>
      <c r="I15" s="65"/>
      <c r="J15" s="65"/>
      <c r="K15" s="65"/>
      <c r="L15" s="66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</row>
    <row r="16" spans="1:218" ht="14.25">
      <c r="A16" s="67" t="s">
        <v>1689</v>
      </c>
      <c r="B16" s="455" t="s">
        <v>2013</v>
      </c>
      <c r="C16" s="359">
        <v>0</v>
      </c>
      <c r="D16" s="64"/>
      <c r="E16" s="64"/>
      <c r="I16" s="65"/>
      <c r="J16" s="65"/>
      <c r="K16" s="65"/>
      <c r="L16" s="66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</row>
    <row r="17" spans="1:218" ht="14.25">
      <c r="A17" s="67" t="s">
        <v>1689</v>
      </c>
      <c r="B17" s="575" t="s">
        <v>2078</v>
      </c>
      <c r="C17" s="359">
        <v>0</v>
      </c>
      <c r="D17" s="64"/>
      <c r="E17" s="64"/>
      <c r="I17" s="65"/>
      <c r="J17" s="65"/>
      <c r="K17" s="65"/>
      <c r="L17" s="66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</row>
    <row r="19" spans="1:218" ht="14.25">
      <c r="B19" s="21"/>
    </row>
    <row r="20" spans="1:218" ht="25.5">
      <c r="A20" s="355" t="s">
        <v>1354</v>
      </c>
      <c r="B20" s="356" t="s">
        <v>1120</v>
      </c>
      <c r="C20" s="356" t="s">
        <v>1094</v>
      </c>
      <c r="D20" s="356" t="s">
        <v>1375</v>
      </c>
      <c r="E20" s="356" t="s">
        <v>1095</v>
      </c>
      <c r="F20" s="356" t="s">
        <v>1353</v>
      </c>
      <c r="G20" s="459" t="s">
        <v>1687</v>
      </c>
      <c r="H20" s="357" t="s">
        <v>1121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</row>
    <row r="21" spans="1:218">
      <c r="A21" s="68" t="s">
        <v>1123</v>
      </c>
      <c r="B21" s="69" t="s">
        <v>1124</v>
      </c>
      <c r="C21" s="70" t="s">
        <v>1125</v>
      </c>
      <c r="D21" s="360"/>
      <c r="E21" s="87">
        <v>560</v>
      </c>
      <c r="F21" s="88">
        <f>E21*D21</f>
        <v>0</v>
      </c>
      <c r="G21" s="88">
        <f>C14</f>
        <v>0</v>
      </c>
      <c r="H21" s="77">
        <f t="shared" ref="H21:H23" si="0">F21*G21</f>
        <v>0</v>
      </c>
      <c r="I21" s="65"/>
      <c r="J21" s="65"/>
      <c r="K21" s="65"/>
      <c r="L21" s="66"/>
      <c r="M21" s="65"/>
    </row>
    <row r="22" spans="1:218">
      <c r="A22" s="68" t="s">
        <v>1123</v>
      </c>
      <c r="B22" s="69" t="s">
        <v>1126</v>
      </c>
      <c r="C22" s="70" t="s">
        <v>1125</v>
      </c>
      <c r="D22" s="360"/>
      <c r="E22" s="87">
        <v>560</v>
      </c>
      <c r="F22" s="88">
        <f>E22*D22</f>
        <v>0</v>
      </c>
      <c r="G22" s="88">
        <f>C14</f>
        <v>0</v>
      </c>
      <c r="H22" s="77">
        <f t="shared" si="0"/>
        <v>0</v>
      </c>
      <c r="M22" s="65"/>
    </row>
    <row r="23" spans="1:218">
      <c r="A23" s="68" t="s">
        <v>1123</v>
      </c>
      <c r="B23" s="69" t="s">
        <v>1127</v>
      </c>
      <c r="C23" s="70" t="s">
        <v>1125</v>
      </c>
      <c r="D23" s="360"/>
      <c r="E23" s="87">
        <v>665</v>
      </c>
      <c r="F23" s="88">
        <f>E23*D23</f>
        <v>0</v>
      </c>
      <c r="G23" s="88">
        <f>C14</f>
        <v>0</v>
      </c>
      <c r="H23" s="77">
        <f t="shared" si="0"/>
        <v>0</v>
      </c>
      <c r="I23" s="65"/>
      <c r="J23" s="65"/>
      <c r="K23" s="65"/>
      <c r="L23" s="66"/>
      <c r="M23" s="65"/>
    </row>
    <row r="24" spans="1:218">
      <c r="A24" s="68"/>
      <c r="B24" s="69"/>
      <c r="C24" s="70"/>
      <c r="D24" s="89"/>
      <c r="E24" s="87"/>
      <c r="F24" s="90"/>
      <c r="G24" s="460"/>
      <c r="H24" s="73"/>
      <c r="M24" s="65"/>
    </row>
    <row r="25" spans="1:218">
      <c r="A25" s="68" t="s">
        <v>1128</v>
      </c>
      <c r="B25" s="69" t="s">
        <v>1129</v>
      </c>
      <c r="C25" s="70" t="s">
        <v>1125</v>
      </c>
      <c r="D25" s="361"/>
      <c r="E25" s="87">
        <v>320</v>
      </c>
      <c r="F25" s="72">
        <f>E25*D25</f>
        <v>0</v>
      </c>
      <c r="G25" s="88">
        <f>C15</f>
        <v>0</v>
      </c>
      <c r="H25" s="77">
        <f t="shared" ref="H25:H28" si="1">F25*G25</f>
        <v>0</v>
      </c>
      <c r="I25" s="65"/>
      <c r="J25" s="65"/>
      <c r="K25" s="65"/>
      <c r="L25" s="66"/>
      <c r="M25" s="65"/>
    </row>
    <row r="26" spans="1:218">
      <c r="A26" s="68" t="s">
        <v>1128</v>
      </c>
      <c r="B26" s="69" t="s">
        <v>1130</v>
      </c>
      <c r="C26" s="70" t="s">
        <v>1125</v>
      </c>
      <c r="D26" s="361"/>
      <c r="E26" s="87">
        <v>320</v>
      </c>
      <c r="F26" s="72">
        <f>E26*D26</f>
        <v>0</v>
      </c>
      <c r="G26" s="88">
        <f>C15</f>
        <v>0</v>
      </c>
      <c r="H26" s="77">
        <f t="shared" si="1"/>
        <v>0</v>
      </c>
      <c r="I26" s="65"/>
      <c r="J26" s="65"/>
      <c r="M26" s="65"/>
    </row>
    <row r="27" spans="1:218">
      <c r="A27" s="68" t="s">
        <v>1128</v>
      </c>
      <c r="B27" s="69" t="s">
        <v>1131</v>
      </c>
      <c r="C27" s="70" t="s">
        <v>1125</v>
      </c>
      <c r="D27" s="361"/>
      <c r="E27" s="87">
        <v>22</v>
      </c>
      <c r="F27" s="72">
        <f>E27*D27</f>
        <v>0</v>
      </c>
      <c r="G27" s="88">
        <f>C15</f>
        <v>0</v>
      </c>
      <c r="H27" s="77">
        <f t="shared" si="1"/>
        <v>0</v>
      </c>
      <c r="I27" s="65"/>
      <c r="J27" s="65"/>
      <c r="K27" s="65"/>
      <c r="L27" s="66"/>
      <c r="M27" s="65"/>
    </row>
    <row r="28" spans="1:218">
      <c r="A28" s="68" t="s">
        <v>1128</v>
      </c>
      <c r="B28" s="69" t="s">
        <v>1132</v>
      </c>
      <c r="C28" s="70" t="s">
        <v>1125</v>
      </c>
      <c r="D28" s="361"/>
      <c r="E28" s="87">
        <v>22</v>
      </c>
      <c r="F28" s="72">
        <f>E28*D28</f>
        <v>0</v>
      </c>
      <c r="G28" s="88">
        <f>C15</f>
        <v>0</v>
      </c>
      <c r="H28" s="77">
        <f t="shared" si="1"/>
        <v>0</v>
      </c>
      <c r="I28" s="65"/>
      <c r="J28" s="65"/>
      <c r="M28" s="65"/>
    </row>
    <row r="29" spans="1:218">
      <c r="A29" s="68"/>
      <c r="B29" s="69"/>
      <c r="C29" s="69"/>
      <c r="D29" s="74"/>
      <c r="E29" s="75"/>
      <c r="F29" s="76"/>
      <c r="G29" s="461"/>
      <c r="H29" s="77"/>
      <c r="I29" s="65"/>
      <c r="J29" s="65"/>
      <c r="K29" s="65"/>
      <c r="L29" s="66"/>
      <c r="M29" s="65"/>
    </row>
    <row r="30" spans="1:218" ht="25.5">
      <c r="A30" s="355"/>
      <c r="B30" s="356" t="s">
        <v>1364</v>
      </c>
      <c r="C30" s="356" t="s">
        <v>1094</v>
      </c>
      <c r="D30" s="356" t="s">
        <v>1095</v>
      </c>
      <c r="E30" s="356" t="s">
        <v>1122</v>
      </c>
      <c r="F30" s="356"/>
      <c r="G30" s="459"/>
      <c r="H30" s="357" t="s">
        <v>1121</v>
      </c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</row>
    <row r="31" spans="1:218">
      <c r="A31" s="68"/>
      <c r="B31" s="91" t="s">
        <v>1365</v>
      </c>
      <c r="C31" s="92" t="s">
        <v>1363</v>
      </c>
      <c r="D31" s="362"/>
      <c r="E31" s="359">
        <v>0</v>
      </c>
      <c r="F31" s="78"/>
      <c r="G31" s="88"/>
      <c r="H31" s="77">
        <f>E31*D31</f>
        <v>0</v>
      </c>
      <c r="I31" s="65"/>
      <c r="J31" s="65"/>
      <c r="K31" s="65"/>
      <c r="L31" s="66"/>
    </row>
    <row r="32" spans="1:218">
      <c r="A32" s="68"/>
      <c r="B32" s="91" t="s">
        <v>1366</v>
      </c>
      <c r="C32" s="92" t="s">
        <v>1363</v>
      </c>
      <c r="D32" s="362"/>
      <c r="E32" s="359">
        <v>0</v>
      </c>
      <c r="F32" s="78"/>
      <c r="G32" s="88"/>
      <c r="H32" s="77">
        <f t="shared" ref="H32:H33" si="2">E32*D32</f>
        <v>0</v>
      </c>
    </row>
    <row r="33" spans="1:217">
      <c r="A33" s="68"/>
      <c r="B33" s="91" t="s">
        <v>1367</v>
      </c>
      <c r="C33" s="92" t="s">
        <v>1363</v>
      </c>
      <c r="D33" s="362"/>
      <c r="E33" s="359">
        <v>0</v>
      </c>
      <c r="F33" s="78"/>
      <c r="G33" s="88"/>
      <c r="H33" s="77">
        <f t="shared" si="2"/>
        <v>0</v>
      </c>
      <c r="I33" s="65"/>
      <c r="J33" s="65"/>
      <c r="K33" s="65"/>
      <c r="L33" s="66"/>
    </row>
    <row r="34" spans="1:217">
      <c r="A34" s="68"/>
      <c r="B34" s="69"/>
      <c r="C34" s="69"/>
      <c r="D34" s="74"/>
      <c r="E34" s="75"/>
      <c r="F34" s="76"/>
      <c r="G34" s="461"/>
      <c r="H34" s="77"/>
      <c r="M34" s="65"/>
    </row>
    <row r="35" spans="1:217" ht="25.5">
      <c r="A35" s="355"/>
      <c r="B35" s="356" t="s">
        <v>1368</v>
      </c>
      <c r="C35" s="356" t="s">
        <v>1094</v>
      </c>
      <c r="D35" s="356" t="s">
        <v>1095</v>
      </c>
      <c r="E35" s="356" t="s">
        <v>1122</v>
      </c>
      <c r="F35" s="356"/>
      <c r="G35" s="459"/>
      <c r="H35" s="357" t="s">
        <v>1121</v>
      </c>
      <c r="I35" s="65"/>
      <c r="J35" s="65"/>
      <c r="K35" s="65"/>
      <c r="L35" s="66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</row>
    <row r="36" spans="1:217">
      <c r="A36" s="68"/>
      <c r="B36" s="363"/>
      <c r="C36" s="364"/>
      <c r="D36" s="364"/>
      <c r="E36" s="359">
        <v>0</v>
      </c>
      <c r="F36" s="78"/>
      <c r="G36" s="88"/>
      <c r="H36" s="77">
        <f t="shared" ref="H36:H41" si="3">E36*D36</f>
        <v>0</v>
      </c>
    </row>
    <row r="37" spans="1:217">
      <c r="A37" s="68"/>
      <c r="B37" s="363"/>
      <c r="C37" s="364"/>
      <c r="D37" s="364"/>
      <c r="E37" s="359">
        <v>0</v>
      </c>
      <c r="F37" s="78"/>
      <c r="G37" s="88"/>
      <c r="H37" s="77">
        <f t="shared" si="3"/>
        <v>0</v>
      </c>
      <c r="I37" s="65"/>
      <c r="J37" s="65"/>
      <c r="K37" s="65"/>
      <c r="L37" s="66"/>
    </row>
    <row r="38" spans="1:217">
      <c r="A38" s="68"/>
      <c r="B38" s="363"/>
      <c r="C38" s="364"/>
      <c r="D38" s="364"/>
      <c r="E38" s="365">
        <v>0</v>
      </c>
      <c r="F38" s="78"/>
      <c r="G38" s="88"/>
      <c r="H38" s="77">
        <f t="shared" si="3"/>
        <v>0</v>
      </c>
    </row>
    <row r="39" spans="1:217">
      <c r="A39" s="68"/>
      <c r="B39" s="363"/>
      <c r="C39" s="364"/>
      <c r="D39" s="364"/>
      <c r="E39" s="365">
        <v>0</v>
      </c>
      <c r="F39" s="78"/>
      <c r="G39" s="88"/>
      <c r="H39" s="77">
        <f t="shared" si="3"/>
        <v>0</v>
      </c>
      <c r="I39" s="65"/>
      <c r="J39" s="65"/>
      <c r="K39" s="65"/>
      <c r="L39" s="66"/>
    </row>
    <row r="40" spans="1:217">
      <c r="A40" s="68"/>
      <c r="B40" s="363"/>
      <c r="C40" s="364"/>
      <c r="D40" s="364"/>
      <c r="E40" s="365">
        <v>0</v>
      </c>
      <c r="F40" s="78"/>
      <c r="G40" s="88"/>
      <c r="H40" s="77">
        <f t="shared" si="3"/>
        <v>0</v>
      </c>
    </row>
    <row r="41" spans="1:217">
      <c r="A41" s="68"/>
      <c r="B41" s="363"/>
      <c r="C41" s="363"/>
      <c r="D41" s="364"/>
      <c r="E41" s="365">
        <v>0</v>
      </c>
      <c r="F41" s="78"/>
      <c r="G41" s="88"/>
      <c r="H41" s="77">
        <f t="shared" si="3"/>
        <v>0</v>
      </c>
      <c r="I41" s="65"/>
      <c r="J41" s="65"/>
      <c r="K41" s="65"/>
      <c r="L41" s="66"/>
    </row>
    <row r="42" spans="1:217">
      <c r="A42" s="79"/>
      <c r="B42" s="80"/>
      <c r="C42" s="80"/>
      <c r="D42" s="81"/>
      <c r="E42" s="82"/>
      <c r="F42" s="83"/>
      <c r="G42" s="83"/>
      <c r="H42" s="77"/>
    </row>
    <row r="43" spans="1:217" ht="25.5">
      <c r="A43" s="355" t="s">
        <v>1355</v>
      </c>
      <c r="B43" s="356" t="s">
        <v>1096</v>
      </c>
      <c r="C43" s="258"/>
      <c r="D43" s="356"/>
      <c r="E43" s="258" t="s">
        <v>2012</v>
      </c>
      <c r="F43" s="356" t="s">
        <v>1353</v>
      </c>
      <c r="G43" s="459" t="s">
        <v>1687</v>
      </c>
      <c r="H43" s="357" t="s">
        <v>1121</v>
      </c>
      <c r="I43" s="65"/>
      <c r="J43" s="65"/>
      <c r="K43" s="65"/>
      <c r="L43" s="66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5"/>
      <c r="GG43" s="65"/>
      <c r="GH43" s="65"/>
      <c r="GI43" s="65"/>
      <c r="GJ43" s="65"/>
      <c r="GK43" s="65"/>
      <c r="GL43" s="65"/>
      <c r="GM43" s="65"/>
      <c r="GN43" s="65"/>
      <c r="GO43" s="65"/>
      <c r="GP43" s="65"/>
      <c r="GQ43" s="65"/>
      <c r="GR43" s="65"/>
      <c r="GS43" s="65"/>
      <c r="GT43" s="65"/>
      <c r="GU43" s="65"/>
      <c r="GV43" s="65"/>
      <c r="GW43" s="65"/>
      <c r="GX43" s="65"/>
      <c r="GY43" s="65"/>
      <c r="GZ43" s="65"/>
      <c r="HA43" s="65"/>
      <c r="HB43" s="65"/>
      <c r="HC43" s="65"/>
      <c r="HD43" s="65"/>
      <c r="HE43" s="65"/>
      <c r="HF43" s="65"/>
      <c r="HG43" s="65"/>
      <c r="HH43" s="65"/>
      <c r="HI43" s="65"/>
    </row>
    <row r="44" spans="1:217" ht="14.25">
      <c r="A44" s="68" t="s">
        <v>1133</v>
      </c>
      <c r="B44" s="69" t="s">
        <v>1350</v>
      </c>
      <c r="C44" s="455"/>
      <c r="D44" s="74"/>
      <c r="E44" s="455" t="s">
        <v>2013</v>
      </c>
      <c r="F44" s="366"/>
      <c r="G44" s="88">
        <f>C16</f>
        <v>0</v>
      </c>
      <c r="H44" s="77">
        <f>F44*G44</f>
        <v>0</v>
      </c>
    </row>
    <row r="45" spans="1:217" ht="14.25">
      <c r="A45" s="68" t="s">
        <v>1133</v>
      </c>
      <c r="B45" s="69" t="s">
        <v>1350</v>
      </c>
      <c r="C45" s="455"/>
      <c r="D45" s="74"/>
      <c r="E45" s="575" t="s">
        <v>2078</v>
      </c>
      <c r="F45" s="366"/>
      <c r="G45" s="88">
        <f>C17</f>
        <v>0</v>
      </c>
      <c r="H45" s="77">
        <f>F45*G45</f>
        <v>0</v>
      </c>
    </row>
    <row r="46" spans="1:217">
      <c r="F46" s="84" t="s">
        <v>5</v>
      </c>
      <c r="G46" s="462"/>
      <c r="H46" s="85">
        <f>SUM(H21:H45)</f>
        <v>0</v>
      </c>
      <c r="I46" s="65"/>
      <c r="J46" s="65"/>
      <c r="K46" s="65"/>
      <c r="L46" s="66"/>
    </row>
    <row r="47" spans="1:217">
      <c r="A47" s="357" t="s">
        <v>1372</v>
      </c>
    </row>
    <row r="48" spans="1:217">
      <c r="A48" s="93" t="s">
        <v>1369</v>
      </c>
      <c r="I48" s="65"/>
      <c r="J48" s="65"/>
      <c r="K48" s="65"/>
      <c r="L48" s="66"/>
    </row>
    <row r="49" spans="1:1">
      <c r="A49" s="93" t="s">
        <v>1374</v>
      </c>
    </row>
    <row r="50" spans="1:1">
      <c r="A50" s="93" t="s">
        <v>1370</v>
      </c>
    </row>
    <row r="51" spans="1:1">
      <c r="A51" s="93" t="s">
        <v>1371</v>
      </c>
    </row>
    <row r="52" spans="1:1">
      <c r="A52" s="93" t="s">
        <v>1373</v>
      </c>
    </row>
    <row r="54" spans="1:1" ht="15">
      <c r="A54" s="354" t="s">
        <v>1117</v>
      </c>
    </row>
    <row r="55" spans="1:1" ht="14.25">
      <c r="A55" s="107" t="s">
        <v>2076</v>
      </c>
    </row>
    <row r="56" spans="1:1" ht="14.25">
      <c r="A56" s="107" t="s">
        <v>1119</v>
      </c>
    </row>
  </sheetData>
  <pageMargins left="0.7" right="0.7" top="0.75" bottom="0.75" header="0.3" footer="0.3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14999847407452621"/>
  </sheetPr>
  <dimension ref="A1:HK43"/>
  <sheetViews>
    <sheetView showGridLines="0" zoomScaleNormal="100" workbookViewId="0">
      <pane ySplit="11" topLeftCell="A12" activePane="bottomLeft" state="frozen"/>
      <selection activeCell="F30" sqref="F30"/>
      <selection pane="bottomLeft" activeCell="E28" sqref="E28"/>
    </sheetView>
  </sheetViews>
  <sheetFormatPr defaultColWidth="7" defaultRowHeight="13.5"/>
  <cols>
    <col min="1" max="1" width="26.140625" style="60" bestFit="1" customWidth="1"/>
    <col min="2" max="2" width="54.7109375" style="59" customWidth="1"/>
    <col min="3" max="3" width="9.5703125" style="59" customWidth="1"/>
    <col min="4" max="4" width="9.28515625" style="59" customWidth="1"/>
    <col min="5" max="5" width="14.85546875" style="59" customWidth="1"/>
    <col min="6" max="7" width="12.140625" style="59" customWidth="1"/>
    <col min="8" max="8" width="14" style="59" customWidth="1"/>
    <col min="9" max="9" width="11.85546875" style="59" bestFit="1" customWidth="1"/>
    <col min="10" max="10" width="13.5703125" style="59" customWidth="1"/>
    <col min="11" max="11" width="28.5703125" style="59" customWidth="1"/>
    <col min="12" max="12" width="4.42578125" style="59" customWidth="1"/>
    <col min="13" max="13" width="10" style="60" customWidth="1"/>
    <col min="14" max="254" width="7" style="59"/>
    <col min="255" max="255" width="3.5703125" style="59" customWidth="1"/>
    <col min="256" max="256" width="24.140625" style="59" customWidth="1"/>
    <col min="257" max="257" width="54.7109375" style="59" customWidth="1"/>
    <col min="258" max="258" width="18.28515625" style="59" customWidth="1"/>
    <col min="259" max="259" width="7" style="59" customWidth="1"/>
    <col min="260" max="260" width="9.85546875" style="59" bestFit="1" customWidth="1"/>
    <col min="261" max="261" width="15.5703125" style="59" customWidth="1"/>
    <col min="262" max="262" width="11.140625" style="59" bestFit="1" customWidth="1"/>
    <col min="263" max="263" width="14" style="59" customWidth="1"/>
    <col min="264" max="264" width="12" style="59" customWidth="1"/>
    <col min="265" max="265" width="11.85546875" style="59" bestFit="1" customWidth="1"/>
    <col min="266" max="266" width="7" style="59"/>
    <col min="267" max="267" width="28.5703125" style="59" customWidth="1"/>
    <col min="268" max="268" width="4.42578125" style="59" customWidth="1"/>
    <col min="269" max="269" width="10" style="59" customWidth="1"/>
    <col min="270" max="510" width="7" style="59"/>
    <col min="511" max="511" width="3.5703125" style="59" customWidth="1"/>
    <col min="512" max="512" width="24.140625" style="59" customWidth="1"/>
    <col min="513" max="513" width="54.7109375" style="59" customWidth="1"/>
    <col min="514" max="514" width="18.28515625" style="59" customWidth="1"/>
    <col min="515" max="515" width="7" style="59" customWidth="1"/>
    <col min="516" max="516" width="9.85546875" style="59" bestFit="1" customWidth="1"/>
    <col min="517" max="517" width="15.5703125" style="59" customWidth="1"/>
    <col min="518" max="518" width="11.140625" style="59" bestFit="1" customWidth="1"/>
    <col min="519" max="519" width="14" style="59" customWidth="1"/>
    <col min="520" max="520" width="12" style="59" customWidth="1"/>
    <col min="521" max="521" width="11.85546875" style="59" bestFit="1" customWidth="1"/>
    <col min="522" max="522" width="7" style="59"/>
    <col min="523" max="523" width="28.5703125" style="59" customWidth="1"/>
    <col min="524" max="524" width="4.42578125" style="59" customWidth="1"/>
    <col min="525" max="525" width="10" style="59" customWidth="1"/>
    <col min="526" max="766" width="7" style="59"/>
    <col min="767" max="767" width="3.5703125" style="59" customWidth="1"/>
    <col min="768" max="768" width="24.140625" style="59" customWidth="1"/>
    <col min="769" max="769" width="54.7109375" style="59" customWidth="1"/>
    <col min="770" max="770" width="18.28515625" style="59" customWidth="1"/>
    <col min="771" max="771" width="7" style="59" customWidth="1"/>
    <col min="772" max="772" width="9.85546875" style="59" bestFit="1" customWidth="1"/>
    <col min="773" max="773" width="15.5703125" style="59" customWidth="1"/>
    <col min="774" max="774" width="11.140625" style="59" bestFit="1" customWidth="1"/>
    <col min="775" max="775" width="14" style="59" customWidth="1"/>
    <col min="776" max="776" width="12" style="59" customWidth="1"/>
    <col min="777" max="777" width="11.85546875" style="59" bestFit="1" customWidth="1"/>
    <col min="778" max="778" width="7" style="59"/>
    <col min="779" max="779" width="28.5703125" style="59" customWidth="1"/>
    <col min="780" max="780" width="4.42578125" style="59" customWidth="1"/>
    <col min="781" max="781" width="10" style="59" customWidth="1"/>
    <col min="782" max="1022" width="7" style="59"/>
    <col min="1023" max="1023" width="3.5703125" style="59" customWidth="1"/>
    <col min="1024" max="1024" width="24.140625" style="59" customWidth="1"/>
    <col min="1025" max="1025" width="54.7109375" style="59" customWidth="1"/>
    <col min="1026" max="1026" width="18.28515625" style="59" customWidth="1"/>
    <col min="1027" max="1027" width="7" style="59" customWidth="1"/>
    <col min="1028" max="1028" width="9.85546875" style="59" bestFit="1" customWidth="1"/>
    <col min="1029" max="1029" width="15.5703125" style="59" customWidth="1"/>
    <col min="1030" max="1030" width="11.140625" style="59" bestFit="1" customWidth="1"/>
    <col min="1031" max="1031" width="14" style="59" customWidth="1"/>
    <col min="1032" max="1032" width="12" style="59" customWidth="1"/>
    <col min="1033" max="1033" width="11.85546875" style="59" bestFit="1" customWidth="1"/>
    <col min="1034" max="1034" width="7" style="59"/>
    <col min="1035" max="1035" width="28.5703125" style="59" customWidth="1"/>
    <col min="1036" max="1036" width="4.42578125" style="59" customWidth="1"/>
    <col min="1037" max="1037" width="10" style="59" customWidth="1"/>
    <col min="1038" max="1278" width="7" style="59"/>
    <col min="1279" max="1279" width="3.5703125" style="59" customWidth="1"/>
    <col min="1280" max="1280" width="24.140625" style="59" customWidth="1"/>
    <col min="1281" max="1281" width="54.7109375" style="59" customWidth="1"/>
    <col min="1282" max="1282" width="18.28515625" style="59" customWidth="1"/>
    <col min="1283" max="1283" width="7" style="59" customWidth="1"/>
    <col min="1284" max="1284" width="9.85546875" style="59" bestFit="1" customWidth="1"/>
    <col min="1285" max="1285" width="15.5703125" style="59" customWidth="1"/>
    <col min="1286" max="1286" width="11.140625" style="59" bestFit="1" customWidth="1"/>
    <col min="1287" max="1287" width="14" style="59" customWidth="1"/>
    <col min="1288" max="1288" width="12" style="59" customWidth="1"/>
    <col min="1289" max="1289" width="11.85546875" style="59" bestFit="1" customWidth="1"/>
    <col min="1290" max="1290" width="7" style="59"/>
    <col min="1291" max="1291" width="28.5703125" style="59" customWidth="1"/>
    <col min="1292" max="1292" width="4.42578125" style="59" customWidth="1"/>
    <col min="1293" max="1293" width="10" style="59" customWidth="1"/>
    <col min="1294" max="1534" width="7" style="59"/>
    <col min="1535" max="1535" width="3.5703125" style="59" customWidth="1"/>
    <col min="1536" max="1536" width="24.140625" style="59" customWidth="1"/>
    <col min="1537" max="1537" width="54.7109375" style="59" customWidth="1"/>
    <col min="1538" max="1538" width="18.28515625" style="59" customWidth="1"/>
    <col min="1539" max="1539" width="7" style="59" customWidth="1"/>
    <col min="1540" max="1540" width="9.85546875" style="59" bestFit="1" customWidth="1"/>
    <col min="1541" max="1541" width="15.5703125" style="59" customWidth="1"/>
    <col min="1542" max="1542" width="11.140625" style="59" bestFit="1" customWidth="1"/>
    <col min="1543" max="1543" width="14" style="59" customWidth="1"/>
    <col min="1544" max="1544" width="12" style="59" customWidth="1"/>
    <col min="1545" max="1545" width="11.85546875" style="59" bestFit="1" customWidth="1"/>
    <col min="1546" max="1546" width="7" style="59"/>
    <col min="1547" max="1547" width="28.5703125" style="59" customWidth="1"/>
    <col min="1548" max="1548" width="4.42578125" style="59" customWidth="1"/>
    <col min="1549" max="1549" width="10" style="59" customWidth="1"/>
    <col min="1550" max="1790" width="7" style="59"/>
    <col min="1791" max="1791" width="3.5703125" style="59" customWidth="1"/>
    <col min="1792" max="1792" width="24.140625" style="59" customWidth="1"/>
    <col min="1793" max="1793" width="54.7109375" style="59" customWidth="1"/>
    <col min="1794" max="1794" width="18.28515625" style="59" customWidth="1"/>
    <col min="1795" max="1795" width="7" style="59" customWidth="1"/>
    <col min="1796" max="1796" width="9.85546875" style="59" bestFit="1" customWidth="1"/>
    <col min="1797" max="1797" width="15.5703125" style="59" customWidth="1"/>
    <col min="1798" max="1798" width="11.140625" style="59" bestFit="1" customWidth="1"/>
    <col min="1799" max="1799" width="14" style="59" customWidth="1"/>
    <col min="1800" max="1800" width="12" style="59" customWidth="1"/>
    <col min="1801" max="1801" width="11.85546875" style="59" bestFit="1" customWidth="1"/>
    <col min="1802" max="1802" width="7" style="59"/>
    <col min="1803" max="1803" width="28.5703125" style="59" customWidth="1"/>
    <col min="1804" max="1804" width="4.42578125" style="59" customWidth="1"/>
    <col min="1805" max="1805" width="10" style="59" customWidth="1"/>
    <col min="1806" max="2046" width="7" style="59"/>
    <col min="2047" max="2047" width="3.5703125" style="59" customWidth="1"/>
    <col min="2048" max="2048" width="24.140625" style="59" customWidth="1"/>
    <col min="2049" max="2049" width="54.7109375" style="59" customWidth="1"/>
    <col min="2050" max="2050" width="18.28515625" style="59" customWidth="1"/>
    <col min="2051" max="2051" width="7" style="59" customWidth="1"/>
    <col min="2052" max="2052" width="9.85546875" style="59" bestFit="1" customWidth="1"/>
    <col min="2053" max="2053" width="15.5703125" style="59" customWidth="1"/>
    <col min="2054" max="2054" width="11.140625" style="59" bestFit="1" customWidth="1"/>
    <col min="2055" max="2055" width="14" style="59" customWidth="1"/>
    <col min="2056" max="2056" width="12" style="59" customWidth="1"/>
    <col min="2057" max="2057" width="11.85546875" style="59" bestFit="1" customWidth="1"/>
    <col min="2058" max="2058" width="7" style="59"/>
    <col min="2059" max="2059" width="28.5703125" style="59" customWidth="1"/>
    <col min="2060" max="2060" width="4.42578125" style="59" customWidth="1"/>
    <col min="2061" max="2061" width="10" style="59" customWidth="1"/>
    <col min="2062" max="2302" width="7" style="59"/>
    <col min="2303" max="2303" width="3.5703125" style="59" customWidth="1"/>
    <col min="2304" max="2304" width="24.140625" style="59" customWidth="1"/>
    <col min="2305" max="2305" width="54.7109375" style="59" customWidth="1"/>
    <col min="2306" max="2306" width="18.28515625" style="59" customWidth="1"/>
    <col min="2307" max="2307" width="7" style="59" customWidth="1"/>
    <col min="2308" max="2308" width="9.85546875" style="59" bestFit="1" customWidth="1"/>
    <col min="2309" max="2309" width="15.5703125" style="59" customWidth="1"/>
    <col min="2310" max="2310" width="11.140625" style="59" bestFit="1" customWidth="1"/>
    <col min="2311" max="2311" width="14" style="59" customWidth="1"/>
    <col min="2312" max="2312" width="12" style="59" customWidth="1"/>
    <col min="2313" max="2313" width="11.85546875" style="59" bestFit="1" customWidth="1"/>
    <col min="2314" max="2314" width="7" style="59"/>
    <col min="2315" max="2315" width="28.5703125" style="59" customWidth="1"/>
    <col min="2316" max="2316" width="4.42578125" style="59" customWidth="1"/>
    <col min="2317" max="2317" width="10" style="59" customWidth="1"/>
    <col min="2318" max="2558" width="7" style="59"/>
    <col min="2559" max="2559" width="3.5703125" style="59" customWidth="1"/>
    <col min="2560" max="2560" width="24.140625" style="59" customWidth="1"/>
    <col min="2561" max="2561" width="54.7109375" style="59" customWidth="1"/>
    <col min="2562" max="2562" width="18.28515625" style="59" customWidth="1"/>
    <col min="2563" max="2563" width="7" style="59" customWidth="1"/>
    <col min="2564" max="2564" width="9.85546875" style="59" bestFit="1" customWidth="1"/>
    <col min="2565" max="2565" width="15.5703125" style="59" customWidth="1"/>
    <col min="2566" max="2566" width="11.140625" style="59" bestFit="1" customWidth="1"/>
    <col min="2567" max="2567" width="14" style="59" customWidth="1"/>
    <col min="2568" max="2568" width="12" style="59" customWidth="1"/>
    <col min="2569" max="2569" width="11.85546875" style="59" bestFit="1" customWidth="1"/>
    <col min="2570" max="2570" width="7" style="59"/>
    <col min="2571" max="2571" width="28.5703125" style="59" customWidth="1"/>
    <col min="2572" max="2572" width="4.42578125" style="59" customWidth="1"/>
    <col min="2573" max="2573" width="10" style="59" customWidth="1"/>
    <col min="2574" max="2814" width="7" style="59"/>
    <col min="2815" max="2815" width="3.5703125" style="59" customWidth="1"/>
    <col min="2816" max="2816" width="24.140625" style="59" customWidth="1"/>
    <col min="2817" max="2817" width="54.7109375" style="59" customWidth="1"/>
    <col min="2818" max="2818" width="18.28515625" style="59" customWidth="1"/>
    <col min="2819" max="2819" width="7" style="59" customWidth="1"/>
    <col min="2820" max="2820" width="9.85546875" style="59" bestFit="1" customWidth="1"/>
    <col min="2821" max="2821" width="15.5703125" style="59" customWidth="1"/>
    <col min="2822" max="2822" width="11.140625" style="59" bestFit="1" customWidth="1"/>
    <col min="2823" max="2823" width="14" style="59" customWidth="1"/>
    <col min="2824" max="2824" width="12" style="59" customWidth="1"/>
    <col min="2825" max="2825" width="11.85546875" style="59" bestFit="1" customWidth="1"/>
    <col min="2826" max="2826" width="7" style="59"/>
    <col min="2827" max="2827" width="28.5703125" style="59" customWidth="1"/>
    <col min="2828" max="2828" width="4.42578125" style="59" customWidth="1"/>
    <col min="2829" max="2829" width="10" style="59" customWidth="1"/>
    <col min="2830" max="3070" width="7" style="59"/>
    <col min="3071" max="3071" width="3.5703125" style="59" customWidth="1"/>
    <col min="3072" max="3072" width="24.140625" style="59" customWidth="1"/>
    <col min="3073" max="3073" width="54.7109375" style="59" customWidth="1"/>
    <col min="3074" max="3074" width="18.28515625" style="59" customWidth="1"/>
    <col min="3075" max="3075" width="7" style="59" customWidth="1"/>
    <col min="3076" max="3076" width="9.85546875" style="59" bestFit="1" customWidth="1"/>
    <col min="3077" max="3077" width="15.5703125" style="59" customWidth="1"/>
    <col min="3078" max="3078" width="11.140625" style="59" bestFit="1" customWidth="1"/>
    <col min="3079" max="3079" width="14" style="59" customWidth="1"/>
    <col min="3080" max="3080" width="12" style="59" customWidth="1"/>
    <col min="3081" max="3081" width="11.85546875" style="59" bestFit="1" customWidth="1"/>
    <col min="3082" max="3082" width="7" style="59"/>
    <col min="3083" max="3083" width="28.5703125" style="59" customWidth="1"/>
    <col min="3084" max="3084" width="4.42578125" style="59" customWidth="1"/>
    <col min="3085" max="3085" width="10" style="59" customWidth="1"/>
    <col min="3086" max="3326" width="7" style="59"/>
    <col min="3327" max="3327" width="3.5703125" style="59" customWidth="1"/>
    <col min="3328" max="3328" width="24.140625" style="59" customWidth="1"/>
    <col min="3329" max="3329" width="54.7109375" style="59" customWidth="1"/>
    <col min="3330" max="3330" width="18.28515625" style="59" customWidth="1"/>
    <col min="3331" max="3331" width="7" style="59" customWidth="1"/>
    <col min="3332" max="3332" width="9.85546875" style="59" bestFit="1" customWidth="1"/>
    <col min="3333" max="3333" width="15.5703125" style="59" customWidth="1"/>
    <col min="3334" max="3334" width="11.140625" style="59" bestFit="1" customWidth="1"/>
    <col min="3335" max="3335" width="14" style="59" customWidth="1"/>
    <col min="3336" max="3336" width="12" style="59" customWidth="1"/>
    <col min="3337" max="3337" width="11.85546875" style="59" bestFit="1" customWidth="1"/>
    <col min="3338" max="3338" width="7" style="59"/>
    <col min="3339" max="3339" width="28.5703125" style="59" customWidth="1"/>
    <col min="3340" max="3340" width="4.42578125" style="59" customWidth="1"/>
    <col min="3341" max="3341" width="10" style="59" customWidth="1"/>
    <col min="3342" max="3582" width="7" style="59"/>
    <col min="3583" max="3583" width="3.5703125" style="59" customWidth="1"/>
    <col min="3584" max="3584" width="24.140625" style="59" customWidth="1"/>
    <col min="3585" max="3585" width="54.7109375" style="59" customWidth="1"/>
    <col min="3586" max="3586" width="18.28515625" style="59" customWidth="1"/>
    <col min="3587" max="3587" width="7" style="59" customWidth="1"/>
    <col min="3588" max="3588" width="9.85546875" style="59" bestFit="1" customWidth="1"/>
    <col min="3589" max="3589" width="15.5703125" style="59" customWidth="1"/>
    <col min="3590" max="3590" width="11.140625" style="59" bestFit="1" customWidth="1"/>
    <col min="3591" max="3591" width="14" style="59" customWidth="1"/>
    <col min="3592" max="3592" width="12" style="59" customWidth="1"/>
    <col min="3593" max="3593" width="11.85546875" style="59" bestFit="1" customWidth="1"/>
    <col min="3594" max="3594" width="7" style="59"/>
    <col min="3595" max="3595" width="28.5703125" style="59" customWidth="1"/>
    <col min="3596" max="3596" width="4.42578125" style="59" customWidth="1"/>
    <col min="3597" max="3597" width="10" style="59" customWidth="1"/>
    <col min="3598" max="3838" width="7" style="59"/>
    <col min="3839" max="3839" width="3.5703125" style="59" customWidth="1"/>
    <col min="3840" max="3840" width="24.140625" style="59" customWidth="1"/>
    <col min="3841" max="3841" width="54.7109375" style="59" customWidth="1"/>
    <col min="3842" max="3842" width="18.28515625" style="59" customWidth="1"/>
    <col min="3843" max="3843" width="7" style="59" customWidth="1"/>
    <col min="3844" max="3844" width="9.85546875" style="59" bestFit="1" customWidth="1"/>
    <col min="3845" max="3845" width="15.5703125" style="59" customWidth="1"/>
    <col min="3846" max="3846" width="11.140625" style="59" bestFit="1" customWidth="1"/>
    <col min="3847" max="3847" width="14" style="59" customWidth="1"/>
    <col min="3848" max="3848" width="12" style="59" customWidth="1"/>
    <col min="3849" max="3849" width="11.85546875" style="59" bestFit="1" customWidth="1"/>
    <col min="3850" max="3850" width="7" style="59"/>
    <col min="3851" max="3851" width="28.5703125" style="59" customWidth="1"/>
    <col min="3852" max="3852" width="4.42578125" style="59" customWidth="1"/>
    <col min="3853" max="3853" width="10" style="59" customWidth="1"/>
    <col min="3854" max="4094" width="7" style="59"/>
    <col min="4095" max="4095" width="3.5703125" style="59" customWidth="1"/>
    <col min="4096" max="4096" width="24.140625" style="59" customWidth="1"/>
    <col min="4097" max="4097" width="54.7109375" style="59" customWidth="1"/>
    <col min="4098" max="4098" width="18.28515625" style="59" customWidth="1"/>
    <col min="4099" max="4099" width="7" style="59" customWidth="1"/>
    <col min="4100" max="4100" width="9.85546875" style="59" bestFit="1" customWidth="1"/>
    <col min="4101" max="4101" width="15.5703125" style="59" customWidth="1"/>
    <col min="4102" max="4102" width="11.140625" style="59" bestFit="1" customWidth="1"/>
    <col min="4103" max="4103" width="14" style="59" customWidth="1"/>
    <col min="4104" max="4104" width="12" style="59" customWidth="1"/>
    <col min="4105" max="4105" width="11.85546875" style="59" bestFit="1" customWidth="1"/>
    <col min="4106" max="4106" width="7" style="59"/>
    <col min="4107" max="4107" width="28.5703125" style="59" customWidth="1"/>
    <col min="4108" max="4108" width="4.42578125" style="59" customWidth="1"/>
    <col min="4109" max="4109" width="10" style="59" customWidth="1"/>
    <col min="4110" max="4350" width="7" style="59"/>
    <col min="4351" max="4351" width="3.5703125" style="59" customWidth="1"/>
    <col min="4352" max="4352" width="24.140625" style="59" customWidth="1"/>
    <col min="4353" max="4353" width="54.7109375" style="59" customWidth="1"/>
    <col min="4354" max="4354" width="18.28515625" style="59" customWidth="1"/>
    <col min="4355" max="4355" width="7" style="59" customWidth="1"/>
    <col min="4356" max="4356" width="9.85546875" style="59" bestFit="1" customWidth="1"/>
    <col min="4357" max="4357" width="15.5703125" style="59" customWidth="1"/>
    <col min="4358" max="4358" width="11.140625" style="59" bestFit="1" customWidth="1"/>
    <col min="4359" max="4359" width="14" style="59" customWidth="1"/>
    <col min="4360" max="4360" width="12" style="59" customWidth="1"/>
    <col min="4361" max="4361" width="11.85546875" style="59" bestFit="1" customWidth="1"/>
    <col min="4362" max="4362" width="7" style="59"/>
    <col min="4363" max="4363" width="28.5703125" style="59" customWidth="1"/>
    <col min="4364" max="4364" width="4.42578125" style="59" customWidth="1"/>
    <col min="4365" max="4365" width="10" style="59" customWidth="1"/>
    <col min="4366" max="4606" width="7" style="59"/>
    <col min="4607" max="4607" width="3.5703125" style="59" customWidth="1"/>
    <col min="4608" max="4608" width="24.140625" style="59" customWidth="1"/>
    <col min="4609" max="4609" width="54.7109375" style="59" customWidth="1"/>
    <col min="4610" max="4610" width="18.28515625" style="59" customWidth="1"/>
    <col min="4611" max="4611" width="7" style="59" customWidth="1"/>
    <col min="4612" max="4612" width="9.85546875" style="59" bestFit="1" customWidth="1"/>
    <col min="4613" max="4613" width="15.5703125" style="59" customWidth="1"/>
    <col min="4614" max="4614" width="11.140625" style="59" bestFit="1" customWidth="1"/>
    <col min="4615" max="4615" width="14" style="59" customWidth="1"/>
    <col min="4616" max="4616" width="12" style="59" customWidth="1"/>
    <col min="4617" max="4617" width="11.85546875" style="59" bestFit="1" customWidth="1"/>
    <col min="4618" max="4618" width="7" style="59"/>
    <col min="4619" max="4619" width="28.5703125" style="59" customWidth="1"/>
    <col min="4620" max="4620" width="4.42578125" style="59" customWidth="1"/>
    <col min="4621" max="4621" width="10" style="59" customWidth="1"/>
    <col min="4622" max="4862" width="7" style="59"/>
    <col min="4863" max="4863" width="3.5703125" style="59" customWidth="1"/>
    <col min="4864" max="4864" width="24.140625" style="59" customWidth="1"/>
    <col min="4865" max="4865" width="54.7109375" style="59" customWidth="1"/>
    <col min="4866" max="4866" width="18.28515625" style="59" customWidth="1"/>
    <col min="4867" max="4867" width="7" style="59" customWidth="1"/>
    <col min="4868" max="4868" width="9.85546875" style="59" bestFit="1" customWidth="1"/>
    <col min="4869" max="4869" width="15.5703125" style="59" customWidth="1"/>
    <col min="4870" max="4870" width="11.140625" style="59" bestFit="1" customWidth="1"/>
    <col min="4871" max="4871" width="14" style="59" customWidth="1"/>
    <col min="4872" max="4872" width="12" style="59" customWidth="1"/>
    <col min="4873" max="4873" width="11.85546875" style="59" bestFit="1" customWidth="1"/>
    <col min="4874" max="4874" width="7" style="59"/>
    <col min="4875" max="4875" width="28.5703125" style="59" customWidth="1"/>
    <col min="4876" max="4876" width="4.42578125" style="59" customWidth="1"/>
    <col min="4877" max="4877" width="10" style="59" customWidth="1"/>
    <col min="4878" max="5118" width="7" style="59"/>
    <col min="5119" max="5119" width="3.5703125" style="59" customWidth="1"/>
    <col min="5120" max="5120" width="24.140625" style="59" customWidth="1"/>
    <col min="5121" max="5121" width="54.7109375" style="59" customWidth="1"/>
    <col min="5122" max="5122" width="18.28515625" style="59" customWidth="1"/>
    <col min="5123" max="5123" width="7" style="59" customWidth="1"/>
    <col min="5124" max="5124" width="9.85546875" style="59" bestFit="1" customWidth="1"/>
    <col min="5125" max="5125" width="15.5703125" style="59" customWidth="1"/>
    <col min="5126" max="5126" width="11.140625" style="59" bestFit="1" customWidth="1"/>
    <col min="5127" max="5127" width="14" style="59" customWidth="1"/>
    <col min="5128" max="5128" width="12" style="59" customWidth="1"/>
    <col min="5129" max="5129" width="11.85546875" style="59" bestFit="1" customWidth="1"/>
    <col min="5130" max="5130" width="7" style="59"/>
    <col min="5131" max="5131" width="28.5703125" style="59" customWidth="1"/>
    <col min="5132" max="5132" width="4.42578125" style="59" customWidth="1"/>
    <col min="5133" max="5133" width="10" style="59" customWidth="1"/>
    <col min="5134" max="5374" width="7" style="59"/>
    <col min="5375" max="5375" width="3.5703125" style="59" customWidth="1"/>
    <col min="5376" max="5376" width="24.140625" style="59" customWidth="1"/>
    <col min="5377" max="5377" width="54.7109375" style="59" customWidth="1"/>
    <col min="5378" max="5378" width="18.28515625" style="59" customWidth="1"/>
    <col min="5379" max="5379" width="7" style="59" customWidth="1"/>
    <col min="5380" max="5380" width="9.85546875" style="59" bestFit="1" customWidth="1"/>
    <col min="5381" max="5381" width="15.5703125" style="59" customWidth="1"/>
    <col min="5382" max="5382" width="11.140625" style="59" bestFit="1" customWidth="1"/>
    <col min="5383" max="5383" width="14" style="59" customWidth="1"/>
    <col min="5384" max="5384" width="12" style="59" customWidth="1"/>
    <col min="5385" max="5385" width="11.85546875" style="59" bestFit="1" customWidth="1"/>
    <col min="5386" max="5386" width="7" style="59"/>
    <col min="5387" max="5387" width="28.5703125" style="59" customWidth="1"/>
    <col min="5388" max="5388" width="4.42578125" style="59" customWidth="1"/>
    <col min="5389" max="5389" width="10" style="59" customWidth="1"/>
    <col min="5390" max="5630" width="7" style="59"/>
    <col min="5631" max="5631" width="3.5703125" style="59" customWidth="1"/>
    <col min="5632" max="5632" width="24.140625" style="59" customWidth="1"/>
    <col min="5633" max="5633" width="54.7109375" style="59" customWidth="1"/>
    <col min="5634" max="5634" width="18.28515625" style="59" customWidth="1"/>
    <col min="5635" max="5635" width="7" style="59" customWidth="1"/>
    <col min="5636" max="5636" width="9.85546875" style="59" bestFit="1" customWidth="1"/>
    <col min="5637" max="5637" width="15.5703125" style="59" customWidth="1"/>
    <col min="5638" max="5638" width="11.140625" style="59" bestFit="1" customWidth="1"/>
    <col min="5639" max="5639" width="14" style="59" customWidth="1"/>
    <col min="5640" max="5640" width="12" style="59" customWidth="1"/>
    <col min="5641" max="5641" width="11.85546875" style="59" bestFit="1" customWidth="1"/>
    <col min="5642" max="5642" width="7" style="59"/>
    <col min="5643" max="5643" width="28.5703125" style="59" customWidth="1"/>
    <col min="5644" max="5644" width="4.42578125" style="59" customWidth="1"/>
    <col min="5645" max="5645" width="10" style="59" customWidth="1"/>
    <col min="5646" max="5886" width="7" style="59"/>
    <col min="5887" max="5887" width="3.5703125" style="59" customWidth="1"/>
    <col min="5888" max="5888" width="24.140625" style="59" customWidth="1"/>
    <col min="5889" max="5889" width="54.7109375" style="59" customWidth="1"/>
    <col min="5890" max="5890" width="18.28515625" style="59" customWidth="1"/>
    <col min="5891" max="5891" width="7" style="59" customWidth="1"/>
    <col min="5892" max="5892" width="9.85546875" style="59" bestFit="1" customWidth="1"/>
    <col min="5893" max="5893" width="15.5703125" style="59" customWidth="1"/>
    <col min="5894" max="5894" width="11.140625" style="59" bestFit="1" customWidth="1"/>
    <col min="5895" max="5895" width="14" style="59" customWidth="1"/>
    <col min="5896" max="5896" width="12" style="59" customWidth="1"/>
    <col min="5897" max="5897" width="11.85546875" style="59" bestFit="1" customWidth="1"/>
    <col min="5898" max="5898" width="7" style="59"/>
    <col min="5899" max="5899" width="28.5703125" style="59" customWidth="1"/>
    <col min="5900" max="5900" width="4.42578125" style="59" customWidth="1"/>
    <col min="5901" max="5901" width="10" style="59" customWidth="1"/>
    <col min="5902" max="6142" width="7" style="59"/>
    <col min="6143" max="6143" width="3.5703125" style="59" customWidth="1"/>
    <col min="6144" max="6144" width="24.140625" style="59" customWidth="1"/>
    <col min="6145" max="6145" width="54.7109375" style="59" customWidth="1"/>
    <col min="6146" max="6146" width="18.28515625" style="59" customWidth="1"/>
    <col min="6147" max="6147" width="7" style="59" customWidth="1"/>
    <col min="6148" max="6148" width="9.85546875" style="59" bestFit="1" customWidth="1"/>
    <col min="6149" max="6149" width="15.5703125" style="59" customWidth="1"/>
    <col min="6150" max="6150" width="11.140625" style="59" bestFit="1" customWidth="1"/>
    <col min="6151" max="6151" width="14" style="59" customWidth="1"/>
    <col min="6152" max="6152" width="12" style="59" customWidth="1"/>
    <col min="6153" max="6153" width="11.85546875" style="59" bestFit="1" customWidth="1"/>
    <col min="6154" max="6154" width="7" style="59"/>
    <col min="6155" max="6155" width="28.5703125" style="59" customWidth="1"/>
    <col min="6156" max="6156" width="4.42578125" style="59" customWidth="1"/>
    <col min="6157" max="6157" width="10" style="59" customWidth="1"/>
    <col min="6158" max="6398" width="7" style="59"/>
    <col min="6399" max="6399" width="3.5703125" style="59" customWidth="1"/>
    <col min="6400" max="6400" width="24.140625" style="59" customWidth="1"/>
    <col min="6401" max="6401" width="54.7109375" style="59" customWidth="1"/>
    <col min="6402" max="6402" width="18.28515625" style="59" customWidth="1"/>
    <col min="6403" max="6403" width="7" style="59" customWidth="1"/>
    <col min="6404" max="6404" width="9.85546875" style="59" bestFit="1" customWidth="1"/>
    <col min="6405" max="6405" width="15.5703125" style="59" customWidth="1"/>
    <col min="6406" max="6406" width="11.140625" style="59" bestFit="1" customWidth="1"/>
    <col min="6407" max="6407" width="14" style="59" customWidth="1"/>
    <col min="6408" max="6408" width="12" style="59" customWidth="1"/>
    <col min="6409" max="6409" width="11.85546875" style="59" bestFit="1" customWidth="1"/>
    <col min="6410" max="6410" width="7" style="59"/>
    <col min="6411" max="6411" width="28.5703125" style="59" customWidth="1"/>
    <col min="6412" max="6412" width="4.42578125" style="59" customWidth="1"/>
    <col min="6413" max="6413" width="10" style="59" customWidth="1"/>
    <col min="6414" max="6654" width="7" style="59"/>
    <col min="6655" max="6655" width="3.5703125" style="59" customWidth="1"/>
    <col min="6656" max="6656" width="24.140625" style="59" customWidth="1"/>
    <col min="6657" max="6657" width="54.7109375" style="59" customWidth="1"/>
    <col min="6658" max="6658" width="18.28515625" style="59" customWidth="1"/>
    <col min="6659" max="6659" width="7" style="59" customWidth="1"/>
    <col min="6660" max="6660" width="9.85546875" style="59" bestFit="1" customWidth="1"/>
    <col min="6661" max="6661" width="15.5703125" style="59" customWidth="1"/>
    <col min="6662" max="6662" width="11.140625" style="59" bestFit="1" customWidth="1"/>
    <col min="6663" max="6663" width="14" style="59" customWidth="1"/>
    <col min="6664" max="6664" width="12" style="59" customWidth="1"/>
    <col min="6665" max="6665" width="11.85546875" style="59" bestFit="1" customWidth="1"/>
    <col min="6666" max="6666" width="7" style="59"/>
    <col min="6667" max="6667" width="28.5703125" style="59" customWidth="1"/>
    <col min="6668" max="6668" width="4.42578125" style="59" customWidth="1"/>
    <col min="6669" max="6669" width="10" style="59" customWidth="1"/>
    <col min="6670" max="6910" width="7" style="59"/>
    <col min="6911" max="6911" width="3.5703125" style="59" customWidth="1"/>
    <col min="6912" max="6912" width="24.140625" style="59" customWidth="1"/>
    <col min="6913" max="6913" width="54.7109375" style="59" customWidth="1"/>
    <col min="6914" max="6914" width="18.28515625" style="59" customWidth="1"/>
    <col min="6915" max="6915" width="7" style="59" customWidth="1"/>
    <col min="6916" max="6916" width="9.85546875" style="59" bestFit="1" customWidth="1"/>
    <col min="6917" max="6917" width="15.5703125" style="59" customWidth="1"/>
    <col min="6918" max="6918" width="11.140625" style="59" bestFit="1" customWidth="1"/>
    <col min="6919" max="6919" width="14" style="59" customWidth="1"/>
    <col min="6920" max="6920" width="12" style="59" customWidth="1"/>
    <col min="6921" max="6921" width="11.85546875" style="59" bestFit="1" customWidth="1"/>
    <col min="6922" max="6922" width="7" style="59"/>
    <col min="6923" max="6923" width="28.5703125" style="59" customWidth="1"/>
    <col min="6924" max="6924" width="4.42578125" style="59" customWidth="1"/>
    <col min="6925" max="6925" width="10" style="59" customWidth="1"/>
    <col min="6926" max="7166" width="7" style="59"/>
    <col min="7167" max="7167" width="3.5703125" style="59" customWidth="1"/>
    <col min="7168" max="7168" width="24.140625" style="59" customWidth="1"/>
    <col min="7169" max="7169" width="54.7109375" style="59" customWidth="1"/>
    <col min="7170" max="7170" width="18.28515625" style="59" customWidth="1"/>
    <col min="7171" max="7171" width="7" style="59" customWidth="1"/>
    <col min="7172" max="7172" width="9.85546875" style="59" bestFit="1" customWidth="1"/>
    <col min="7173" max="7173" width="15.5703125" style="59" customWidth="1"/>
    <col min="7174" max="7174" width="11.140625" style="59" bestFit="1" customWidth="1"/>
    <col min="7175" max="7175" width="14" style="59" customWidth="1"/>
    <col min="7176" max="7176" width="12" style="59" customWidth="1"/>
    <col min="7177" max="7177" width="11.85546875" style="59" bestFit="1" customWidth="1"/>
    <col min="7178" max="7178" width="7" style="59"/>
    <col min="7179" max="7179" width="28.5703125" style="59" customWidth="1"/>
    <col min="7180" max="7180" width="4.42578125" style="59" customWidth="1"/>
    <col min="7181" max="7181" width="10" style="59" customWidth="1"/>
    <col min="7182" max="7422" width="7" style="59"/>
    <col min="7423" max="7423" width="3.5703125" style="59" customWidth="1"/>
    <col min="7424" max="7424" width="24.140625" style="59" customWidth="1"/>
    <col min="7425" max="7425" width="54.7109375" style="59" customWidth="1"/>
    <col min="7426" max="7426" width="18.28515625" style="59" customWidth="1"/>
    <col min="7427" max="7427" width="7" style="59" customWidth="1"/>
    <col min="7428" max="7428" width="9.85546875" style="59" bestFit="1" customWidth="1"/>
    <col min="7429" max="7429" width="15.5703125" style="59" customWidth="1"/>
    <col min="7430" max="7430" width="11.140625" style="59" bestFit="1" customWidth="1"/>
    <col min="7431" max="7431" width="14" style="59" customWidth="1"/>
    <col min="7432" max="7432" width="12" style="59" customWidth="1"/>
    <col min="7433" max="7433" width="11.85546875" style="59" bestFit="1" customWidth="1"/>
    <col min="7434" max="7434" width="7" style="59"/>
    <col min="7435" max="7435" width="28.5703125" style="59" customWidth="1"/>
    <col min="7436" max="7436" width="4.42578125" style="59" customWidth="1"/>
    <col min="7437" max="7437" width="10" style="59" customWidth="1"/>
    <col min="7438" max="7678" width="7" style="59"/>
    <col min="7679" max="7679" width="3.5703125" style="59" customWidth="1"/>
    <col min="7680" max="7680" width="24.140625" style="59" customWidth="1"/>
    <col min="7681" max="7681" width="54.7109375" style="59" customWidth="1"/>
    <col min="7682" max="7682" width="18.28515625" style="59" customWidth="1"/>
    <col min="7683" max="7683" width="7" style="59" customWidth="1"/>
    <col min="7684" max="7684" width="9.85546875" style="59" bestFit="1" customWidth="1"/>
    <col min="7685" max="7685" width="15.5703125" style="59" customWidth="1"/>
    <col min="7686" max="7686" width="11.140625" style="59" bestFit="1" customWidth="1"/>
    <col min="7687" max="7687" width="14" style="59" customWidth="1"/>
    <col min="7688" max="7688" width="12" style="59" customWidth="1"/>
    <col min="7689" max="7689" width="11.85546875" style="59" bestFit="1" customWidth="1"/>
    <col min="7690" max="7690" width="7" style="59"/>
    <col min="7691" max="7691" width="28.5703125" style="59" customWidth="1"/>
    <col min="7692" max="7692" width="4.42578125" style="59" customWidth="1"/>
    <col min="7693" max="7693" width="10" style="59" customWidth="1"/>
    <col min="7694" max="7934" width="7" style="59"/>
    <col min="7935" max="7935" width="3.5703125" style="59" customWidth="1"/>
    <col min="7936" max="7936" width="24.140625" style="59" customWidth="1"/>
    <col min="7937" max="7937" width="54.7109375" style="59" customWidth="1"/>
    <col min="7938" max="7938" width="18.28515625" style="59" customWidth="1"/>
    <col min="7939" max="7939" width="7" style="59" customWidth="1"/>
    <col min="7940" max="7940" width="9.85546875" style="59" bestFit="1" customWidth="1"/>
    <col min="7941" max="7941" width="15.5703125" style="59" customWidth="1"/>
    <col min="7942" max="7942" width="11.140625" style="59" bestFit="1" customWidth="1"/>
    <col min="7943" max="7943" width="14" style="59" customWidth="1"/>
    <col min="7944" max="7944" width="12" style="59" customWidth="1"/>
    <col min="7945" max="7945" width="11.85546875" style="59" bestFit="1" customWidth="1"/>
    <col min="7946" max="7946" width="7" style="59"/>
    <col min="7947" max="7947" width="28.5703125" style="59" customWidth="1"/>
    <col min="7948" max="7948" width="4.42578125" style="59" customWidth="1"/>
    <col min="7949" max="7949" width="10" style="59" customWidth="1"/>
    <col min="7950" max="8190" width="7" style="59"/>
    <col min="8191" max="8191" width="3.5703125" style="59" customWidth="1"/>
    <col min="8192" max="8192" width="24.140625" style="59" customWidth="1"/>
    <col min="8193" max="8193" width="54.7109375" style="59" customWidth="1"/>
    <col min="8194" max="8194" width="18.28515625" style="59" customWidth="1"/>
    <col min="8195" max="8195" width="7" style="59" customWidth="1"/>
    <col min="8196" max="8196" width="9.85546875" style="59" bestFit="1" customWidth="1"/>
    <col min="8197" max="8197" width="15.5703125" style="59" customWidth="1"/>
    <col min="8198" max="8198" width="11.140625" style="59" bestFit="1" customWidth="1"/>
    <col min="8199" max="8199" width="14" style="59" customWidth="1"/>
    <col min="8200" max="8200" width="12" style="59" customWidth="1"/>
    <col min="8201" max="8201" width="11.85546875" style="59" bestFit="1" customWidth="1"/>
    <col min="8202" max="8202" width="7" style="59"/>
    <col min="8203" max="8203" width="28.5703125" style="59" customWidth="1"/>
    <col min="8204" max="8204" width="4.42578125" style="59" customWidth="1"/>
    <col min="8205" max="8205" width="10" style="59" customWidth="1"/>
    <col min="8206" max="8446" width="7" style="59"/>
    <col min="8447" max="8447" width="3.5703125" style="59" customWidth="1"/>
    <col min="8448" max="8448" width="24.140625" style="59" customWidth="1"/>
    <col min="8449" max="8449" width="54.7109375" style="59" customWidth="1"/>
    <col min="8450" max="8450" width="18.28515625" style="59" customWidth="1"/>
    <col min="8451" max="8451" width="7" style="59" customWidth="1"/>
    <col min="8452" max="8452" width="9.85546875" style="59" bestFit="1" customWidth="1"/>
    <col min="8453" max="8453" width="15.5703125" style="59" customWidth="1"/>
    <col min="8454" max="8454" width="11.140625" style="59" bestFit="1" customWidth="1"/>
    <col min="8455" max="8455" width="14" style="59" customWidth="1"/>
    <col min="8456" max="8456" width="12" style="59" customWidth="1"/>
    <col min="8457" max="8457" width="11.85546875" style="59" bestFit="1" customWidth="1"/>
    <col min="8458" max="8458" width="7" style="59"/>
    <col min="8459" max="8459" width="28.5703125" style="59" customWidth="1"/>
    <col min="8460" max="8460" width="4.42578125" style="59" customWidth="1"/>
    <col min="8461" max="8461" width="10" style="59" customWidth="1"/>
    <col min="8462" max="8702" width="7" style="59"/>
    <col min="8703" max="8703" width="3.5703125" style="59" customWidth="1"/>
    <col min="8704" max="8704" width="24.140625" style="59" customWidth="1"/>
    <col min="8705" max="8705" width="54.7109375" style="59" customWidth="1"/>
    <col min="8706" max="8706" width="18.28515625" style="59" customWidth="1"/>
    <col min="8707" max="8707" width="7" style="59" customWidth="1"/>
    <col min="8708" max="8708" width="9.85546875" style="59" bestFit="1" customWidth="1"/>
    <col min="8709" max="8709" width="15.5703125" style="59" customWidth="1"/>
    <col min="8710" max="8710" width="11.140625" style="59" bestFit="1" customWidth="1"/>
    <col min="8711" max="8711" width="14" style="59" customWidth="1"/>
    <col min="8712" max="8712" width="12" style="59" customWidth="1"/>
    <col min="8713" max="8713" width="11.85546875" style="59" bestFit="1" customWidth="1"/>
    <col min="8714" max="8714" width="7" style="59"/>
    <col min="8715" max="8715" width="28.5703125" style="59" customWidth="1"/>
    <col min="8716" max="8716" width="4.42578125" style="59" customWidth="1"/>
    <col min="8717" max="8717" width="10" style="59" customWidth="1"/>
    <col min="8718" max="8958" width="7" style="59"/>
    <col min="8959" max="8959" width="3.5703125" style="59" customWidth="1"/>
    <col min="8960" max="8960" width="24.140625" style="59" customWidth="1"/>
    <col min="8961" max="8961" width="54.7109375" style="59" customWidth="1"/>
    <col min="8962" max="8962" width="18.28515625" style="59" customWidth="1"/>
    <col min="8963" max="8963" width="7" style="59" customWidth="1"/>
    <col min="8964" max="8964" width="9.85546875" style="59" bestFit="1" customWidth="1"/>
    <col min="8965" max="8965" width="15.5703125" style="59" customWidth="1"/>
    <col min="8966" max="8966" width="11.140625" style="59" bestFit="1" customWidth="1"/>
    <col min="8967" max="8967" width="14" style="59" customWidth="1"/>
    <col min="8968" max="8968" width="12" style="59" customWidth="1"/>
    <col min="8969" max="8969" width="11.85546875" style="59" bestFit="1" customWidth="1"/>
    <col min="8970" max="8970" width="7" style="59"/>
    <col min="8971" max="8971" width="28.5703125" style="59" customWidth="1"/>
    <col min="8972" max="8972" width="4.42578125" style="59" customWidth="1"/>
    <col min="8973" max="8973" width="10" style="59" customWidth="1"/>
    <col min="8974" max="9214" width="7" style="59"/>
    <col min="9215" max="9215" width="3.5703125" style="59" customWidth="1"/>
    <col min="9216" max="9216" width="24.140625" style="59" customWidth="1"/>
    <col min="9217" max="9217" width="54.7109375" style="59" customWidth="1"/>
    <col min="9218" max="9218" width="18.28515625" style="59" customWidth="1"/>
    <col min="9219" max="9219" width="7" style="59" customWidth="1"/>
    <col min="9220" max="9220" width="9.85546875" style="59" bestFit="1" customWidth="1"/>
    <col min="9221" max="9221" width="15.5703125" style="59" customWidth="1"/>
    <col min="9222" max="9222" width="11.140625" style="59" bestFit="1" customWidth="1"/>
    <col min="9223" max="9223" width="14" style="59" customWidth="1"/>
    <col min="9224" max="9224" width="12" style="59" customWidth="1"/>
    <col min="9225" max="9225" width="11.85546875" style="59" bestFit="1" customWidth="1"/>
    <col min="9226" max="9226" width="7" style="59"/>
    <col min="9227" max="9227" width="28.5703125" style="59" customWidth="1"/>
    <col min="9228" max="9228" width="4.42578125" style="59" customWidth="1"/>
    <col min="9229" max="9229" width="10" style="59" customWidth="1"/>
    <col min="9230" max="9470" width="7" style="59"/>
    <col min="9471" max="9471" width="3.5703125" style="59" customWidth="1"/>
    <col min="9472" max="9472" width="24.140625" style="59" customWidth="1"/>
    <col min="9473" max="9473" width="54.7109375" style="59" customWidth="1"/>
    <col min="9474" max="9474" width="18.28515625" style="59" customWidth="1"/>
    <col min="9475" max="9475" width="7" style="59" customWidth="1"/>
    <col min="9476" max="9476" width="9.85546875" style="59" bestFit="1" customWidth="1"/>
    <col min="9477" max="9477" width="15.5703125" style="59" customWidth="1"/>
    <col min="9478" max="9478" width="11.140625" style="59" bestFit="1" customWidth="1"/>
    <col min="9479" max="9479" width="14" style="59" customWidth="1"/>
    <col min="9480" max="9480" width="12" style="59" customWidth="1"/>
    <col min="9481" max="9481" width="11.85546875" style="59" bestFit="1" customWidth="1"/>
    <col min="9482" max="9482" width="7" style="59"/>
    <col min="9483" max="9483" width="28.5703125" style="59" customWidth="1"/>
    <col min="9484" max="9484" width="4.42578125" style="59" customWidth="1"/>
    <col min="9485" max="9485" width="10" style="59" customWidth="1"/>
    <col min="9486" max="9726" width="7" style="59"/>
    <col min="9727" max="9727" width="3.5703125" style="59" customWidth="1"/>
    <col min="9728" max="9728" width="24.140625" style="59" customWidth="1"/>
    <col min="9729" max="9729" width="54.7109375" style="59" customWidth="1"/>
    <col min="9730" max="9730" width="18.28515625" style="59" customWidth="1"/>
    <col min="9731" max="9731" width="7" style="59" customWidth="1"/>
    <col min="9732" max="9732" width="9.85546875" style="59" bestFit="1" customWidth="1"/>
    <col min="9733" max="9733" width="15.5703125" style="59" customWidth="1"/>
    <col min="9734" max="9734" width="11.140625" style="59" bestFit="1" customWidth="1"/>
    <col min="9735" max="9735" width="14" style="59" customWidth="1"/>
    <col min="9736" max="9736" width="12" style="59" customWidth="1"/>
    <col min="9737" max="9737" width="11.85546875" style="59" bestFit="1" customWidth="1"/>
    <col min="9738" max="9738" width="7" style="59"/>
    <col min="9739" max="9739" width="28.5703125" style="59" customWidth="1"/>
    <col min="9740" max="9740" width="4.42578125" style="59" customWidth="1"/>
    <col min="9741" max="9741" width="10" style="59" customWidth="1"/>
    <col min="9742" max="9982" width="7" style="59"/>
    <col min="9983" max="9983" width="3.5703125" style="59" customWidth="1"/>
    <col min="9984" max="9984" width="24.140625" style="59" customWidth="1"/>
    <col min="9985" max="9985" width="54.7109375" style="59" customWidth="1"/>
    <col min="9986" max="9986" width="18.28515625" style="59" customWidth="1"/>
    <col min="9987" max="9987" width="7" style="59" customWidth="1"/>
    <col min="9988" max="9988" width="9.85546875" style="59" bestFit="1" customWidth="1"/>
    <col min="9989" max="9989" width="15.5703125" style="59" customWidth="1"/>
    <col min="9990" max="9990" width="11.140625" style="59" bestFit="1" customWidth="1"/>
    <col min="9991" max="9991" width="14" style="59" customWidth="1"/>
    <col min="9992" max="9992" width="12" style="59" customWidth="1"/>
    <col min="9993" max="9993" width="11.85546875" style="59" bestFit="1" customWidth="1"/>
    <col min="9994" max="9994" width="7" style="59"/>
    <col min="9995" max="9995" width="28.5703125" style="59" customWidth="1"/>
    <col min="9996" max="9996" width="4.42578125" style="59" customWidth="1"/>
    <col min="9997" max="9997" width="10" style="59" customWidth="1"/>
    <col min="9998" max="10238" width="7" style="59"/>
    <col min="10239" max="10239" width="3.5703125" style="59" customWidth="1"/>
    <col min="10240" max="10240" width="24.140625" style="59" customWidth="1"/>
    <col min="10241" max="10241" width="54.7109375" style="59" customWidth="1"/>
    <col min="10242" max="10242" width="18.28515625" style="59" customWidth="1"/>
    <col min="10243" max="10243" width="7" style="59" customWidth="1"/>
    <col min="10244" max="10244" width="9.85546875" style="59" bestFit="1" customWidth="1"/>
    <col min="10245" max="10245" width="15.5703125" style="59" customWidth="1"/>
    <col min="10246" max="10246" width="11.140625" style="59" bestFit="1" customWidth="1"/>
    <col min="10247" max="10247" width="14" style="59" customWidth="1"/>
    <col min="10248" max="10248" width="12" style="59" customWidth="1"/>
    <col min="10249" max="10249" width="11.85546875" style="59" bestFit="1" customWidth="1"/>
    <col min="10250" max="10250" width="7" style="59"/>
    <col min="10251" max="10251" width="28.5703125" style="59" customWidth="1"/>
    <col min="10252" max="10252" width="4.42578125" style="59" customWidth="1"/>
    <col min="10253" max="10253" width="10" style="59" customWidth="1"/>
    <col min="10254" max="10494" width="7" style="59"/>
    <col min="10495" max="10495" width="3.5703125" style="59" customWidth="1"/>
    <col min="10496" max="10496" width="24.140625" style="59" customWidth="1"/>
    <col min="10497" max="10497" width="54.7109375" style="59" customWidth="1"/>
    <col min="10498" max="10498" width="18.28515625" style="59" customWidth="1"/>
    <col min="10499" max="10499" width="7" style="59" customWidth="1"/>
    <col min="10500" max="10500" width="9.85546875" style="59" bestFit="1" customWidth="1"/>
    <col min="10501" max="10501" width="15.5703125" style="59" customWidth="1"/>
    <col min="10502" max="10502" width="11.140625" style="59" bestFit="1" customWidth="1"/>
    <col min="10503" max="10503" width="14" style="59" customWidth="1"/>
    <col min="10504" max="10504" width="12" style="59" customWidth="1"/>
    <col min="10505" max="10505" width="11.85546875" style="59" bestFit="1" customWidth="1"/>
    <col min="10506" max="10506" width="7" style="59"/>
    <col min="10507" max="10507" width="28.5703125" style="59" customWidth="1"/>
    <col min="10508" max="10508" width="4.42578125" style="59" customWidth="1"/>
    <col min="10509" max="10509" width="10" style="59" customWidth="1"/>
    <col min="10510" max="10750" width="7" style="59"/>
    <col min="10751" max="10751" width="3.5703125" style="59" customWidth="1"/>
    <col min="10752" max="10752" width="24.140625" style="59" customWidth="1"/>
    <col min="10753" max="10753" width="54.7109375" style="59" customWidth="1"/>
    <col min="10754" max="10754" width="18.28515625" style="59" customWidth="1"/>
    <col min="10755" max="10755" width="7" style="59" customWidth="1"/>
    <col min="10756" max="10756" width="9.85546875" style="59" bestFit="1" customWidth="1"/>
    <col min="10757" max="10757" width="15.5703125" style="59" customWidth="1"/>
    <col min="10758" max="10758" width="11.140625" style="59" bestFit="1" customWidth="1"/>
    <col min="10759" max="10759" width="14" style="59" customWidth="1"/>
    <col min="10760" max="10760" width="12" style="59" customWidth="1"/>
    <col min="10761" max="10761" width="11.85546875" style="59" bestFit="1" customWidth="1"/>
    <col min="10762" max="10762" width="7" style="59"/>
    <col min="10763" max="10763" width="28.5703125" style="59" customWidth="1"/>
    <col min="10764" max="10764" width="4.42578125" style="59" customWidth="1"/>
    <col min="10765" max="10765" width="10" style="59" customWidth="1"/>
    <col min="10766" max="11006" width="7" style="59"/>
    <col min="11007" max="11007" width="3.5703125" style="59" customWidth="1"/>
    <col min="11008" max="11008" width="24.140625" style="59" customWidth="1"/>
    <col min="11009" max="11009" width="54.7109375" style="59" customWidth="1"/>
    <col min="11010" max="11010" width="18.28515625" style="59" customWidth="1"/>
    <col min="11011" max="11011" width="7" style="59" customWidth="1"/>
    <col min="11012" max="11012" width="9.85546875" style="59" bestFit="1" customWidth="1"/>
    <col min="11013" max="11013" width="15.5703125" style="59" customWidth="1"/>
    <col min="11014" max="11014" width="11.140625" style="59" bestFit="1" customWidth="1"/>
    <col min="11015" max="11015" width="14" style="59" customWidth="1"/>
    <col min="11016" max="11016" width="12" style="59" customWidth="1"/>
    <col min="11017" max="11017" width="11.85546875" style="59" bestFit="1" customWidth="1"/>
    <col min="11018" max="11018" width="7" style="59"/>
    <col min="11019" max="11019" width="28.5703125" style="59" customWidth="1"/>
    <col min="11020" max="11020" width="4.42578125" style="59" customWidth="1"/>
    <col min="11021" max="11021" width="10" style="59" customWidth="1"/>
    <col min="11022" max="11262" width="7" style="59"/>
    <col min="11263" max="11263" width="3.5703125" style="59" customWidth="1"/>
    <col min="11264" max="11264" width="24.140625" style="59" customWidth="1"/>
    <col min="11265" max="11265" width="54.7109375" style="59" customWidth="1"/>
    <col min="11266" max="11266" width="18.28515625" style="59" customWidth="1"/>
    <col min="11267" max="11267" width="7" style="59" customWidth="1"/>
    <col min="11268" max="11268" width="9.85546875" style="59" bestFit="1" customWidth="1"/>
    <col min="11269" max="11269" width="15.5703125" style="59" customWidth="1"/>
    <col min="11270" max="11270" width="11.140625" style="59" bestFit="1" customWidth="1"/>
    <col min="11271" max="11271" width="14" style="59" customWidth="1"/>
    <col min="11272" max="11272" width="12" style="59" customWidth="1"/>
    <col min="11273" max="11273" width="11.85546875" style="59" bestFit="1" customWidth="1"/>
    <col min="11274" max="11274" width="7" style="59"/>
    <col min="11275" max="11275" width="28.5703125" style="59" customWidth="1"/>
    <col min="11276" max="11276" width="4.42578125" style="59" customWidth="1"/>
    <col min="11277" max="11277" width="10" style="59" customWidth="1"/>
    <col min="11278" max="11518" width="7" style="59"/>
    <col min="11519" max="11519" width="3.5703125" style="59" customWidth="1"/>
    <col min="11520" max="11520" width="24.140625" style="59" customWidth="1"/>
    <col min="11521" max="11521" width="54.7109375" style="59" customWidth="1"/>
    <col min="11522" max="11522" width="18.28515625" style="59" customWidth="1"/>
    <col min="11523" max="11523" width="7" style="59" customWidth="1"/>
    <col min="11524" max="11524" width="9.85546875" style="59" bestFit="1" customWidth="1"/>
    <col min="11525" max="11525" width="15.5703125" style="59" customWidth="1"/>
    <col min="11526" max="11526" width="11.140625" style="59" bestFit="1" customWidth="1"/>
    <col min="11527" max="11527" width="14" style="59" customWidth="1"/>
    <col min="11528" max="11528" width="12" style="59" customWidth="1"/>
    <col min="11529" max="11529" width="11.85546875" style="59" bestFit="1" customWidth="1"/>
    <col min="11530" max="11530" width="7" style="59"/>
    <col min="11531" max="11531" width="28.5703125" style="59" customWidth="1"/>
    <col min="11532" max="11532" width="4.42578125" style="59" customWidth="1"/>
    <col min="11533" max="11533" width="10" style="59" customWidth="1"/>
    <col min="11534" max="11774" width="7" style="59"/>
    <col min="11775" max="11775" width="3.5703125" style="59" customWidth="1"/>
    <col min="11776" max="11776" width="24.140625" style="59" customWidth="1"/>
    <col min="11777" max="11777" width="54.7109375" style="59" customWidth="1"/>
    <col min="11778" max="11778" width="18.28515625" style="59" customWidth="1"/>
    <col min="11779" max="11779" width="7" style="59" customWidth="1"/>
    <col min="11780" max="11780" width="9.85546875" style="59" bestFit="1" customWidth="1"/>
    <col min="11781" max="11781" width="15.5703125" style="59" customWidth="1"/>
    <col min="11782" max="11782" width="11.140625" style="59" bestFit="1" customWidth="1"/>
    <col min="11783" max="11783" width="14" style="59" customWidth="1"/>
    <col min="11784" max="11784" width="12" style="59" customWidth="1"/>
    <col min="11785" max="11785" width="11.85546875" style="59" bestFit="1" customWidth="1"/>
    <col min="11786" max="11786" width="7" style="59"/>
    <col min="11787" max="11787" width="28.5703125" style="59" customWidth="1"/>
    <col min="11788" max="11788" width="4.42578125" style="59" customWidth="1"/>
    <col min="11789" max="11789" width="10" style="59" customWidth="1"/>
    <col min="11790" max="12030" width="7" style="59"/>
    <col min="12031" max="12031" width="3.5703125" style="59" customWidth="1"/>
    <col min="12032" max="12032" width="24.140625" style="59" customWidth="1"/>
    <col min="12033" max="12033" width="54.7109375" style="59" customWidth="1"/>
    <col min="12034" max="12034" width="18.28515625" style="59" customWidth="1"/>
    <col min="12035" max="12035" width="7" style="59" customWidth="1"/>
    <col min="12036" max="12036" width="9.85546875" style="59" bestFit="1" customWidth="1"/>
    <col min="12037" max="12037" width="15.5703125" style="59" customWidth="1"/>
    <col min="12038" max="12038" width="11.140625" style="59" bestFit="1" customWidth="1"/>
    <col min="12039" max="12039" width="14" style="59" customWidth="1"/>
    <col min="12040" max="12040" width="12" style="59" customWidth="1"/>
    <col min="12041" max="12041" width="11.85546875" style="59" bestFit="1" customWidth="1"/>
    <col min="12042" max="12042" width="7" style="59"/>
    <col min="12043" max="12043" width="28.5703125" style="59" customWidth="1"/>
    <col min="12044" max="12044" width="4.42578125" style="59" customWidth="1"/>
    <col min="12045" max="12045" width="10" style="59" customWidth="1"/>
    <col min="12046" max="12286" width="7" style="59"/>
    <col min="12287" max="12287" width="3.5703125" style="59" customWidth="1"/>
    <col min="12288" max="12288" width="24.140625" style="59" customWidth="1"/>
    <col min="12289" max="12289" width="54.7109375" style="59" customWidth="1"/>
    <col min="12290" max="12290" width="18.28515625" style="59" customWidth="1"/>
    <col min="12291" max="12291" width="7" style="59" customWidth="1"/>
    <col min="12292" max="12292" width="9.85546875" style="59" bestFit="1" customWidth="1"/>
    <col min="12293" max="12293" width="15.5703125" style="59" customWidth="1"/>
    <col min="12294" max="12294" width="11.140625" style="59" bestFit="1" customWidth="1"/>
    <col min="12295" max="12295" width="14" style="59" customWidth="1"/>
    <col min="12296" max="12296" width="12" style="59" customWidth="1"/>
    <col min="12297" max="12297" width="11.85546875" style="59" bestFit="1" customWidth="1"/>
    <col min="12298" max="12298" width="7" style="59"/>
    <col min="12299" max="12299" width="28.5703125" style="59" customWidth="1"/>
    <col min="12300" max="12300" width="4.42578125" style="59" customWidth="1"/>
    <col min="12301" max="12301" width="10" style="59" customWidth="1"/>
    <col min="12302" max="12542" width="7" style="59"/>
    <col min="12543" max="12543" width="3.5703125" style="59" customWidth="1"/>
    <col min="12544" max="12544" width="24.140625" style="59" customWidth="1"/>
    <col min="12545" max="12545" width="54.7109375" style="59" customWidth="1"/>
    <col min="12546" max="12546" width="18.28515625" style="59" customWidth="1"/>
    <col min="12547" max="12547" width="7" style="59" customWidth="1"/>
    <col min="12548" max="12548" width="9.85546875" style="59" bestFit="1" customWidth="1"/>
    <col min="12549" max="12549" width="15.5703125" style="59" customWidth="1"/>
    <col min="12550" max="12550" width="11.140625" style="59" bestFit="1" customWidth="1"/>
    <col min="12551" max="12551" width="14" style="59" customWidth="1"/>
    <col min="12552" max="12552" width="12" style="59" customWidth="1"/>
    <col min="12553" max="12553" width="11.85546875" style="59" bestFit="1" customWidth="1"/>
    <col min="12554" max="12554" width="7" style="59"/>
    <col min="12555" max="12555" width="28.5703125" style="59" customWidth="1"/>
    <col min="12556" max="12556" width="4.42578125" style="59" customWidth="1"/>
    <col min="12557" max="12557" width="10" style="59" customWidth="1"/>
    <col min="12558" max="12798" width="7" style="59"/>
    <col min="12799" max="12799" width="3.5703125" style="59" customWidth="1"/>
    <col min="12800" max="12800" width="24.140625" style="59" customWidth="1"/>
    <col min="12801" max="12801" width="54.7109375" style="59" customWidth="1"/>
    <col min="12802" max="12802" width="18.28515625" style="59" customWidth="1"/>
    <col min="12803" max="12803" width="7" style="59" customWidth="1"/>
    <col min="12804" max="12804" width="9.85546875" style="59" bestFit="1" customWidth="1"/>
    <col min="12805" max="12805" width="15.5703125" style="59" customWidth="1"/>
    <col min="12806" max="12806" width="11.140625" style="59" bestFit="1" customWidth="1"/>
    <col min="12807" max="12807" width="14" style="59" customWidth="1"/>
    <col min="12808" max="12808" width="12" style="59" customWidth="1"/>
    <col min="12809" max="12809" width="11.85546875" style="59" bestFit="1" customWidth="1"/>
    <col min="12810" max="12810" width="7" style="59"/>
    <col min="12811" max="12811" width="28.5703125" style="59" customWidth="1"/>
    <col min="12812" max="12812" width="4.42578125" style="59" customWidth="1"/>
    <col min="12813" max="12813" width="10" style="59" customWidth="1"/>
    <col min="12814" max="13054" width="7" style="59"/>
    <col min="13055" max="13055" width="3.5703125" style="59" customWidth="1"/>
    <col min="13056" max="13056" width="24.140625" style="59" customWidth="1"/>
    <col min="13057" max="13057" width="54.7109375" style="59" customWidth="1"/>
    <col min="13058" max="13058" width="18.28515625" style="59" customWidth="1"/>
    <col min="13059" max="13059" width="7" style="59" customWidth="1"/>
    <col min="13060" max="13060" width="9.85546875" style="59" bestFit="1" customWidth="1"/>
    <col min="13061" max="13061" width="15.5703125" style="59" customWidth="1"/>
    <col min="13062" max="13062" width="11.140625" style="59" bestFit="1" customWidth="1"/>
    <col min="13063" max="13063" width="14" style="59" customWidth="1"/>
    <col min="13064" max="13064" width="12" style="59" customWidth="1"/>
    <col min="13065" max="13065" width="11.85546875" style="59" bestFit="1" customWidth="1"/>
    <col min="13066" max="13066" width="7" style="59"/>
    <col min="13067" max="13067" width="28.5703125" style="59" customWidth="1"/>
    <col min="13068" max="13068" width="4.42578125" style="59" customWidth="1"/>
    <col min="13069" max="13069" width="10" style="59" customWidth="1"/>
    <col min="13070" max="13310" width="7" style="59"/>
    <col min="13311" max="13311" width="3.5703125" style="59" customWidth="1"/>
    <col min="13312" max="13312" width="24.140625" style="59" customWidth="1"/>
    <col min="13313" max="13313" width="54.7109375" style="59" customWidth="1"/>
    <col min="13314" max="13314" width="18.28515625" style="59" customWidth="1"/>
    <col min="13315" max="13315" width="7" style="59" customWidth="1"/>
    <col min="13316" max="13316" width="9.85546875" style="59" bestFit="1" customWidth="1"/>
    <col min="13317" max="13317" width="15.5703125" style="59" customWidth="1"/>
    <col min="13318" max="13318" width="11.140625" style="59" bestFit="1" customWidth="1"/>
    <col min="13319" max="13319" width="14" style="59" customWidth="1"/>
    <col min="13320" max="13320" width="12" style="59" customWidth="1"/>
    <col min="13321" max="13321" width="11.85546875" style="59" bestFit="1" customWidth="1"/>
    <col min="13322" max="13322" width="7" style="59"/>
    <col min="13323" max="13323" width="28.5703125" style="59" customWidth="1"/>
    <col min="13324" max="13324" width="4.42578125" style="59" customWidth="1"/>
    <col min="13325" max="13325" width="10" style="59" customWidth="1"/>
    <col min="13326" max="13566" width="7" style="59"/>
    <col min="13567" max="13567" width="3.5703125" style="59" customWidth="1"/>
    <col min="13568" max="13568" width="24.140625" style="59" customWidth="1"/>
    <col min="13569" max="13569" width="54.7109375" style="59" customWidth="1"/>
    <col min="13570" max="13570" width="18.28515625" style="59" customWidth="1"/>
    <col min="13571" max="13571" width="7" style="59" customWidth="1"/>
    <col min="13572" max="13572" width="9.85546875" style="59" bestFit="1" customWidth="1"/>
    <col min="13573" max="13573" width="15.5703125" style="59" customWidth="1"/>
    <col min="13574" max="13574" width="11.140625" style="59" bestFit="1" customWidth="1"/>
    <col min="13575" max="13575" width="14" style="59" customWidth="1"/>
    <col min="13576" max="13576" width="12" style="59" customWidth="1"/>
    <col min="13577" max="13577" width="11.85546875" style="59" bestFit="1" customWidth="1"/>
    <col min="13578" max="13578" width="7" style="59"/>
    <col min="13579" max="13579" width="28.5703125" style="59" customWidth="1"/>
    <col min="13580" max="13580" width="4.42578125" style="59" customWidth="1"/>
    <col min="13581" max="13581" width="10" style="59" customWidth="1"/>
    <col min="13582" max="13822" width="7" style="59"/>
    <col min="13823" max="13823" width="3.5703125" style="59" customWidth="1"/>
    <col min="13824" max="13824" width="24.140625" style="59" customWidth="1"/>
    <col min="13825" max="13825" width="54.7109375" style="59" customWidth="1"/>
    <col min="13826" max="13826" width="18.28515625" style="59" customWidth="1"/>
    <col min="13827" max="13827" width="7" style="59" customWidth="1"/>
    <col min="13828" max="13828" width="9.85546875" style="59" bestFit="1" customWidth="1"/>
    <col min="13829" max="13829" width="15.5703125" style="59" customWidth="1"/>
    <col min="13830" max="13830" width="11.140625" style="59" bestFit="1" customWidth="1"/>
    <col min="13831" max="13831" width="14" style="59" customWidth="1"/>
    <col min="13832" max="13832" width="12" style="59" customWidth="1"/>
    <col min="13833" max="13833" width="11.85546875" style="59" bestFit="1" customWidth="1"/>
    <col min="13834" max="13834" width="7" style="59"/>
    <col min="13835" max="13835" width="28.5703125" style="59" customWidth="1"/>
    <col min="13836" max="13836" width="4.42578125" style="59" customWidth="1"/>
    <col min="13837" max="13837" width="10" style="59" customWidth="1"/>
    <col min="13838" max="14078" width="7" style="59"/>
    <col min="14079" max="14079" width="3.5703125" style="59" customWidth="1"/>
    <col min="14080" max="14080" width="24.140625" style="59" customWidth="1"/>
    <col min="14081" max="14081" width="54.7109375" style="59" customWidth="1"/>
    <col min="14082" max="14082" width="18.28515625" style="59" customWidth="1"/>
    <col min="14083" max="14083" width="7" style="59" customWidth="1"/>
    <col min="14084" max="14084" width="9.85546875" style="59" bestFit="1" customWidth="1"/>
    <col min="14085" max="14085" width="15.5703125" style="59" customWidth="1"/>
    <col min="14086" max="14086" width="11.140625" style="59" bestFit="1" customWidth="1"/>
    <col min="14087" max="14087" width="14" style="59" customWidth="1"/>
    <col min="14088" max="14088" width="12" style="59" customWidth="1"/>
    <col min="14089" max="14089" width="11.85546875" style="59" bestFit="1" customWidth="1"/>
    <col min="14090" max="14090" width="7" style="59"/>
    <col min="14091" max="14091" width="28.5703125" style="59" customWidth="1"/>
    <col min="14092" max="14092" width="4.42578125" style="59" customWidth="1"/>
    <col min="14093" max="14093" width="10" style="59" customWidth="1"/>
    <col min="14094" max="14334" width="7" style="59"/>
    <col min="14335" max="14335" width="3.5703125" style="59" customWidth="1"/>
    <col min="14336" max="14336" width="24.140625" style="59" customWidth="1"/>
    <col min="14337" max="14337" width="54.7109375" style="59" customWidth="1"/>
    <col min="14338" max="14338" width="18.28515625" style="59" customWidth="1"/>
    <col min="14339" max="14339" width="7" style="59" customWidth="1"/>
    <col min="14340" max="14340" width="9.85546875" style="59" bestFit="1" customWidth="1"/>
    <col min="14341" max="14341" width="15.5703125" style="59" customWidth="1"/>
    <col min="14342" max="14342" width="11.140625" style="59" bestFit="1" customWidth="1"/>
    <col min="14343" max="14343" width="14" style="59" customWidth="1"/>
    <col min="14344" max="14344" width="12" style="59" customWidth="1"/>
    <col min="14345" max="14345" width="11.85546875" style="59" bestFit="1" customWidth="1"/>
    <col min="14346" max="14346" width="7" style="59"/>
    <col min="14347" max="14347" width="28.5703125" style="59" customWidth="1"/>
    <col min="14348" max="14348" width="4.42578125" style="59" customWidth="1"/>
    <col min="14349" max="14349" width="10" style="59" customWidth="1"/>
    <col min="14350" max="14590" width="7" style="59"/>
    <col min="14591" max="14591" width="3.5703125" style="59" customWidth="1"/>
    <col min="14592" max="14592" width="24.140625" style="59" customWidth="1"/>
    <col min="14593" max="14593" width="54.7109375" style="59" customWidth="1"/>
    <col min="14594" max="14594" width="18.28515625" style="59" customWidth="1"/>
    <col min="14595" max="14595" width="7" style="59" customWidth="1"/>
    <col min="14596" max="14596" width="9.85546875" style="59" bestFit="1" customWidth="1"/>
    <col min="14597" max="14597" width="15.5703125" style="59" customWidth="1"/>
    <col min="14598" max="14598" width="11.140625" style="59" bestFit="1" customWidth="1"/>
    <col min="14599" max="14599" width="14" style="59" customWidth="1"/>
    <col min="14600" max="14600" width="12" style="59" customWidth="1"/>
    <col min="14601" max="14601" width="11.85546875" style="59" bestFit="1" customWidth="1"/>
    <col min="14602" max="14602" width="7" style="59"/>
    <col min="14603" max="14603" width="28.5703125" style="59" customWidth="1"/>
    <col min="14604" max="14604" width="4.42578125" style="59" customWidth="1"/>
    <col min="14605" max="14605" width="10" style="59" customWidth="1"/>
    <col min="14606" max="14846" width="7" style="59"/>
    <col min="14847" max="14847" width="3.5703125" style="59" customWidth="1"/>
    <col min="14848" max="14848" width="24.140625" style="59" customWidth="1"/>
    <col min="14849" max="14849" width="54.7109375" style="59" customWidth="1"/>
    <col min="14850" max="14850" width="18.28515625" style="59" customWidth="1"/>
    <col min="14851" max="14851" width="7" style="59" customWidth="1"/>
    <col min="14852" max="14852" width="9.85546875" style="59" bestFit="1" customWidth="1"/>
    <col min="14853" max="14853" width="15.5703125" style="59" customWidth="1"/>
    <col min="14854" max="14854" width="11.140625" style="59" bestFit="1" customWidth="1"/>
    <col min="14855" max="14855" width="14" style="59" customWidth="1"/>
    <col min="14856" max="14856" width="12" style="59" customWidth="1"/>
    <col min="14857" max="14857" width="11.85546875" style="59" bestFit="1" customWidth="1"/>
    <col min="14858" max="14858" width="7" style="59"/>
    <col min="14859" max="14859" width="28.5703125" style="59" customWidth="1"/>
    <col min="14860" max="14860" width="4.42578125" style="59" customWidth="1"/>
    <col min="14861" max="14861" width="10" style="59" customWidth="1"/>
    <col min="14862" max="15102" width="7" style="59"/>
    <col min="15103" max="15103" width="3.5703125" style="59" customWidth="1"/>
    <col min="15104" max="15104" width="24.140625" style="59" customWidth="1"/>
    <col min="15105" max="15105" width="54.7109375" style="59" customWidth="1"/>
    <col min="15106" max="15106" width="18.28515625" style="59" customWidth="1"/>
    <col min="15107" max="15107" width="7" style="59" customWidth="1"/>
    <col min="15108" max="15108" width="9.85546875" style="59" bestFit="1" customWidth="1"/>
    <col min="15109" max="15109" width="15.5703125" style="59" customWidth="1"/>
    <col min="15110" max="15110" width="11.140625" style="59" bestFit="1" customWidth="1"/>
    <col min="15111" max="15111" width="14" style="59" customWidth="1"/>
    <col min="15112" max="15112" width="12" style="59" customWidth="1"/>
    <col min="15113" max="15113" width="11.85546875" style="59" bestFit="1" customWidth="1"/>
    <col min="15114" max="15114" width="7" style="59"/>
    <col min="15115" max="15115" width="28.5703125" style="59" customWidth="1"/>
    <col min="15116" max="15116" width="4.42578125" style="59" customWidth="1"/>
    <col min="15117" max="15117" width="10" style="59" customWidth="1"/>
    <col min="15118" max="15358" width="7" style="59"/>
    <col min="15359" max="15359" width="3.5703125" style="59" customWidth="1"/>
    <col min="15360" max="15360" width="24.140625" style="59" customWidth="1"/>
    <col min="15361" max="15361" width="54.7109375" style="59" customWidth="1"/>
    <col min="15362" max="15362" width="18.28515625" style="59" customWidth="1"/>
    <col min="15363" max="15363" width="7" style="59" customWidth="1"/>
    <col min="15364" max="15364" width="9.85546875" style="59" bestFit="1" customWidth="1"/>
    <col min="15365" max="15365" width="15.5703125" style="59" customWidth="1"/>
    <col min="15366" max="15366" width="11.140625" style="59" bestFit="1" customWidth="1"/>
    <col min="15367" max="15367" width="14" style="59" customWidth="1"/>
    <col min="15368" max="15368" width="12" style="59" customWidth="1"/>
    <col min="15369" max="15369" width="11.85546875" style="59" bestFit="1" customWidth="1"/>
    <col min="15370" max="15370" width="7" style="59"/>
    <col min="15371" max="15371" width="28.5703125" style="59" customWidth="1"/>
    <col min="15372" max="15372" width="4.42578125" style="59" customWidth="1"/>
    <col min="15373" max="15373" width="10" style="59" customWidth="1"/>
    <col min="15374" max="15614" width="7" style="59"/>
    <col min="15615" max="15615" width="3.5703125" style="59" customWidth="1"/>
    <col min="15616" max="15616" width="24.140625" style="59" customWidth="1"/>
    <col min="15617" max="15617" width="54.7109375" style="59" customWidth="1"/>
    <col min="15618" max="15618" width="18.28515625" style="59" customWidth="1"/>
    <col min="15619" max="15619" width="7" style="59" customWidth="1"/>
    <col min="15620" max="15620" width="9.85546875" style="59" bestFit="1" customWidth="1"/>
    <col min="15621" max="15621" width="15.5703125" style="59" customWidth="1"/>
    <col min="15622" max="15622" width="11.140625" style="59" bestFit="1" customWidth="1"/>
    <col min="15623" max="15623" width="14" style="59" customWidth="1"/>
    <col min="15624" max="15624" width="12" style="59" customWidth="1"/>
    <col min="15625" max="15625" width="11.85546875" style="59" bestFit="1" customWidth="1"/>
    <col min="15626" max="15626" width="7" style="59"/>
    <col min="15627" max="15627" width="28.5703125" style="59" customWidth="1"/>
    <col min="15628" max="15628" width="4.42578125" style="59" customWidth="1"/>
    <col min="15629" max="15629" width="10" style="59" customWidth="1"/>
    <col min="15630" max="15870" width="7" style="59"/>
    <col min="15871" max="15871" width="3.5703125" style="59" customWidth="1"/>
    <col min="15872" max="15872" width="24.140625" style="59" customWidth="1"/>
    <col min="15873" max="15873" width="54.7109375" style="59" customWidth="1"/>
    <col min="15874" max="15874" width="18.28515625" style="59" customWidth="1"/>
    <col min="15875" max="15875" width="7" style="59" customWidth="1"/>
    <col min="15876" max="15876" width="9.85546875" style="59" bestFit="1" customWidth="1"/>
    <col min="15877" max="15877" width="15.5703125" style="59" customWidth="1"/>
    <col min="15878" max="15878" width="11.140625" style="59" bestFit="1" customWidth="1"/>
    <col min="15879" max="15879" width="14" style="59" customWidth="1"/>
    <col min="15880" max="15880" width="12" style="59" customWidth="1"/>
    <col min="15881" max="15881" width="11.85546875" style="59" bestFit="1" customWidth="1"/>
    <col min="15882" max="15882" width="7" style="59"/>
    <col min="15883" max="15883" width="28.5703125" style="59" customWidth="1"/>
    <col min="15884" max="15884" width="4.42578125" style="59" customWidth="1"/>
    <col min="15885" max="15885" width="10" style="59" customWidth="1"/>
    <col min="15886" max="16126" width="7" style="59"/>
    <col min="16127" max="16127" width="3.5703125" style="59" customWidth="1"/>
    <col min="16128" max="16128" width="24.140625" style="59" customWidth="1"/>
    <col min="16129" max="16129" width="54.7109375" style="59" customWidth="1"/>
    <col min="16130" max="16130" width="18.28515625" style="59" customWidth="1"/>
    <col min="16131" max="16131" width="7" style="59" customWidth="1"/>
    <col min="16132" max="16132" width="9.85546875" style="59" bestFit="1" customWidth="1"/>
    <col min="16133" max="16133" width="15.5703125" style="59" customWidth="1"/>
    <col min="16134" max="16134" width="11.140625" style="59" bestFit="1" customWidth="1"/>
    <col min="16135" max="16135" width="14" style="59" customWidth="1"/>
    <col min="16136" max="16136" width="12" style="59" customWidth="1"/>
    <col min="16137" max="16137" width="11.85546875" style="59" bestFit="1" customWidth="1"/>
    <col min="16138" max="16138" width="7" style="59"/>
    <col min="16139" max="16139" width="28.5703125" style="59" customWidth="1"/>
    <col min="16140" max="16140" width="4.42578125" style="59" customWidth="1"/>
    <col min="16141" max="16141" width="10" style="59" customWidth="1"/>
    <col min="16142" max="16384" width="7" style="59"/>
  </cols>
  <sheetData>
    <row r="1" spans="1:219" ht="14.25">
      <c r="A1" s="263" t="s">
        <v>2</v>
      </c>
    </row>
    <row r="2" spans="1:219" ht="14.25">
      <c r="A2" s="61"/>
    </row>
    <row r="3" spans="1:219" ht="21" customHeight="1">
      <c r="A3" s="250" t="str">
        <f>'1-Inschrijfstaat'!A3</f>
        <v>Naam opdrachtgever</v>
      </c>
      <c r="B3" s="348" t="str">
        <f>'1-Inschrijfstaat'!B3</f>
        <v>GVB Infra B.V.</v>
      </c>
    </row>
    <row r="4" spans="1:219" ht="21" customHeight="1">
      <c r="A4" s="250" t="str">
        <f>'1-Inschrijfstaat'!A4</f>
        <v>Calculatie onderdeel</v>
      </c>
      <c r="B4" s="348" t="str">
        <f ca="1">MID(CELL("bestandsnaam",$B$10),SEARCH("]",CELL("bestandsnaam",$B$10),1)+1,256)</f>
        <v>11d-Afroep Kap Bijlmer</v>
      </c>
    </row>
    <row r="5" spans="1:219" ht="17.25">
      <c r="A5" s="250" t="str">
        <f>'11b- Afroepprijs Algemeen'!A5</f>
        <v>Gebouw/plaats</v>
      </c>
      <c r="B5" s="348" t="str">
        <f>'1-Inschrijfstaat'!B5</f>
        <v>Diverse</v>
      </c>
    </row>
    <row r="6" spans="1:219" ht="17.25">
      <c r="A6" s="250" t="str">
        <f>'11b- Afroepprijs Algemeen'!A6</f>
        <v>Besteknummer</v>
      </c>
      <c r="B6" s="348" t="str">
        <f>'1-Inschrijfstaat'!B6</f>
        <v>2021-61</v>
      </c>
    </row>
    <row r="7" spans="1:219" ht="17.25">
      <c r="A7" s="250" t="str">
        <f>'11b- Afroepprijs Algemeen'!A7</f>
        <v>Naam leverancier</v>
      </c>
      <c r="B7" s="348" t="str">
        <f>'1-Inschrijfstaat'!B7:D7</f>
        <v>Naam dienstverlener</v>
      </c>
    </row>
    <row r="8" spans="1:219" ht="16.5">
      <c r="A8" s="250" t="str">
        <f>'11b- Afroepprijs Algemeen'!A8</f>
        <v>Prijspeil</v>
      </c>
      <c r="B8" s="11" t="str">
        <f>'1-Inschrijfstaat'!B8</f>
        <v>1 januari 2022</v>
      </c>
    </row>
    <row r="9" spans="1:219" ht="16.5">
      <c r="A9" s="250" t="str">
        <f>'11b- Afroepprijs Algemeen'!A9</f>
        <v>Perceel</v>
      </c>
      <c r="B9" s="62" t="str">
        <f>'1-Inschrijfstaat'!B9</f>
        <v>1 Technische schoonmaak Algemeen</v>
      </c>
    </row>
    <row r="10" spans="1:219" ht="17.25">
      <c r="A10" s="260" t="s">
        <v>1085</v>
      </c>
      <c r="B10" s="348" t="s">
        <v>2018</v>
      </c>
      <c r="C10" s="358"/>
      <c r="D10" s="358"/>
      <c r="E10" s="358"/>
      <c r="F10" s="358"/>
      <c r="G10" s="358"/>
    </row>
    <row r="11" spans="1:219" ht="12" customHeight="1">
      <c r="A11" s="63"/>
      <c r="B11" s="63"/>
      <c r="C11" s="63"/>
      <c r="D11" s="64"/>
      <c r="E11" s="64"/>
      <c r="X11" s="11"/>
    </row>
    <row r="12" spans="1:219" ht="12" customHeight="1">
      <c r="A12" s="63"/>
      <c r="B12" s="63"/>
      <c r="C12" s="63"/>
      <c r="D12" s="64"/>
      <c r="E12" s="64"/>
    </row>
    <row r="13" spans="1:219" ht="25.5">
      <c r="A13" s="267" t="s">
        <v>1690</v>
      </c>
      <c r="B13" s="258" t="s">
        <v>2012</v>
      </c>
      <c r="C13" s="402" t="s">
        <v>1687</v>
      </c>
      <c r="J13" s="65"/>
      <c r="K13" s="65"/>
      <c r="L13" s="65"/>
      <c r="M13" s="66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</row>
    <row r="14" spans="1:219" ht="14.25">
      <c r="A14" s="67" t="s">
        <v>1688</v>
      </c>
      <c r="B14" s="455" t="s">
        <v>2013</v>
      </c>
      <c r="C14" s="359">
        <v>0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</row>
    <row r="15" spans="1:219" ht="14.25">
      <c r="A15" s="67" t="s">
        <v>1688</v>
      </c>
      <c r="B15" s="575" t="s">
        <v>2078</v>
      </c>
      <c r="C15" s="359">
        <v>0</v>
      </c>
      <c r="D15" s="64"/>
      <c r="E15" s="64"/>
      <c r="J15" s="65"/>
      <c r="K15" s="65"/>
      <c r="L15" s="65"/>
      <c r="M15" s="66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</row>
    <row r="16" spans="1:219" ht="14.25">
      <c r="A16" s="67" t="s">
        <v>1689</v>
      </c>
      <c r="B16" s="455" t="s">
        <v>2013</v>
      </c>
      <c r="C16" s="359">
        <v>0</v>
      </c>
      <c r="D16" s="64"/>
      <c r="E16" s="64"/>
      <c r="J16" s="65"/>
      <c r="K16" s="65"/>
      <c r="L16" s="65"/>
      <c r="M16" s="66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</row>
    <row r="17" spans="1:219" ht="14.25">
      <c r="A17" s="67" t="s">
        <v>1689</v>
      </c>
      <c r="B17" s="575" t="s">
        <v>2078</v>
      </c>
      <c r="C17" s="359">
        <v>0</v>
      </c>
      <c r="D17" s="64"/>
      <c r="E17" s="64"/>
      <c r="J17" s="65"/>
      <c r="K17" s="65"/>
      <c r="L17" s="65"/>
      <c r="M17" s="66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</row>
    <row r="19" spans="1:219" ht="14.25">
      <c r="A19" s="63"/>
      <c r="B19" s="20"/>
      <c r="C19" s="63"/>
      <c r="D19" s="64"/>
      <c r="E19" s="64"/>
      <c r="J19" s="65"/>
      <c r="K19" s="65"/>
      <c r="L19" s="65"/>
      <c r="M19" s="66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</row>
    <row r="20" spans="1:219" ht="25.5">
      <c r="A20" s="355" t="s">
        <v>1354</v>
      </c>
      <c r="B20" s="356" t="s">
        <v>1120</v>
      </c>
      <c r="C20" s="356" t="s">
        <v>1094</v>
      </c>
      <c r="D20" s="356" t="s">
        <v>1375</v>
      </c>
      <c r="E20" s="356" t="s">
        <v>1095</v>
      </c>
      <c r="F20" s="356" t="s">
        <v>1353</v>
      </c>
      <c r="G20" s="459" t="s">
        <v>1687</v>
      </c>
      <c r="H20" s="357" t="s">
        <v>1121</v>
      </c>
      <c r="I20" s="65"/>
      <c r="J20" s="65"/>
      <c r="K20" s="65"/>
      <c r="L20" s="65"/>
      <c r="M20" s="66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</row>
    <row r="21" spans="1:219">
      <c r="A21" s="68" t="s">
        <v>1128</v>
      </c>
      <c r="B21" s="463" t="s">
        <v>1362</v>
      </c>
      <c r="C21" s="70" t="s">
        <v>1125</v>
      </c>
      <c r="D21" s="361"/>
      <c r="E21" s="71">
        <v>2190</v>
      </c>
      <c r="F21" s="72">
        <f>E21*D21</f>
        <v>0</v>
      </c>
      <c r="G21" s="88">
        <f>C15</f>
        <v>0</v>
      </c>
      <c r="H21" s="73">
        <f>G21*F21</f>
        <v>0</v>
      </c>
      <c r="I21" s="65"/>
      <c r="J21" s="65"/>
      <c r="K21" s="65"/>
      <c r="L21" s="65"/>
      <c r="M21" s="66"/>
      <c r="N21" s="65"/>
    </row>
    <row r="22" spans="1:219">
      <c r="A22" s="68" t="s">
        <v>1128</v>
      </c>
      <c r="B22" s="463" t="s">
        <v>1376</v>
      </c>
      <c r="C22" s="70" t="s">
        <v>1125</v>
      </c>
      <c r="D22" s="361"/>
      <c r="E22" s="71">
        <v>1032</v>
      </c>
      <c r="F22" s="72">
        <f>E22*D22</f>
        <v>0</v>
      </c>
      <c r="G22" s="88">
        <f>C15</f>
        <v>0</v>
      </c>
      <c r="H22" s="73">
        <f t="shared" ref="H22:H25" si="0">G22*F22</f>
        <v>0</v>
      </c>
      <c r="I22" s="65"/>
      <c r="J22" s="65"/>
      <c r="K22" s="65"/>
      <c r="L22" s="65"/>
      <c r="M22" s="66"/>
      <c r="N22" s="65"/>
    </row>
    <row r="23" spans="1:219">
      <c r="A23" s="68" t="s">
        <v>1128</v>
      </c>
      <c r="B23" s="463" t="s">
        <v>1377</v>
      </c>
      <c r="C23" s="70" t="s">
        <v>1125</v>
      </c>
      <c r="D23" s="361"/>
      <c r="E23" s="71">
        <v>959</v>
      </c>
      <c r="F23" s="72">
        <f>E23*D23</f>
        <v>0</v>
      </c>
      <c r="G23" s="88">
        <f>C15</f>
        <v>0</v>
      </c>
      <c r="H23" s="73">
        <f t="shared" si="0"/>
        <v>0</v>
      </c>
      <c r="I23" s="65"/>
      <c r="J23" s="65"/>
      <c r="K23" s="65"/>
      <c r="L23" s="65"/>
      <c r="M23" s="66"/>
      <c r="N23" s="65"/>
    </row>
    <row r="24" spans="1:219">
      <c r="A24" s="68" t="s">
        <v>1128</v>
      </c>
      <c r="B24" s="69" t="s">
        <v>1378</v>
      </c>
      <c r="C24" s="70" t="s">
        <v>1125</v>
      </c>
      <c r="D24" s="361"/>
      <c r="E24" s="71">
        <v>1032</v>
      </c>
      <c r="F24" s="72">
        <f>E24*D24</f>
        <v>0</v>
      </c>
      <c r="G24" s="88">
        <f>C14</f>
        <v>0</v>
      </c>
      <c r="H24" s="73">
        <f t="shared" si="0"/>
        <v>0</v>
      </c>
      <c r="I24" s="65"/>
      <c r="J24" s="65"/>
      <c r="K24" s="65"/>
      <c r="L24" s="65"/>
      <c r="M24" s="66"/>
      <c r="N24" s="65"/>
    </row>
    <row r="25" spans="1:219">
      <c r="A25" s="68" t="s">
        <v>1128</v>
      </c>
      <c r="B25" s="69" t="s">
        <v>1379</v>
      </c>
      <c r="C25" s="70" t="s">
        <v>1125</v>
      </c>
      <c r="D25" s="361"/>
      <c r="E25" s="71">
        <v>959</v>
      </c>
      <c r="F25" s="72">
        <f>E25*D25</f>
        <v>0</v>
      </c>
      <c r="G25" s="88">
        <f>C14</f>
        <v>0</v>
      </c>
      <c r="H25" s="73">
        <f t="shared" si="0"/>
        <v>0</v>
      </c>
      <c r="I25" s="65"/>
      <c r="J25" s="65"/>
      <c r="K25" s="65"/>
      <c r="L25" s="65"/>
      <c r="M25" s="66"/>
      <c r="N25" s="65"/>
    </row>
    <row r="26" spans="1:219">
      <c r="A26" s="68"/>
      <c r="B26" s="69"/>
      <c r="C26" s="69"/>
      <c r="D26" s="74"/>
      <c r="E26" s="75"/>
      <c r="F26" s="76"/>
      <c r="G26" s="461"/>
      <c r="H26" s="77"/>
      <c r="K26" s="65"/>
      <c r="L26" s="65"/>
      <c r="M26" s="66"/>
      <c r="N26" s="65"/>
    </row>
    <row r="27" spans="1:219" ht="25.5">
      <c r="A27" s="355"/>
      <c r="B27" s="356" t="s">
        <v>1368</v>
      </c>
      <c r="C27" s="356" t="s">
        <v>1094</v>
      </c>
      <c r="D27" s="356" t="s">
        <v>1095</v>
      </c>
      <c r="E27" s="356" t="s">
        <v>1122</v>
      </c>
      <c r="F27" s="356"/>
      <c r="G27" s="459"/>
      <c r="H27" s="357" t="s">
        <v>1121</v>
      </c>
      <c r="I27" s="65"/>
      <c r="J27" s="65"/>
      <c r="K27" s="65"/>
      <c r="L27" s="65"/>
      <c r="M27" s="66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</row>
    <row r="28" spans="1:219">
      <c r="A28" s="68"/>
      <c r="B28" s="363"/>
      <c r="C28" s="367"/>
      <c r="D28" s="364"/>
      <c r="E28" s="365">
        <v>0</v>
      </c>
      <c r="F28" s="78"/>
      <c r="G28" s="88"/>
      <c r="H28" s="77">
        <f>E28*D28</f>
        <v>0</v>
      </c>
    </row>
    <row r="29" spans="1:219">
      <c r="A29" s="68"/>
      <c r="B29" s="363"/>
      <c r="C29" s="364"/>
      <c r="D29" s="364"/>
      <c r="E29" s="365">
        <v>0</v>
      </c>
      <c r="F29" s="78"/>
      <c r="G29" s="88"/>
      <c r="H29" s="77">
        <f t="shared" ref="H29:H33" si="1">E29*D29</f>
        <v>0</v>
      </c>
    </row>
    <row r="30" spans="1:219">
      <c r="A30" s="68"/>
      <c r="B30" s="363"/>
      <c r="C30" s="364"/>
      <c r="D30" s="364"/>
      <c r="E30" s="365">
        <v>0</v>
      </c>
      <c r="F30" s="78"/>
      <c r="G30" s="88"/>
      <c r="H30" s="77">
        <f t="shared" si="1"/>
        <v>0</v>
      </c>
    </row>
    <row r="31" spans="1:219">
      <c r="A31" s="68"/>
      <c r="B31" s="363"/>
      <c r="C31" s="364"/>
      <c r="D31" s="364"/>
      <c r="E31" s="365">
        <v>0</v>
      </c>
      <c r="F31" s="78"/>
      <c r="G31" s="88"/>
      <c r="H31" s="77">
        <f t="shared" si="1"/>
        <v>0</v>
      </c>
    </row>
    <row r="32" spans="1:219">
      <c r="A32" s="68"/>
      <c r="B32" s="363"/>
      <c r="C32" s="364"/>
      <c r="D32" s="364"/>
      <c r="E32" s="365">
        <v>0</v>
      </c>
      <c r="F32" s="78"/>
      <c r="G32" s="88"/>
      <c r="H32" s="77">
        <f t="shared" si="1"/>
        <v>0</v>
      </c>
    </row>
    <row r="33" spans="1:218">
      <c r="A33" s="68"/>
      <c r="B33" s="363"/>
      <c r="C33" s="363"/>
      <c r="D33" s="364"/>
      <c r="E33" s="365">
        <v>0</v>
      </c>
      <c r="F33" s="78"/>
      <c r="G33" s="88"/>
      <c r="H33" s="77">
        <f t="shared" si="1"/>
        <v>0</v>
      </c>
    </row>
    <row r="34" spans="1:218">
      <c r="A34" s="79"/>
      <c r="B34" s="80"/>
      <c r="C34" s="80"/>
      <c r="D34" s="81"/>
      <c r="E34" s="82"/>
      <c r="F34" s="83"/>
      <c r="G34" s="83"/>
      <c r="H34" s="77"/>
    </row>
    <row r="35" spans="1:218" ht="25.5">
      <c r="A35" s="355" t="s">
        <v>1355</v>
      </c>
      <c r="B35" s="356"/>
      <c r="C35" s="356"/>
      <c r="D35" s="356"/>
      <c r="E35" s="258" t="s">
        <v>2012</v>
      </c>
      <c r="F35" s="356" t="s">
        <v>1353</v>
      </c>
      <c r="G35" s="459" t="s">
        <v>1687</v>
      </c>
      <c r="H35" s="357" t="s">
        <v>1121</v>
      </c>
      <c r="I35" s="65"/>
      <c r="J35" s="65"/>
      <c r="K35" s="65"/>
      <c r="L35" s="65"/>
      <c r="M35" s="66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</row>
    <row r="36" spans="1:218" ht="14.25">
      <c r="A36" s="68" t="s">
        <v>1133</v>
      </c>
      <c r="B36" s="69" t="s">
        <v>1350</v>
      </c>
      <c r="C36" s="69"/>
      <c r="D36" s="74"/>
      <c r="E36" s="455" t="s">
        <v>2013</v>
      </c>
      <c r="F36" s="366"/>
      <c r="G36" s="88">
        <f>C16</f>
        <v>0</v>
      </c>
      <c r="H36" s="73">
        <f t="shared" ref="H36:H37" si="2">G36*F36</f>
        <v>0</v>
      </c>
      <c r="I36" s="65"/>
      <c r="J36" s="65"/>
    </row>
    <row r="37" spans="1:218" ht="14.25">
      <c r="A37" s="68" t="s">
        <v>1133</v>
      </c>
      <c r="B37" s="69" t="s">
        <v>1350</v>
      </c>
      <c r="C37" s="69"/>
      <c r="D37" s="74"/>
      <c r="E37" s="575" t="s">
        <v>2078</v>
      </c>
      <c r="F37" s="366"/>
      <c r="G37" s="88">
        <f>C17</f>
        <v>0</v>
      </c>
      <c r="H37" s="73">
        <f t="shared" si="2"/>
        <v>0</v>
      </c>
      <c r="J37" s="65"/>
    </row>
    <row r="38" spans="1:218">
      <c r="B38" s="60"/>
      <c r="C38" s="60"/>
      <c r="D38" s="60"/>
      <c r="E38" s="60"/>
      <c r="F38" s="84" t="s">
        <v>5</v>
      </c>
      <c r="G38" s="462"/>
      <c r="H38" s="85">
        <f>SUM(H21:H37)</f>
        <v>0</v>
      </c>
      <c r="J38" s="65"/>
      <c r="M38" s="59"/>
    </row>
    <row r="39" spans="1:218" ht="15">
      <c r="A39" s="354" t="s">
        <v>1117</v>
      </c>
      <c r="J39" s="65"/>
    </row>
    <row r="40" spans="1:218" ht="14.25">
      <c r="A40" s="107" t="s">
        <v>2076</v>
      </c>
      <c r="J40" s="65"/>
    </row>
    <row r="41" spans="1:218" ht="14.25">
      <c r="A41" s="107" t="s">
        <v>1119</v>
      </c>
      <c r="J41" s="65"/>
    </row>
    <row r="42" spans="1:218">
      <c r="J42" s="65"/>
    </row>
    <row r="43" spans="1:218">
      <c r="J43" s="65"/>
    </row>
  </sheetData>
  <pageMargins left="0.7" right="0.7" top="0.75" bottom="0.75" header="0.3" footer="0.3"/>
  <pageSetup paperSize="9" scale="5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83E1-4971-4C28-BA9D-7A8CC6FE626C}">
  <sheetPr>
    <tabColor theme="0" tint="-0.14999847407452621"/>
  </sheetPr>
  <dimension ref="A1:M189"/>
  <sheetViews>
    <sheetView showGridLines="0" zoomScale="70" zoomScaleNormal="70" workbookViewId="0">
      <pane ySplit="10" topLeftCell="A11" activePane="bottomLeft" state="frozen"/>
      <selection activeCell="F30" sqref="F30"/>
      <selection pane="bottomLeft" activeCell="G46" sqref="G46"/>
    </sheetView>
  </sheetViews>
  <sheetFormatPr defaultRowHeight="12.75"/>
  <cols>
    <col min="1" max="1" width="9.28515625" bestFit="1" customWidth="1"/>
    <col min="2" max="2" width="16.85546875" bestFit="1" customWidth="1"/>
    <col min="3" max="3" width="27.7109375" bestFit="1" customWidth="1"/>
    <col min="5" max="5" width="30.5703125" bestFit="1" customWidth="1"/>
    <col min="6" max="6" width="13.28515625" customWidth="1"/>
    <col min="7" max="7" width="25" bestFit="1" customWidth="1"/>
    <col min="8" max="8" width="16" customWidth="1"/>
    <col min="9" max="9" width="17" bestFit="1" customWidth="1"/>
    <col min="10" max="10" width="12.28515625" customWidth="1"/>
    <col min="11" max="11" width="10.42578125" customWidth="1"/>
    <col min="12" max="12" width="15.7109375" customWidth="1"/>
    <col min="13" max="13" width="41.28515625" bestFit="1" customWidth="1"/>
    <col min="14" max="14" width="7.28515625" bestFit="1" customWidth="1"/>
  </cols>
  <sheetData>
    <row r="1" spans="1:13" ht="13.5">
      <c r="A1" s="642" t="s">
        <v>2</v>
      </c>
      <c r="B1" s="643"/>
      <c r="C1" s="187"/>
      <c r="D1" s="188"/>
      <c r="E1" s="27"/>
      <c r="F1" s="582"/>
      <c r="G1" s="685"/>
      <c r="H1" s="566"/>
      <c r="I1" s="566"/>
    </row>
    <row r="2" spans="1:13" ht="13.5">
      <c r="A2" s="195"/>
      <c r="B2" s="187"/>
      <c r="C2" s="193"/>
      <c r="D2" s="194"/>
      <c r="E2" s="195"/>
      <c r="F2" s="632"/>
      <c r="G2" s="685"/>
      <c r="H2" s="566"/>
      <c r="I2" s="566"/>
    </row>
    <row r="3" spans="1:13" ht="17.25">
      <c r="A3" s="472" t="s">
        <v>3</v>
      </c>
      <c r="B3" s="187"/>
      <c r="C3" s="241" t="str">
        <f>'1-Inschrijfstaat'!B3</f>
        <v>GVB Infra B.V.</v>
      </c>
      <c r="D3" s="194"/>
      <c r="E3" s="27"/>
      <c r="F3" s="582"/>
      <c r="G3" s="685"/>
      <c r="H3" s="566"/>
      <c r="I3" s="566"/>
    </row>
    <row r="4" spans="1:13" ht="17.25">
      <c r="A4" s="472" t="s">
        <v>8</v>
      </c>
      <c r="B4" s="187"/>
      <c r="C4" s="241" t="str">
        <f ca="1">MID(CELL("bestandsnaam",$B$9),SEARCH("]",CELL("bestandsnaam",$B$9),1)+1,256)</f>
        <v>12-Gelijkrichter stations</v>
      </c>
      <c r="D4" s="194"/>
      <c r="E4" s="27"/>
      <c r="F4" s="582"/>
      <c r="G4" s="685"/>
      <c r="H4" s="566"/>
      <c r="I4" s="566"/>
    </row>
    <row r="5" spans="1:13" ht="17.25">
      <c r="A5" s="472" t="s">
        <v>4</v>
      </c>
      <c r="B5" s="187"/>
      <c r="C5" s="241" t="str">
        <f>'1-Inschrijfstaat'!B5</f>
        <v>Diverse</v>
      </c>
      <c r="D5" s="194"/>
      <c r="E5" s="27"/>
      <c r="F5" s="582"/>
      <c r="G5" s="685"/>
      <c r="H5" s="566"/>
      <c r="I5" s="566"/>
    </row>
    <row r="6" spans="1:13" ht="17.25">
      <c r="A6" s="472" t="s">
        <v>9</v>
      </c>
      <c r="B6" s="187"/>
      <c r="C6" s="241" t="str">
        <f>'1-Inschrijfstaat'!B6</f>
        <v>2021-61</v>
      </c>
      <c r="D6" s="194"/>
      <c r="E6" s="27"/>
      <c r="F6" s="582"/>
      <c r="G6" s="685"/>
      <c r="H6" s="566"/>
      <c r="I6" s="566"/>
    </row>
    <row r="7" spans="1:13" ht="17.25">
      <c r="A7" s="472" t="s">
        <v>6</v>
      </c>
      <c r="B7" s="187"/>
      <c r="C7" s="241" t="str">
        <f>'1-Inschrijfstaat'!B7</f>
        <v>Naam dienstverlener</v>
      </c>
      <c r="D7" s="194"/>
      <c r="E7" s="27"/>
      <c r="F7" s="582"/>
      <c r="G7" s="685"/>
      <c r="H7" s="566"/>
      <c r="I7" s="566"/>
    </row>
    <row r="8" spans="1:13" ht="15.75">
      <c r="A8" s="472" t="s">
        <v>7</v>
      </c>
      <c r="B8" s="187"/>
      <c r="C8" s="11" t="str">
        <f>'1-Inschrijfstaat'!B8</f>
        <v>1 januari 2022</v>
      </c>
      <c r="D8" s="194"/>
      <c r="E8" s="27"/>
      <c r="F8" s="582"/>
      <c r="G8" s="685"/>
      <c r="H8" s="566"/>
      <c r="I8" s="566"/>
    </row>
    <row r="9" spans="1:13" ht="15">
      <c r="A9" s="473" t="s">
        <v>0</v>
      </c>
      <c r="B9" s="187"/>
      <c r="C9" s="202" t="str">
        <f>'1-Inschrijfstaat'!B9</f>
        <v>1 Technische schoonmaak Algemeen</v>
      </c>
      <c r="D9" s="203"/>
      <c r="E9" s="27"/>
      <c r="F9" s="582"/>
      <c r="G9" s="685"/>
      <c r="H9" s="566"/>
      <c r="I9" s="566"/>
    </row>
    <row r="10" spans="1:13" ht="13.5">
      <c r="A10" s="204"/>
      <c r="B10" s="205"/>
      <c r="C10" s="27"/>
      <c r="D10" s="206"/>
      <c r="E10" s="27"/>
      <c r="F10" s="633"/>
      <c r="G10" s="685"/>
      <c r="H10" s="566"/>
      <c r="I10" s="566"/>
    </row>
    <row r="11" spans="1:13" s="147" customFormat="1" ht="13.5">
      <c r="F11" s="634"/>
      <c r="G11" s="634"/>
      <c r="H11" s="634"/>
      <c r="I11" s="634"/>
      <c r="M11"/>
    </row>
    <row r="12" spans="1:13" s="147" customFormat="1" ht="25.5">
      <c r="A12" s="479" t="s">
        <v>1690</v>
      </c>
      <c r="B12" s="479"/>
      <c r="C12" s="465" t="s">
        <v>2012</v>
      </c>
      <c r="D12" s="465" t="s">
        <v>1687</v>
      </c>
      <c r="M12"/>
    </row>
    <row r="13" spans="1:13" s="147" customFormat="1" ht="13.5">
      <c r="A13" s="167" t="s">
        <v>1688</v>
      </c>
      <c r="B13" s="480"/>
      <c r="C13" s="455" t="s">
        <v>2013</v>
      </c>
      <c r="D13" s="265">
        <v>0</v>
      </c>
      <c r="M13"/>
    </row>
    <row r="15" spans="1:13" ht="51" customHeight="1">
      <c r="A15" s="464" t="s">
        <v>289</v>
      </c>
      <c r="B15" s="490" t="s">
        <v>2045</v>
      </c>
      <c r="C15" s="493"/>
      <c r="D15" s="493"/>
      <c r="E15" s="493"/>
      <c r="F15" s="481" t="s">
        <v>2039</v>
      </c>
      <c r="G15" s="481" t="s">
        <v>2040</v>
      </c>
      <c r="H15" s="464" t="s">
        <v>2041</v>
      </c>
      <c r="I15" s="464" t="s">
        <v>2042</v>
      </c>
      <c r="J15" s="464" t="s">
        <v>2043</v>
      </c>
      <c r="K15" s="639" t="s">
        <v>1687</v>
      </c>
      <c r="L15" s="464" t="s">
        <v>2044</v>
      </c>
    </row>
    <row r="16" spans="1:13" ht="13.5">
      <c r="A16" s="28">
        <v>401</v>
      </c>
      <c r="B16" s="491" t="s">
        <v>1537</v>
      </c>
      <c r="C16" s="494"/>
      <c r="D16" s="494"/>
      <c r="E16" s="494"/>
      <c r="F16" s="482">
        <f t="shared" ref="F16:F31" si="0">SUMIFS($J$40:$J$185,$A$40:$A$185,$A16,$I$40:$I$185,12)</f>
        <v>39</v>
      </c>
      <c r="G16" s="500">
        <f t="shared" ref="G16:G31" si="1">SUMIFS($J$40:$J$185,$A$40:$A$185,$A16,$I$40:$I$185,2)</f>
        <v>162</v>
      </c>
      <c r="H16" s="483"/>
      <c r="I16" s="483"/>
      <c r="J16" s="484">
        <f t="shared" ref="J16:J31" si="2">(H16*12)+(I16*2)</f>
        <v>0</v>
      </c>
      <c r="K16" s="236">
        <f t="shared" ref="K16:K31" si="3">$D$13</f>
        <v>0</v>
      </c>
      <c r="L16" s="236">
        <f>K16*J16</f>
        <v>0</v>
      </c>
    </row>
    <row r="17" spans="1:12" ht="13.5">
      <c r="A17" s="28">
        <v>402</v>
      </c>
      <c r="B17" s="491" t="s">
        <v>288</v>
      </c>
      <c r="C17" s="494"/>
      <c r="D17" s="494"/>
      <c r="E17" s="494"/>
      <c r="F17" s="482">
        <f t="shared" si="0"/>
        <v>41</v>
      </c>
      <c r="G17" s="500">
        <f t="shared" si="1"/>
        <v>188</v>
      </c>
      <c r="H17" s="483"/>
      <c r="I17" s="483"/>
      <c r="J17" s="484">
        <f t="shared" si="2"/>
        <v>0</v>
      </c>
      <c r="K17" s="236">
        <f t="shared" si="3"/>
        <v>0</v>
      </c>
      <c r="L17" s="236">
        <f t="shared" ref="L17:L31" si="4">K17*J17</f>
        <v>0</v>
      </c>
    </row>
    <row r="18" spans="1:12" ht="13.5">
      <c r="A18" s="28">
        <v>403</v>
      </c>
      <c r="B18" s="491" t="s">
        <v>103</v>
      </c>
      <c r="C18" s="494"/>
      <c r="D18" s="494"/>
      <c r="E18" s="494"/>
      <c r="F18" s="482">
        <f t="shared" si="0"/>
        <v>0</v>
      </c>
      <c r="G18" s="500">
        <f t="shared" si="1"/>
        <v>351</v>
      </c>
      <c r="H18" s="484"/>
      <c r="I18" s="483"/>
      <c r="J18" s="484">
        <f t="shared" si="2"/>
        <v>0</v>
      </c>
      <c r="K18" s="236">
        <f t="shared" si="3"/>
        <v>0</v>
      </c>
      <c r="L18" s="236">
        <f t="shared" si="4"/>
        <v>0</v>
      </c>
    </row>
    <row r="19" spans="1:12" ht="13.5">
      <c r="A19" s="28">
        <v>404</v>
      </c>
      <c r="B19" s="491" t="s">
        <v>140</v>
      </c>
      <c r="C19" s="494"/>
      <c r="D19" s="494"/>
      <c r="E19" s="494"/>
      <c r="F19" s="482">
        <f t="shared" si="0"/>
        <v>0</v>
      </c>
      <c r="G19" s="500">
        <f t="shared" si="1"/>
        <v>105</v>
      </c>
      <c r="H19" s="484"/>
      <c r="I19" s="483"/>
      <c r="J19" s="484">
        <f t="shared" si="2"/>
        <v>0</v>
      </c>
      <c r="K19" s="236">
        <f t="shared" si="3"/>
        <v>0</v>
      </c>
      <c r="L19" s="236">
        <f t="shared" si="4"/>
        <v>0</v>
      </c>
    </row>
    <row r="20" spans="1:12" ht="13.5">
      <c r="A20" s="28">
        <v>405</v>
      </c>
      <c r="B20" s="491" t="s">
        <v>1645</v>
      </c>
      <c r="C20" s="494"/>
      <c r="D20" s="494"/>
      <c r="E20" s="494"/>
      <c r="F20" s="482">
        <f t="shared" si="0"/>
        <v>41</v>
      </c>
      <c r="G20" s="500">
        <f t="shared" si="1"/>
        <v>160</v>
      </c>
      <c r="H20" s="483"/>
      <c r="I20" s="483"/>
      <c r="J20" s="484">
        <f t="shared" si="2"/>
        <v>0</v>
      </c>
      <c r="K20" s="236">
        <f t="shared" si="3"/>
        <v>0</v>
      </c>
      <c r="L20" s="236">
        <f t="shared" si="4"/>
        <v>0</v>
      </c>
    </row>
    <row r="21" spans="1:12" ht="13.5">
      <c r="A21" s="28">
        <v>406</v>
      </c>
      <c r="B21" s="491" t="s">
        <v>300</v>
      </c>
      <c r="C21" s="494"/>
      <c r="D21" s="494"/>
      <c r="E21" s="494"/>
      <c r="F21" s="482">
        <f t="shared" si="0"/>
        <v>41</v>
      </c>
      <c r="G21" s="500">
        <f t="shared" si="1"/>
        <v>172</v>
      </c>
      <c r="H21" s="483"/>
      <c r="I21" s="483"/>
      <c r="J21" s="484">
        <f t="shared" si="2"/>
        <v>0</v>
      </c>
      <c r="K21" s="236">
        <f t="shared" si="3"/>
        <v>0</v>
      </c>
      <c r="L21" s="236">
        <f t="shared" si="4"/>
        <v>0</v>
      </c>
    </row>
    <row r="22" spans="1:12" ht="13.5">
      <c r="A22" s="28">
        <v>407</v>
      </c>
      <c r="B22" s="491" t="s">
        <v>198</v>
      </c>
      <c r="C22" s="494"/>
      <c r="D22" s="494"/>
      <c r="E22" s="494"/>
      <c r="F22" s="482">
        <f t="shared" si="0"/>
        <v>41</v>
      </c>
      <c r="G22" s="500">
        <f t="shared" si="1"/>
        <v>188</v>
      </c>
      <c r="H22" s="483"/>
      <c r="I22" s="483"/>
      <c r="J22" s="484">
        <f t="shared" si="2"/>
        <v>0</v>
      </c>
      <c r="K22" s="236">
        <f t="shared" si="3"/>
        <v>0</v>
      </c>
      <c r="L22" s="236">
        <f t="shared" si="4"/>
        <v>0</v>
      </c>
    </row>
    <row r="23" spans="1:12" ht="13.5">
      <c r="A23" s="28">
        <v>408</v>
      </c>
      <c r="B23" s="491" t="s">
        <v>237</v>
      </c>
      <c r="C23" s="494"/>
      <c r="D23" s="494"/>
      <c r="E23" s="494"/>
      <c r="F23" s="482">
        <f t="shared" si="0"/>
        <v>42</v>
      </c>
      <c r="G23" s="500">
        <f t="shared" si="1"/>
        <v>168</v>
      </c>
      <c r="H23" s="483"/>
      <c r="I23" s="483"/>
      <c r="J23" s="484">
        <f t="shared" si="2"/>
        <v>0</v>
      </c>
      <c r="K23" s="236">
        <f t="shared" si="3"/>
        <v>0</v>
      </c>
      <c r="L23" s="236">
        <f t="shared" si="4"/>
        <v>0</v>
      </c>
    </row>
    <row r="24" spans="1:12" ht="13.5">
      <c r="A24" s="28">
        <v>409</v>
      </c>
      <c r="B24" s="491" t="s">
        <v>133</v>
      </c>
      <c r="C24" s="494"/>
      <c r="D24" s="494"/>
      <c r="E24" s="494"/>
      <c r="F24" s="482">
        <f t="shared" si="0"/>
        <v>0</v>
      </c>
      <c r="G24" s="500">
        <f t="shared" si="1"/>
        <v>0</v>
      </c>
      <c r="H24" s="484"/>
      <c r="I24" s="484"/>
      <c r="J24" s="484">
        <f t="shared" si="2"/>
        <v>0</v>
      </c>
      <c r="K24" s="236">
        <f t="shared" si="3"/>
        <v>0</v>
      </c>
      <c r="L24" s="236">
        <f t="shared" si="4"/>
        <v>0</v>
      </c>
    </row>
    <row r="25" spans="1:12" ht="13.5">
      <c r="A25" s="28">
        <v>410</v>
      </c>
      <c r="B25" s="491" t="s">
        <v>1655</v>
      </c>
      <c r="C25" s="494"/>
      <c r="D25" s="494"/>
      <c r="E25" s="494"/>
      <c r="F25" s="482">
        <f t="shared" si="0"/>
        <v>0</v>
      </c>
      <c r="G25" s="500">
        <f t="shared" si="1"/>
        <v>37</v>
      </c>
      <c r="H25" s="484"/>
      <c r="I25" s="483"/>
      <c r="J25" s="484">
        <f t="shared" si="2"/>
        <v>0</v>
      </c>
      <c r="K25" s="236">
        <f t="shared" si="3"/>
        <v>0</v>
      </c>
      <c r="L25" s="236">
        <f t="shared" si="4"/>
        <v>0</v>
      </c>
    </row>
    <row r="26" spans="1:12" ht="13.5">
      <c r="A26" s="28">
        <v>411</v>
      </c>
      <c r="B26" s="491" t="s">
        <v>1658</v>
      </c>
      <c r="C26" s="494"/>
      <c r="D26" s="494"/>
      <c r="E26" s="494"/>
      <c r="F26" s="482">
        <f t="shared" si="0"/>
        <v>0</v>
      </c>
      <c r="G26" s="500">
        <f t="shared" si="1"/>
        <v>33</v>
      </c>
      <c r="H26" s="484"/>
      <c r="I26" s="483"/>
      <c r="J26" s="484">
        <f t="shared" si="2"/>
        <v>0</v>
      </c>
      <c r="K26" s="236">
        <f t="shared" si="3"/>
        <v>0</v>
      </c>
      <c r="L26" s="236">
        <f t="shared" si="4"/>
        <v>0</v>
      </c>
    </row>
    <row r="27" spans="1:12" ht="13.5">
      <c r="A27" s="28">
        <v>412</v>
      </c>
      <c r="B27" s="491" t="s">
        <v>1660</v>
      </c>
      <c r="C27" s="494"/>
      <c r="D27" s="494"/>
      <c r="E27" s="494"/>
      <c r="F27" s="482">
        <f t="shared" si="0"/>
        <v>0</v>
      </c>
      <c r="G27" s="500">
        <f t="shared" si="1"/>
        <v>129</v>
      </c>
      <c r="H27" s="484"/>
      <c r="I27" s="483"/>
      <c r="J27" s="484">
        <f t="shared" si="2"/>
        <v>0</v>
      </c>
      <c r="K27" s="236">
        <f t="shared" si="3"/>
        <v>0</v>
      </c>
      <c r="L27" s="236">
        <f t="shared" si="4"/>
        <v>0</v>
      </c>
    </row>
    <row r="28" spans="1:12" ht="13.5">
      <c r="A28" s="28">
        <v>413</v>
      </c>
      <c r="B28" s="491" t="s">
        <v>1401</v>
      </c>
      <c r="C28" s="494"/>
      <c r="D28" s="494"/>
      <c r="E28" s="494"/>
      <c r="F28" s="482">
        <f t="shared" si="0"/>
        <v>0</v>
      </c>
      <c r="G28" s="500">
        <f t="shared" si="1"/>
        <v>42</v>
      </c>
      <c r="H28" s="484"/>
      <c r="I28" s="483"/>
      <c r="J28" s="484">
        <f t="shared" si="2"/>
        <v>0</v>
      </c>
      <c r="K28" s="236">
        <f t="shared" si="3"/>
        <v>0</v>
      </c>
      <c r="L28" s="236">
        <f t="shared" si="4"/>
        <v>0</v>
      </c>
    </row>
    <row r="29" spans="1:12" ht="13.5">
      <c r="A29" s="28">
        <v>414</v>
      </c>
      <c r="B29" s="491" t="s">
        <v>1402</v>
      </c>
      <c r="C29" s="494"/>
      <c r="D29" s="494"/>
      <c r="E29" s="494"/>
      <c r="F29" s="482">
        <f t="shared" si="0"/>
        <v>0</v>
      </c>
      <c r="G29" s="500">
        <f t="shared" si="1"/>
        <v>41</v>
      </c>
      <c r="H29" s="484"/>
      <c r="I29" s="483"/>
      <c r="J29" s="484">
        <f t="shared" si="2"/>
        <v>0</v>
      </c>
      <c r="K29" s="236">
        <f t="shared" si="3"/>
        <v>0</v>
      </c>
      <c r="L29" s="236">
        <f t="shared" si="4"/>
        <v>0</v>
      </c>
    </row>
    <row r="30" spans="1:12" ht="13.5">
      <c r="A30" s="290">
        <v>415</v>
      </c>
      <c r="B30" s="498" t="s">
        <v>1411</v>
      </c>
      <c r="C30" s="499"/>
      <c r="D30" s="499"/>
      <c r="E30" s="499"/>
      <c r="F30" s="482">
        <f t="shared" si="0"/>
        <v>0</v>
      </c>
      <c r="G30" s="500">
        <f t="shared" si="1"/>
        <v>42</v>
      </c>
      <c r="H30" s="501"/>
      <c r="I30" s="483"/>
      <c r="J30" s="501">
        <f t="shared" ref="J30" si="5">(H30*12)+(I30*2)</f>
        <v>0</v>
      </c>
      <c r="K30" s="502">
        <f t="shared" si="3"/>
        <v>0</v>
      </c>
      <c r="L30" s="502">
        <f t="shared" ref="L30" si="6">K30*J30</f>
        <v>0</v>
      </c>
    </row>
    <row r="31" spans="1:12" ht="14.25" thickBot="1">
      <c r="A31" s="290">
        <v>421</v>
      </c>
      <c r="B31" s="498" t="s">
        <v>2064</v>
      </c>
      <c r="C31" s="499"/>
      <c r="D31" s="499"/>
      <c r="E31" s="499"/>
      <c r="F31" s="482">
        <f t="shared" si="0"/>
        <v>0</v>
      </c>
      <c r="G31" s="500">
        <f t="shared" si="1"/>
        <v>91</v>
      </c>
      <c r="H31" s="501"/>
      <c r="I31" s="641"/>
      <c r="J31" s="501">
        <f t="shared" si="2"/>
        <v>0</v>
      </c>
      <c r="K31" s="502">
        <f t="shared" si="3"/>
        <v>0</v>
      </c>
      <c r="L31" s="502">
        <f t="shared" si="4"/>
        <v>0</v>
      </c>
    </row>
    <row r="32" spans="1:12" ht="14.25" thickBot="1">
      <c r="A32" s="485"/>
      <c r="B32" s="492" t="s">
        <v>2006</v>
      </c>
      <c r="C32" s="495"/>
      <c r="D32" s="495"/>
      <c r="E32" s="495"/>
      <c r="F32" s="486">
        <f>SUM(F16:F31)</f>
        <v>245</v>
      </c>
      <c r="G32" s="486">
        <f>SUM(G16:G31)</f>
        <v>1909</v>
      </c>
      <c r="H32" s="487">
        <f>SUM(H16:H31)</f>
        <v>0</v>
      </c>
      <c r="I32" s="487">
        <f>SUM(I16:I31)</f>
        <v>0</v>
      </c>
      <c r="J32" s="487">
        <f>SUM(J16:J31)</f>
        <v>0</v>
      </c>
      <c r="K32" s="488"/>
      <c r="L32" s="489">
        <f>SUM(L16:L31)</f>
        <v>0</v>
      </c>
    </row>
    <row r="33" spans="1:12" ht="13.5">
      <c r="A33" s="582"/>
      <c r="B33" s="582"/>
      <c r="C33" s="582"/>
      <c r="D33" s="582"/>
      <c r="E33" s="582"/>
      <c r="F33" s="583"/>
      <c r="G33" s="583"/>
      <c r="H33" s="584"/>
      <c r="I33" s="584"/>
      <c r="J33" s="584"/>
      <c r="K33" s="585"/>
      <c r="L33" s="586"/>
    </row>
    <row r="34" spans="1:12" ht="15">
      <c r="A34" s="354" t="s">
        <v>1117</v>
      </c>
      <c r="B34" s="582"/>
      <c r="C34" s="582"/>
      <c r="D34" s="582"/>
      <c r="E34" s="582"/>
      <c r="F34" s="583"/>
      <c r="G34" s="583"/>
      <c r="H34" s="584"/>
      <c r="I34" s="584"/>
      <c r="J34" s="584"/>
      <c r="K34" s="585"/>
      <c r="L34" s="585"/>
    </row>
    <row r="35" spans="1:12" ht="13.5">
      <c r="A35" s="107" t="s">
        <v>2076</v>
      </c>
      <c r="C35" s="477"/>
      <c r="D35" s="477"/>
      <c r="E35" s="478"/>
      <c r="F35" s="478"/>
      <c r="G35" s="478"/>
    </row>
    <row r="36" spans="1:12" ht="13.5">
      <c r="A36" s="107" t="s">
        <v>1119</v>
      </c>
      <c r="C36" s="477"/>
      <c r="D36" s="477"/>
      <c r="E36" s="478"/>
      <c r="F36" s="478"/>
      <c r="G36" s="478"/>
    </row>
    <row r="37" spans="1:12" ht="13.5">
      <c r="A37" s="107"/>
      <c r="C37" s="477"/>
      <c r="D37" s="477"/>
      <c r="E37" s="478"/>
      <c r="F37" s="478"/>
      <c r="G37" s="478"/>
    </row>
    <row r="38" spans="1:12" ht="15">
      <c r="A38" s="472" t="s">
        <v>2038</v>
      </c>
    </row>
    <row r="39" spans="1:12" ht="25.5">
      <c r="A39" s="257" t="s">
        <v>289</v>
      </c>
      <c r="B39" s="257" t="s">
        <v>290</v>
      </c>
      <c r="C39" s="257" t="s">
        <v>13</v>
      </c>
      <c r="D39" s="257" t="s">
        <v>179</v>
      </c>
      <c r="E39" s="257" t="s">
        <v>1076</v>
      </c>
      <c r="F39" s="257" t="s">
        <v>1686</v>
      </c>
      <c r="G39" s="257" t="s">
        <v>2029</v>
      </c>
      <c r="H39" s="257" t="s">
        <v>1077</v>
      </c>
      <c r="I39" s="257" t="s">
        <v>2030</v>
      </c>
      <c r="J39" s="257" t="s">
        <v>2031</v>
      </c>
    </row>
    <row r="40" spans="1:12" ht="13.5">
      <c r="A40" s="648">
        <v>401</v>
      </c>
      <c r="B40" s="622" t="s">
        <v>1537</v>
      </c>
      <c r="C40" s="649" t="s">
        <v>1538</v>
      </c>
      <c r="D40" s="650"/>
      <c r="E40" s="628" t="s">
        <v>1608</v>
      </c>
      <c r="F40" s="637" t="s">
        <v>1801</v>
      </c>
      <c r="G40" s="653" t="s">
        <v>2033</v>
      </c>
      <c r="H40" s="654" t="s">
        <v>176</v>
      </c>
      <c r="I40" s="654">
        <v>12</v>
      </c>
      <c r="J40" s="651">
        <v>12</v>
      </c>
    </row>
    <row r="41" spans="1:12" ht="13.5">
      <c r="A41" s="648">
        <v>401</v>
      </c>
      <c r="B41" s="622" t="s">
        <v>1537</v>
      </c>
      <c r="C41" s="649" t="s">
        <v>1538</v>
      </c>
      <c r="D41" s="650"/>
      <c r="E41" s="628" t="s">
        <v>1591</v>
      </c>
      <c r="F41" s="637" t="s">
        <v>1747</v>
      </c>
      <c r="G41" s="653" t="s">
        <v>2034</v>
      </c>
      <c r="H41" s="654" t="s">
        <v>176</v>
      </c>
      <c r="I41" s="654">
        <v>12</v>
      </c>
      <c r="J41" s="651">
        <v>3</v>
      </c>
    </row>
    <row r="42" spans="1:12" ht="13.5">
      <c r="A42" s="648">
        <v>401</v>
      </c>
      <c r="B42" s="622" t="s">
        <v>1537</v>
      </c>
      <c r="C42" s="649" t="s">
        <v>1538</v>
      </c>
      <c r="D42" s="650"/>
      <c r="E42" s="628" t="s">
        <v>291</v>
      </c>
      <c r="F42" s="637" t="s">
        <v>16</v>
      </c>
      <c r="G42" s="653" t="s">
        <v>2035</v>
      </c>
      <c r="H42" s="654" t="s">
        <v>176</v>
      </c>
      <c r="I42" s="654">
        <v>12</v>
      </c>
      <c r="J42" s="651">
        <v>16</v>
      </c>
    </row>
    <row r="43" spans="1:12" ht="13.5">
      <c r="A43" s="648">
        <v>401</v>
      </c>
      <c r="B43" s="622" t="s">
        <v>1537</v>
      </c>
      <c r="C43" s="649" t="s">
        <v>1538</v>
      </c>
      <c r="D43" s="650"/>
      <c r="E43" s="628" t="s">
        <v>1609</v>
      </c>
      <c r="F43" s="637" t="s">
        <v>1899</v>
      </c>
      <c r="G43" s="653" t="s">
        <v>2142</v>
      </c>
      <c r="H43" s="654" t="s">
        <v>176</v>
      </c>
      <c r="I43" s="654">
        <v>2</v>
      </c>
      <c r="J43" s="651">
        <v>12</v>
      </c>
    </row>
    <row r="44" spans="1:12" ht="13.5">
      <c r="A44" s="648">
        <v>401</v>
      </c>
      <c r="B44" s="622" t="s">
        <v>1537</v>
      </c>
      <c r="C44" s="649" t="s">
        <v>1538</v>
      </c>
      <c r="D44" s="650"/>
      <c r="E44" s="628" t="s">
        <v>1610</v>
      </c>
      <c r="F44" s="637" t="s">
        <v>1900</v>
      </c>
      <c r="G44" s="653" t="s">
        <v>2142</v>
      </c>
      <c r="H44" s="654" t="s">
        <v>176</v>
      </c>
      <c r="I44" s="654">
        <v>2</v>
      </c>
      <c r="J44" s="651">
        <v>5</v>
      </c>
    </row>
    <row r="45" spans="1:12" ht="13.5">
      <c r="A45" s="648">
        <v>401</v>
      </c>
      <c r="B45" s="622" t="s">
        <v>1537</v>
      </c>
      <c r="C45" s="649" t="s">
        <v>1538</v>
      </c>
      <c r="D45" s="650"/>
      <c r="E45" s="628" t="s">
        <v>1565</v>
      </c>
      <c r="F45" s="637" t="s">
        <v>1833</v>
      </c>
      <c r="G45" s="653" t="s">
        <v>2142</v>
      </c>
      <c r="H45" s="654" t="s">
        <v>176</v>
      </c>
      <c r="I45" s="654">
        <v>2</v>
      </c>
      <c r="J45" s="651">
        <v>6</v>
      </c>
    </row>
    <row r="46" spans="1:12" ht="13.5">
      <c r="A46" s="648">
        <v>401</v>
      </c>
      <c r="B46" s="622" t="s">
        <v>1537</v>
      </c>
      <c r="C46" s="649" t="s">
        <v>1538</v>
      </c>
      <c r="D46" s="650"/>
      <c r="E46" s="628" t="s">
        <v>1611</v>
      </c>
      <c r="F46" s="637" t="s">
        <v>1901</v>
      </c>
      <c r="G46" s="653" t="s">
        <v>2142</v>
      </c>
      <c r="H46" s="654" t="s">
        <v>176</v>
      </c>
      <c r="I46" s="654">
        <v>2</v>
      </c>
      <c r="J46" s="651">
        <v>7</v>
      </c>
    </row>
    <row r="47" spans="1:12" ht="13.5">
      <c r="A47" s="648">
        <v>401</v>
      </c>
      <c r="B47" s="622" t="s">
        <v>1537</v>
      </c>
      <c r="C47" s="649" t="s">
        <v>1538</v>
      </c>
      <c r="D47" s="650"/>
      <c r="E47" s="628" t="s">
        <v>1611</v>
      </c>
      <c r="F47" s="637" t="s">
        <v>1902</v>
      </c>
      <c r="G47" s="653" t="s">
        <v>2142</v>
      </c>
      <c r="H47" s="654" t="s">
        <v>176</v>
      </c>
      <c r="I47" s="654">
        <v>2</v>
      </c>
      <c r="J47" s="651">
        <v>16</v>
      </c>
    </row>
    <row r="48" spans="1:12" ht="13.5">
      <c r="A48" s="648">
        <v>401</v>
      </c>
      <c r="B48" s="622" t="s">
        <v>1537</v>
      </c>
      <c r="C48" s="649" t="s">
        <v>1538</v>
      </c>
      <c r="D48" s="650"/>
      <c r="E48" s="628"/>
      <c r="F48" s="637" t="s">
        <v>1903</v>
      </c>
      <c r="G48" s="653" t="s">
        <v>2142</v>
      </c>
      <c r="H48" s="654" t="s">
        <v>176</v>
      </c>
      <c r="I48" s="654">
        <v>2</v>
      </c>
      <c r="J48" s="651">
        <v>85</v>
      </c>
    </row>
    <row r="49" spans="1:10" ht="13.5">
      <c r="A49" s="648">
        <v>401</v>
      </c>
      <c r="B49" s="622" t="s">
        <v>1537</v>
      </c>
      <c r="C49" s="649" t="s">
        <v>1538</v>
      </c>
      <c r="D49" s="650"/>
      <c r="E49" s="628" t="s">
        <v>291</v>
      </c>
      <c r="F49" s="637" t="s">
        <v>182</v>
      </c>
      <c r="G49" s="653" t="s">
        <v>2035</v>
      </c>
      <c r="H49" s="654" t="s">
        <v>176</v>
      </c>
      <c r="I49" s="654">
        <v>12</v>
      </c>
      <c r="J49" s="651">
        <v>6</v>
      </c>
    </row>
    <row r="50" spans="1:10" ht="13.5">
      <c r="A50" s="648">
        <v>401</v>
      </c>
      <c r="B50" s="622" t="s">
        <v>1537</v>
      </c>
      <c r="C50" s="649" t="s">
        <v>1538</v>
      </c>
      <c r="D50" s="650"/>
      <c r="E50" s="628" t="s">
        <v>1612</v>
      </c>
      <c r="F50" s="637" t="s">
        <v>1904</v>
      </c>
      <c r="G50" s="653" t="s">
        <v>2036</v>
      </c>
      <c r="H50" s="654" t="s">
        <v>176</v>
      </c>
      <c r="I50" s="654">
        <v>12</v>
      </c>
      <c r="J50" s="651">
        <v>2</v>
      </c>
    </row>
    <row r="51" spans="1:10" ht="13.5">
      <c r="A51" s="648">
        <v>401</v>
      </c>
      <c r="B51" s="622" t="s">
        <v>1537</v>
      </c>
      <c r="C51" s="649" t="s">
        <v>1538</v>
      </c>
      <c r="D51" s="650"/>
      <c r="E51" s="628" t="s">
        <v>1613</v>
      </c>
      <c r="F51" s="637" t="s">
        <v>183</v>
      </c>
      <c r="G51" s="653" t="s">
        <v>2142</v>
      </c>
      <c r="H51" s="654" t="s">
        <v>12</v>
      </c>
      <c r="I51" s="654">
        <v>2</v>
      </c>
      <c r="J51" s="651">
        <v>4</v>
      </c>
    </row>
    <row r="52" spans="1:10" ht="13.5">
      <c r="A52" s="648">
        <v>401</v>
      </c>
      <c r="B52" s="622" t="s">
        <v>1537</v>
      </c>
      <c r="C52" s="649" t="s">
        <v>1538</v>
      </c>
      <c r="D52" s="650"/>
      <c r="E52" s="628" t="s">
        <v>1611</v>
      </c>
      <c r="F52" s="637" t="s">
        <v>1905</v>
      </c>
      <c r="G52" s="653" t="s">
        <v>2142</v>
      </c>
      <c r="H52" s="654" t="s">
        <v>12</v>
      </c>
      <c r="I52" s="654">
        <v>2</v>
      </c>
      <c r="J52" s="651">
        <v>27</v>
      </c>
    </row>
    <row r="53" spans="1:10" ht="13.5">
      <c r="A53" s="648">
        <v>401</v>
      </c>
      <c r="B53" s="622" t="s">
        <v>1537</v>
      </c>
      <c r="C53" s="649" t="s">
        <v>1538</v>
      </c>
      <c r="D53" s="650"/>
      <c r="E53" s="628" t="s">
        <v>1611</v>
      </c>
      <c r="F53" s="637" t="s">
        <v>1906</v>
      </c>
      <c r="G53" s="653" t="s">
        <v>2032</v>
      </c>
      <c r="H53" s="654" t="s">
        <v>12</v>
      </c>
      <c r="I53" s="654">
        <v>0</v>
      </c>
      <c r="J53" s="651">
        <v>12</v>
      </c>
    </row>
    <row r="54" spans="1:10" ht="13.5">
      <c r="A54" s="648">
        <v>401</v>
      </c>
      <c r="B54" s="622" t="s">
        <v>1537</v>
      </c>
      <c r="C54" s="649" t="s">
        <v>1538</v>
      </c>
      <c r="D54" s="650"/>
      <c r="E54" s="628" t="s">
        <v>1611</v>
      </c>
      <c r="F54" s="637" t="s">
        <v>1907</v>
      </c>
      <c r="G54" s="653" t="s">
        <v>2032</v>
      </c>
      <c r="H54" s="654" t="s">
        <v>12</v>
      </c>
      <c r="I54" s="654">
        <v>0</v>
      </c>
      <c r="J54" s="651">
        <v>12</v>
      </c>
    </row>
    <row r="55" spans="1:10" ht="13.5">
      <c r="A55" s="648">
        <v>401</v>
      </c>
      <c r="B55" s="622" t="s">
        <v>1537</v>
      </c>
      <c r="C55" s="649" t="s">
        <v>1538</v>
      </c>
      <c r="D55" s="650"/>
      <c r="E55" s="628" t="s">
        <v>319</v>
      </c>
      <c r="F55" s="637" t="s">
        <v>1908</v>
      </c>
      <c r="G55" s="653" t="s">
        <v>2032</v>
      </c>
      <c r="H55" s="654" t="s">
        <v>12</v>
      </c>
      <c r="I55" s="654">
        <v>0</v>
      </c>
      <c r="J55" s="651">
        <v>12</v>
      </c>
    </row>
    <row r="56" spans="1:10" ht="13.5">
      <c r="A56" s="648">
        <v>402</v>
      </c>
      <c r="B56" s="622" t="s">
        <v>288</v>
      </c>
      <c r="C56" s="649" t="s">
        <v>1538</v>
      </c>
      <c r="D56" s="650"/>
      <c r="E56" s="628" t="s">
        <v>111</v>
      </c>
      <c r="F56" s="637" t="s">
        <v>1482</v>
      </c>
      <c r="G56" s="653" t="s">
        <v>2035</v>
      </c>
      <c r="H56" s="654" t="s">
        <v>160</v>
      </c>
      <c r="I56" s="654">
        <v>12</v>
      </c>
      <c r="J56" s="651">
        <v>19</v>
      </c>
    </row>
    <row r="57" spans="1:10" ht="13.5">
      <c r="A57" s="648">
        <v>402</v>
      </c>
      <c r="B57" s="622" t="s">
        <v>288</v>
      </c>
      <c r="C57" s="649" t="s">
        <v>1538</v>
      </c>
      <c r="D57" s="650"/>
      <c r="E57" s="628" t="s">
        <v>1614</v>
      </c>
      <c r="F57" s="637" t="s">
        <v>1486</v>
      </c>
      <c r="G57" s="653" t="s">
        <v>2033</v>
      </c>
      <c r="H57" s="654" t="s">
        <v>160</v>
      </c>
      <c r="I57" s="654">
        <v>12</v>
      </c>
      <c r="J57" s="651">
        <v>12</v>
      </c>
    </row>
    <row r="58" spans="1:10" ht="13.5">
      <c r="A58" s="648">
        <v>402</v>
      </c>
      <c r="B58" s="622" t="s">
        <v>288</v>
      </c>
      <c r="C58" s="649" t="s">
        <v>1538</v>
      </c>
      <c r="D58" s="650"/>
      <c r="E58" s="628" t="s">
        <v>308</v>
      </c>
      <c r="F58" s="637" t="s">
        <v>1615</v>
      </c>
      <c r="G58" s="653" t="s">
        <v>2034</v>
      </c>
      <c r="H58" s="654" t="s">
        <v>160</v>
      </c>
      <c r="I58" s="654">
        <v>12</v>
      </c>
      <c r="J58" s="651">
        <v>1</v>
      </c>
    </row>
    <row r="59" spans="1:10" ht="13.5">
      <c r="A59" s="648">
        <v>402</v>
      </c>
      <c r="B59" s="622" t="s">
        <v>288</v>
      </c>
      <c r="C59" s="649" t="s">
        <v>1538</v>
      </c>
      <c r="D59" s="650"/>
      <c r="E59" s="628" t="s">
        <v>308</v>
      </c>
      <c r="F59" s="637" t="s">
        <v>1616</v>
      </c>
      <c r="G59" s="653" t="s">
        <v>2034</v>
      </c>
      <c r="H59" s="654" t="s">
        <v>160</v>
      </c>
      <c r="I59" s="654">
        <v>12</v>
      </c>
      <c r="J59" s="651">
        <v>1</v>
      </c>
    </row>
    <row r="60" spans="1:10" ht="13.5">
      <c r="A60" s="648">
        <v>402</v>
      </c>
      <c r="B60" s="622" t="s">
        <v>288</v>
      </c>
      <c r="C60" s="649" t="s">
        <v>1538</v>
      </c>
      <c r="D60" s="650"/>
      <c r="E60" s="628" t="s">
        <v>1617</v>
      </c>
      <c r="F60" s="637" t="s">
        <v>1484</v>
      </c>
      <c r="G60" s="653" t="s">
        <v>2142</v>
      </c>
      <c r="H60" s="654" t="s">
        <v>160</v>
      </c>
      <c r="I60" s="654">
        <v>2</v>
      </c>
      <c r="J60" s="651">
        <v>12</v>
      </c>
    </row>
    <row r="61" spans="1:10" ht="13.5">
      <c r="A61" s="648">
        <v>402</v>
      </c>
      <c r="B61" s="622" t="s">
        <v>288</v>
      </c>
      <c r="C61" s="649" t="s">
        <v>1538</v>
      </c>
      <c r="D61" s="650"/>
      <c r="E61" s="628" t="s">
        <v>1618</v>
      </c>
      <c r="F61" s="637" t="s">
        <v>1619</v>
      </c>
      <c r="G61" s="653" t="s">
        <v>2142</v>
      </c>
      <c r="H61" s="654" t="s">
        <v>160</v>
      </c>
      <c r="I61" s="654">
        <v>2</v>
      </c>
      <c r="J61" s="651">
        <v>6</v>
      </c>
    </row>
    <row r="62" spans="1:10" ht="13.5">
      <c r="A62" s="648">
        <v>402</v>
      </c>
      <c r="B62" s="622" t="s">
        <v>288</v>
      </c>
      <c r="C62" s="649" t="s">
        <v>1538</v>
      </c>
      <c r="D62" s="650"/>
      <c r="E62" s="628" t="s">
        <v>1620</v>
      </c>
      <c r="F62" s="637" t="s">
        <v>1621</v>
      </c>
      <c r="G62" s="653" t="s">
        <v>2142</v>
      </c>
      <c r="H62" s="654" t="s">
        <v>160</v>
      </c>
      <c r="I62" s="654">
        <v>2</v>
      </c>
      <c r="J62" s="651">
        <v>7</v>
      </c>
    </row>
    <row r="63" spans="1:10" ht="13.5">
      <c r="A63" s="648">
        <v>402</v>
      </c>
      <c r="B63" s="622" t="s">
        <v>288</v>
      </c>
      <c r="C63" s="649" t="s">
        <v>1538</v>
      </c>
      <c r="D63" s="650"/>
      <c r="E63" s="628" t="s">
        <v>1622</v>
      </c>
      <c r="F63" s="637" t="s">
        <v>1623</v>
      </c>
      <c r="G63" s="653" t="s">
        <v>2142</v>
      </c>
      <c r="H63" s="654" t="s">
        <v>160</v>
      </c>
      <c r="I63" s="654">
        <v>2</v>
      </c>
      <c r="J63" s="651">
        <v>22</v>
      </c>
    </row>
    <row r="64" spans="1:10" ht="13.5">
      <c r="A64" s="648">
        <v>402</v>
      </c>
      <c r="B64" s="622" t="s">
        <v>288</v>
      </c>
      <c r="C64" s="649" t="s">
        <v>1538</v>
      </c>
      <c r="D64" s="650"/>
      <c r="E64" s="628" t="s">
        <v>1624</v>
      </c>
      <c r="F64" s="637" t="s">
        <v>1625</v>
      </c>
      <c r="G64" s="653" t="s">
        <v>2142</v>
      </c>
      <c r="H64" s="654" t="s">
        <v>160</v>
      </c>
      <c r="I64" s="654">
        <v>2</v>
      </c>
      <c r="J64" s="651">
        <v>101</v>
      </c>
    </row>
    <row r="65" spans="1:10" ht="13.5">
      <c r="A65" s="648">
        <v>402</v>
      </c>
      <c r="B65" s="622" t="s">
        <v>288</v>
      </c>
      <c r="C65" s="649" t="s">
        <v>1538</v>
      </c>
      <c r="D65" s="650"/>
      <c r="E65" s="628" t="s">
        <v>1626</v>
      </c>
      <c r="F65" s="637" t="s">
        <v>1627</v>
      </c>
      <c r="G65" s="653" t="s">
        <v>2032</v>
      </c>
      <c r="H65" s="654" t="s">
        <v>1053</v>
      </c>
      <c r="I65" s="654">
        <v>0</v>
      </c>
      <c r="J65" s="651">
        <v>12</v>
      </c>
    </row>
    <row r="66" spans="1:10" ht="13.5">
      <c r="A66" s="648">
        <v>402</v>
      </c>
      <c r="B66" s="622" t="s">
        <v>288</v>
      </c>
      <c r="C66" s="649" t="s">
        <v>1538</v>
      </c>
      <c r="D66" s="650"/>
      <c r="E66" s="628" t="s">
        <v>1628</v>
      </c>
      <c r="F66" s="637" t="s">
        <v>1629</v>
      </c>
      <c r="G66" s="653" t="s">
        <v>2142</v>
      </c>
      <c r="H66" s="654" t="s">
        <v>176</v>
      </c>
      <c r="I66" s="654">
        <v>2</v>
      </c>
      <c r="J66" s="651">
        <v>12</v>
      </c>
    </row>
    <row r="67" spans="1:10" ht="13.5">
      <c r="A67" s="648">
        <v>402</v>
      </c>
      <c r="B67" s="622" t="s">
        <v>288</v>
      </c>
      <c r="C67" s="649" t="s">
        <v>1538</v>
      </c>
      <c r="D67" s="650"/>
      <c r="E67" s="628" t="s">
        <v>1626</v>
      </c>
      <c r="F67" s="637" t="s">
        <v>1630</v>
      </c>
      <c r="G67" s="653" t="s">
        <v>2032</v>
      </c>
      <c r="H67" s="654" t="s">
        <v>1053</v>
      </c>
      <c r="I67" s="654">
        <v>0</v>
      </c>
      <c r="J67" s="651">
        <v>12</v>
      </c>
    </row>
    <row r="68" spans="1:10" ht="13.5">
      <c r="A68" s="648">
        <v>402</v>
      </c>
      <c r="B68" s="622" t="s">
        <v>288</v>
      </c>
      <c r="C68" s="649" t="s">
        <v>1538</v>
      </c>
      <c r="D68" s="650"/>
      <c r="E68" s="628" t="s">
        <v>1626</v>
      </c>
      <c r="F68" s="637" t="s">
        <v>1631</v>
      </c>
      <c r="G68" s="653" t="s">
        <v>2032</v>
      </c>
      <c r="H68" s="654" t="s">
        <v>1053</v>
      </c>
      <c r="I68" s="654">
        <v>0</v>
      </c>
      <c r="J68" s="651">
        <v>12</v>
      </c>
    </row>
    <row r="69" spans="1:10" ht="13.5">
      <c r="A69" s="648">
        <v>402</v>
      </c>
      <c r="B69" s="622" t="s">
        <v>288</v>
      </c>
      <c r="C69" s="649" t="s">
        <v>1538</v>
      </c>
      <c r="D69" s="650"/>
      <c r="E69" s="628" t="s">
        <v>1632</v>
      </c>
      <c r="F69" s="637" t="s">
        <v>1633</v>
      </c>
      <c r="G69" s="653" t="s">
        <v>2142</v>
      </c>
      <c r="H69" s="654" t="s">
        <v>160</v>
      </c>
      <c r="I69" s="654">
        <v>2</v>
      </c>
      <c r="J69" s="651">
        <v>24</v>
      </c>
    </row>
    <row r="70" spans="1:10" ht="13.5">
      <c r="A70" s="648">
        <v>402</v>
      </c>
      <c r="B70" s="622" t="s">
        <v>288</v>
      </c>
      <c r="C70" s="649" t="s">
        <v>1538</v>
      </c>
      <c r="D70" s="650"/>
      <c r="E70" s="628" t="s">
        <v>247</v>
      </c>
      <c r="F70" s="637" t="s">
        <v>1634</v>
      </c>
      <c r="G70" s="653" t="s">
        <v>2142</v>
      </c>
      <c r="H70" s="654" t="s">
        <v>160</v>
      </c>
      <c r="I70" s="654">
        <v>2</v>
      </c>
      <c r="J70" s="651">
        <v>4</v>
      </c>
    </row>
    <row r="71" spans="1:10" ht="13.5">
      <c r="A71" s="648">
        <v>402</v>
      </c>
      <c r="B71" s="622" t="s">
        <v>288</v>
      </c>
      <c r="C71" s="649" t="s">
        <v>1538</v>
      </c>
      <c r="D71" s="650"/>
      <c r="E71" s="628" t="s">
        <v>208</v>
      </c>
      <c r="F71" s="637" t="s">
        <v>1635</v>
      </c>
      <c r="G71" s="653" t="s">
        <v>2032</v>
      </c>
      <c r="H71" s="654" t="s">
        <v>160</v>
      </c>
      <c r="I71" s="654">
        <v>12</v>
      </c>
      <c r="J71" s="651">
        <v>2</v>
      </c>
    </row>
    <row r="72" spans="1:10" ht="13.5">
      <c r="A72" s="648">
        <v>402</v>
      </c>
      <c r="B72" s="622" t="s">
        <v>288</v>
      </c>
      <c r="C72" s="649" t="s">
        <v>1538</v>
      </c>
      <c r="D72" s="650"/>
      <c r="E72" s="628" t="s">
        <v>1636</v>
      </c>
      <c r="F72" s="637" t="s">
        <v>1637</v>
      </c>
      <c r="G72" s="653" t="s">
        <v>2034</v>
      </c>
      <c r="H72" s="654" t="s">
        <v>160</v>
      </c>
      <c r="I72" s="654">
        <v>12</v>
      </c>
      <c r="J72" s="651">
        <v>6</v>
      </c>
    </row>
    <row r="73" spans="1:10" ht="13.5">
      <c r="A73" s="648">
        <v>403</v>
      </c>
      <c r="B73" s="622" t="s">
        <v>103</v>
      </c>
      <c r="C73" s="649" t="s">
        <v>1538</v>
      </c>
      <c r="D73" s="650"/>
      <c r="E73" s="628" t="s">
        <v>1638</v>
      </c>
      <c r="F73" s="637" t="s">
        <v>1482</v>
      </c>
      <c r="G73" s="653" t="s">
        <v>2142</v>
      </c>
      <c r="H73" s="654" t="s">
        <v>160</v>
      </c>
      <c r="I73" s="654">
        <v>2</v>
      </c>
      <c r="J73" s="651">
        <v>71</v>
      </c>
    </row>
    <row r="74" spans="1:10" ht="13.5">
      <c r="A74" s="648">
        <v>403</v>
      </c>
      <c r="B74" s="622" t="s">
        <v>103</v>
      </c>
      <c r="C74" s="649" t="s">
        <v>1538</v>
      </c>
      <c r="D74" s="650"/>
      <c r="E74" s="628" t="s">
        <v>1639</v>
      </c>
      <c r="F74" s="637" t="s">
        <v>1486</v>
      </c>
      <c r="G74" s="653" t="s">
        <v>2142</v>
      </c>
      <c r="H74" s="654" t="s">
        <v>160</v>
      </c>
      <c r="I74" s="654">
        <v>2</v>
      </c>
      <c r="J74" s="651">
        <v>60</v>
      </c>
    </row>
    <row r="75" spans="1:10" ht="13.5">
      <c r="A75" s="648">
        <v>403</v>
      </c>
      <c r="B75" s="622" t="s">
        <v>103</v>
      </c>
      <c r="C75" s="649" t="s">
        <v>1538</v>
      </c>
      <c r="D75" s="650"/>
      <c r="E75" s="628" t="s">
        <v>1596</v>
      </c>
      <c r="F75" s="637" t="s">
        <v>1615</v>
      </c>
      <c r="G75" s="653" t="s">
        <v>2142</v>
      </c>
      <c r="H75" s="654" t="s">
        <v>160</v>
      </c>
      <c r="I75" s="654">
        <v>2</v>
      </c>
      <c r="J75" s="651">
        <v>220</v>
      </c>
    </row>
    <row r="76" spans="1:10" ht="13.5">
      <c r="A76" s="648">
        <v>403</v>
      </c>
      <c r="B76" s="622" t="s">
        <v>103</v>
      </c>
      <c r="C76" s="649" t="s">
        <v>1538</v>
      </c>
      <c r="D76" s="650"/>
      <c r="E76" s="628" t="s">
        <v>37</v>
      </c>
      <c r="F76" s="637" t="s">
        <v>1616</v>
      </c>
      <c r="G76" s="653" t="s">
        <v>2032</v>
      </c>
      <c r="H76" s="654" t="s">
        <v>160</v>
      </c>
      <c r="I76" s="654">
        <v>0</v>
      </c>
      <c r="J76" s="651">
        <v>45</v>
      </c>
    </row>
    <row r="77" spans="1:10" ht="13.5">
      <c r="A77" s="648">
        <v>403</v>
      </c>
      <c r="B77" s="622" t="s">
        <v>103</v>
      </c>
      <c r="C77" s="649" t="s">
        <v>1538</v>
      </c>
      <c r="D77" s="650"/>
      <c r="E77" s="628" t="s">
        <v>37</v>
      </c>
      <c r="F77" s="637" t="s">
        <v>1484</v>
      </c>
      <c r="G77" s="653" t="s">
        <v>2032</v>
      </c>
      <c r="H77" s="654" t="s">
        <v>160</v>
      </c>
      <c r="I77" s="654">
        <v>0</v>
      </c>
      <c r="J77" s="651">
        <v>45</v>
      </c>
    </row>
    <row r="78" spans="1:10" ht="13.5">
      <c r="A78" s="648">
        <v>403</v>
      </c>
      <c r="B78" s="622" t="s">
        <v>103</v>
      </c>
      <c r="C78" s="649" t="s">
        <v>1538</v>
      </c>
      <c r="D78" s="650"/>
      <c r="E78" s="628" t="s">
        <v>1640</v>
      </c>
      <c r="F78" s="637" t="s">
        <v>1619</v>
      </c>
      <c r="G78" s="653" t="s">
        <v>2032</v>
      </c>
      <c r="H78" s="654" t="s">
        <v>160</v>
      </c>
      <c r="I78" s="654">
        <v>0</v>
      </c>
      <c r="J78" s="651">
        <v>45</v>
      </c>
    </row>
    <row r="79" spans="1:10" ht="13.5">
      <c r="A79" s="648">
        <v>404</v>
      </c>
      <c r="B79" s="622" t="s">
        <v>140</v>
      </c>
      <c r="C79" s="649" t="s">
        <v>1538</v>
      </c>
      <c r="D79" s="650"/>
      <c r="E79" s="628" t="s">
        <v>1641</v>
      </c>
      <c r="F79" s="637" t="s">
        <v>1482</v>
      </c>
      <c r="G79" s="653" t="s">
        <v>2035</v>
      </c>
      <c r="H79" s="654" t="s">
        <v>160</v>
      </c>
      <c r="I79" s="654">
        <v>2</v>
      </c>
      <c r="J79" s="651">
        <v>9</v>
      </c>
    </row>
    <row r="80" spans="1:10" ht="13.5">
      <c r="A80" s="648">
        <v>404</v>
      </c>
      <c r="B80" s="622" t="s">
        <v>140</v>
      </c>
      <c r="C80" s="649" t="s">
        <v>1538</v>
      </c>
      <c r="D80" s="650"/>
      <c r="E80" s="628" t="s">
        <v>1642</v>
      </c>
      <c r="F80" s="637" t="s">
        <v>1486</v>
      </c>
      <c r="G80" s="653" t="s">
        <v>2032</v>
      </c>
      <c r="H80" s="654" t="s">
        <v>160</v>
      </c>
      <c r="I80" s="654">
        <v>0</v>
      </c>
      <c r="J80" s="651">
        <v>12</v>
      </c>
    </row>
    <row r="81" spans="1:10" ht="13.5">
      <c r="A81" s="648">
        <v>404</v>
      </c>
      <c r="B81" s="622" t="s">
        <v>140</v>
      </c>
      <c r="C81" s="649" t="s">
        <v>1538</v>
      </c>
      <c r="D81" s="650"/>
      <c r="E81" s="628" t="s">
        <v>1642</v>
      </c>
      <c r="F81" s="637" t="s">
        <v>1615</v>
      </c>
      <c r="G81" s="653" t="s">
        <v>2032</v>
      </c>
      <c r="H81" s="654" t="s">
        <v>160</v>
      </c>
      <c r="I81" s="654">
        <v>0</v>
      </c>
      <c r="J81" s="651">
        <v>12</v>
      </c>
    </row>
    <row r="82" spans="1:10" ht="13.5">
      <c r="A82" s="648">
        <v>404</v>
      </c>
      <c r="B82" s="622" t="s">
        <v>140</v>
      </c>
      <c r="C82" s="649" t="s">
        <v>1538</v>
      </c>
      <c r="D82" s="650"/>
      <c r="E82" s="628" t="s">
        <v>1642</v>
      </c>
      <c r="F82" s="637" t="s">
        <v>1616</v>
      </c>
      <c r="G82" s="653" t="s">
        <v>2032</v>
      </c>
      <c r="H82" s="654" t="s">
        <v>160</v>
      </c>
      <c r="I82" s="654">
        <v>0</v>
      </c>
      <c r="J82" s="651">
        <v>12</v>
      </c>
    </row>
    <row r="83" spans="1:10" ht="13.5">
      <c r="A83" s="648">
        <v>404</v>
      </c>
      <c r="B83" s="622" t="s">
        <v>140</v>
      </c>
      <c r="C83" s="649" t="s">
        <v>1538</v>
      </c>
      <c r="D83" s="650"/>
      <c r="E83" s="628" t="s">
        <v>1643</v>
      </c>
      <c r="F83" s="637" t="s">
        <v>1484</v>
      </c>
      <c r="G83" s="653" t="s">
        <v>2035</v>
      </c>
      <c r="H83" s="654" t="s">
        <v>160</v>
      </c>
      <c r="I83" s="654">
        <v>2</v>
      </c>
      <c r="J83" s="651">
        <v>2</v>
      </c>
    </row>
    <row r="84" spans="1:10" ht="13.5">
      <c r="A84" s="648">
        <v>404</v>
      </c>
      <c r="B84" s="622" t="s">
        <v>140</v>
      </c>
      <c r="C84" s="649" t="s">
        <v>1538</v>
      </c>
      <c r="D84" s="650"/>
      <c r="E84" s="628" t="s">
        <v>147</v>
      </c>
      <c r="F84" s="637" t="s">
        <v>1619</v>
      </c>
      <c r="G84" s="653" t="s">
        <v>2142</v>
      </c>
      <c r="H84" s="654" t="s">
        <v>160</v>
      </c>
      <c r="I84" s="654">
        <v>2</v>
      </c>
      <c r="J84" s="651">
        <v>83</v>
      </c>
    </row>
    <row r="85" spans="1:10" ht="13.5">
      <c r="A85" s="648">
        <v>404</v>
      </c>
      <c r="B85" s="622" t="s">
        <v>140</v>
      </c>
      <c r="C85" s="649" t="s">
        <v>1538</v>
      </c>
      <c r="D85" s="650"/>
      <c r="E85" s="628" t="s">
        <v>1644</v>
      </c>
      <c r="F85" s="637" t="s">
        <v>1621</v>
      </c>
      <c r="G85" s="653" t="s">
        <v>2142</v>
      </c>
      <c r="H85" s="654" t="s">
        <v>160</v>
      </c>
      <c r="I85" s="654">
        <v>2</v>
      </c>
      <c r="J85" s="651">
        <v>11</v>
      </c>
    </row>
    <row r="86" spans="1:10" ht="13.5">
      <c r="A86" s="648">
        <v>405</v>
      </c>
      <c r="B86" s="622" t="s">
        <v>1645</v>
      </c>
      <c r="C86" s="649" t="s">
        <v>1538</v>
      </c>
      <c r="D86" s="650"/>
      <c r="E86" s="628" t="s">
        <v>111</v>
      </c>
      <c r="F86" s="637" t="s">
        <v>1482</v>
      </c>
      <c r="G86" s="653" t="s">
        <v>2035</v>
      </c>
      <c r="H86" s="654" t="s">
        <v>176</v>
      </c>
      <c r="I86" s="654">
        <v>12</v>
      </c>
      <c r="J86" s="651">
        <v>19</v>
      </c>
    </row>
    <row r="87" spans="1:10" ht="13.5">
      <c r="A87" s="648">
        <v>405</v>
      </c>
      <c r="B87" s="622" t="s">
        <v>1645</v>
      </c>
      <c r="C87" s="649" t="s">
        <v>1538</v>
      </c>
      <c r="D87" s="650"/>
      <c r="E87" s="628" t="s">
        <v>1614</v>
      </c>
      <c r="F87" s="637" t="s">
        <v>1486</v>
      </c>
      <c r="G87" s="653" t="s">
        <v>2033</v>
      </c>
      <c r="H87" s="654" t="s">
        <v>176</v>
      </c>
      <c r="I87" s="654">
        <v>12</v>
      </c>
      <c r="J87" s="651">
        <v>12</v>
      </c>
    </row>
    <row r="88" spans="1:10" ht="13.5">
      <c r="A88" s="648">
        <v>405</v>
      </c>
      <c r="B88" s="622" t="s">
        <v>1645</v>
      </c>
      <c r="C88" s="649" t="s">
        <v>1538</v>
      </c>
      <c r="D88" s="650"/>
      <c r="E88" s="628" t="s">
        <v>308</v>
      </c>
      <c r="F88" s="637" t="s">
        <v>1615</v>
      </c>
      <c r="G88" s="653" t="s">
        <v>2034</v>
      </c>
      <c r="H88" s="654" t="s">
        <v>109</v>
      </c>
      <c r="I88" s="654">
        <v>12</v>
      </c>
      <c r="J88" s="651">
        <v>1</v>
      </c>
    </row>
    <row r="89" spans="1:10" ht="13.5">
      <c r="A89" s="648">
        <v>405</v>
      </c>
      <c r="B89" s="622" t="s">
        <v>1645</v>
      </c>
      <c r="C89" s="649" t="s">
        <v>1538</v>
      </c>
      <c r="D89" s="650"/>
      <c r="E89" s="628" t="s">
        <v>308</v>
      </c>
      <c r="F89" s="637" t="s">
        <v>1616</v>
      </c>
      <c r="G89" s="653" t="s">
        <v>2034</v>
      </c>
      <c r="H89" s="654" t="s">
        <v>109</v>
      </c>
      <c r="I89" s="654">
        <v>12</v>
      </c>
      <c r="J89" s="651">
        <v>1</v>
      </c>
    </row>
    <row r="90" spans="1:10" ht="13.5">
      <c r="A90" s="648">
        <v>405</v>
      </c>
      <c r="B90" s="622" t="s">
        <v>1645</v>
      </c>
      <c r="C90" s="649" t="s">
        <v>1538</v>
      </c>
      <c r="D90" s="650"/>
      <c r="E90" s="628" t="s">
        <v>1617</v>
      </c>
      <c r="F90" s="637" t="s">
        <v>1484</v>
      </c>
      <c r="G90" s="653" t="s">
        <v>2142</v>
      </c>
      <c r="H90" s="654" t="s">
        <v>176</v>
      </c>
      <c r="I90" s="654">
        <v>2</v>
      </c>
      <c r="J90" s="651">
        <v>12</v>
      </c>
    </row>
    <row r="91" spans="1:10" ht="13.5">
      <c r="A91" s="648">
        <v>405</v>
      </c>
      <c r="B91" s="622" t="s">
        <v>1645</v>
      </c>
      <c r="C91" s="649" t="s">
        <v>1538</v>
      </c>
      <c r="D91" s="650"/>
      <c r="E91" s="628" t="s">
        <v>1646</v>
      </c>
      <c r="F91" s="637" t="s">
        <v>1619</v>
      </c>
      <c r="G91" s="653" t="s">
        <v>2036</v>
      </c>
      <c r="H91" s="654" t="s">
        <v>176</v>
      </c>
      <c r="I91" s="654">
        <v>2</v>
      </c>
      <c r="J91" s="651">
        <v>6</v>
      </c>
    </row>
    <row r="92" spans="1:10" ht="13.5">
      <c r="A92" s="648">
        <v>405</v>
      </c>
      <c r="B92" s="622" t="s">
        <v>1645</v>
      </c>
      <c r="C92" s="649" t="s">
        <v>1538</v>
      </c>
      <c r="D92" s="650"/>
      <c r="E92" s="628" t="s">
        <v>1618</v>
      </c>
      <c r="F92" s="637" t="s">
        <v>1621</v>
      </c>
      <c r="G92" s="653" t="s">
        <v>2142</v>
      </c>
      <c r="H92" s="654" t="s">
        <v>160</v>
      </c>
      <c r="I92" s="654">
        <v>2</v>
      </c>
      <c r="J92" s="651">
        <v>6</v>
      </c>
    </row>
    <row r="93" spans="1:10" ht="13.5">
      <c r="A93" s="648">
        <v>405</v>
      </c>
      <c r="B93" s="622" t="s">
        <v>1645</v>
      </c>
      <c r="C93" s="649" t="s">
        <v>1538</v>
      </c>
      <c r="D93" s="650"/>
      <c r="E93" s="628" t="s">
        <v>1647</v>
      </c>
      <c r="F93" s="637" t="s">
        <v>1623</v>
      </c>
      <c r="G93" s="653" t="s">
        <v>2142</v>
      </c>
      <c r="H93" s="654" t="s">
        <v>176</v>
      </c>
      <c r="I93" s="654">
        <v>2</v>
      </c>
      <c r="J93" s="651">
        <v>7</v>
      </c>
    </row>
    <row r="94" spans="1:10" ht="13.5">
      <c r="A94" s="648">
        <v>405</v>
      </c>
      <c r="B94" s="622" t="s">
        <v>1645</v>
      </c>
      <c r="C94" s="649" t="s">
        <v>1538</v>
      </c>
      <c r="D94" s="650"/>
      <c r="E94" s="628" t="s">
        <v>1072</v>
      </c>
      <c r="F94" s="637" t="s">
        <v>1625</v>
      </c>
      <c r="G94" s="653" t="s">
        <v>2142</v>
      </c>
      <c r="H94" s="654" t="s">
        <v>176</v>
      </c>
      <c r="I94" s="654">
        <v>2</v>
      </c>
      <c r="J94" s="651">
        <v>16</v>
      </c>
    </row>
    <row r="95" spans="1:10" ht="13.5">
      <c r="A95" s="648">
        <v>405</v>
      </c>
      <c r="B95" s="622" t="s">
        <v>1645</v>
      </c>
      <c r="C95" s="649" t="s">
        <v>1538</v>
      </c>
      <c r="D95" s="650"/>
      <c r="E95" s="628" t="s">
        <v>1648</v>
      </c>
      <c r="F95" s="637" t="s">
        <v>1627</v>
      </c>
      <c r="G95" s="653" t="s">
        <v>2142</v>
      </c>
      <c r="H95" s="654" t="s">
        <v>176</v>
      </c>
      <c r="I95" s="654">
        <v>2</v>
      </c>
      <c r="J95" s="651">
        <v>85</v>
      </c>
    </row>
    <row r="96" spans="1:10" ht="13.5">
      <c r="A96" s="648">
        <v>405</v>
      </c>
      <c r="B96" s="622" t="s">
        <v>1645</v>
      </c>
      <c r="C96" s="649" t="s">
        <v>1538</v>
      </c>
      <c r="D96" s="650"/>
      <c r="E96" s="628" t="s">
        <v>1626</v>
      </c>
      <c r="F96" s="637" t="s">
        <v>1629</v>
      </c>
      <c r="G96" s="653" t="s">
        <v>2032</v>
      </c>
      <c r="H96" s="654" t="s">
        <v>1053</v>
      </c>
      <c r="I96" s="654">
        <v>0</v>
      </c>
      <c r="J96" s="651">
        <v>12</v>
      </c>
    </row>
    <row r="97" spans="1:10" ht="13.5">
      <c r="A97" s="648">
        <v>405</v>
      </c>
      <c r="B97" s="622" t="s">
        <v>1645</v>
      </c>
      <c r="C97" s="649" t="s">
        <v>1538</v>
      </c>
      <c r="D97" s="650"/>
      <c r="E97" s="628" t="s">
        <v>1626</v>
      </c>
      <c r="F97" s="637" t="s">
        <v>1630</v>
      </c>
      <c r="G97" s="653" t="s">
        <v>2032</v>
      </c>
      <c r="H97" s="654" t="s">
        <v>1053</v>
      </c>
      <c r="I97" s="654">
        <v>0</v>
      </c>
      <c r="J97" s="651">
        <v>12</v>
      </c>
    </row>
    <row r="98" spans="1:10" ht="13.5">
      <c r="A98" s="648">
        <v>405</v>
      </c>
      <c r="B98" s="622" t="s">
        <v>1645</v>
      </c>
      <c r="C98" s="649" t="s">
        <v>1538</v>
      </c>
      <c r="D98" s="650"/>
      <c r="E98" s="628" t="s">
        <v>1626</v>
      </c>
      <c r="F98" s="637" t="s">
        <v>1631</v>
      </c>
      <c r="G98" s="653" t="s">
        <v>2032</v>
      </c>
      <c r="H98" s="654" t="s">
        <v>1053</v>
      </c>
      <c r="I98" s="654">
        <v>0</v>
      </c>
      <c r="J98" s="651">
        <v>12</v>
      </c>
    </row>
    <row r="99" spans="1:10" ht="13.5">
      <c r="A99" s="648">
        <v>405</v>
      </c>
      <c r="B99" s="622" t="s">
        <v>1645</v>
      </c>
      <c r="C99" s="649" t="s">
        <v>1538</v>
      </c>
      <c r="D99" s="650"/>
      <c r="E99" s="628" t="s">
        <v>1632</v>
      </c>
      <c r="F99" s="637" t="s">
        <v>1633</v>
      </c>
      <c r="G99" s="653" t="s">
        <v>2142</v>
      </c>
      <c r="H99" s="654" t="s">
        <v>176</v>
      </c>
      <c r="I99" s="654">
        <v>2</v>
      </c>
      <c r="J99" s="651">
        <v>24</v>
      </c>
    </row>
    <row r="100" spans="1:10" ht="13.5">
      <c r="A100" s="648">
        <v>405</v>
      </c>
      <c r="B100" s="622" t="s">
        <v>1645</v>
      </c>
      <c r="C100" s="649" t="s">
        <v>1538</v>
      </c>
      <c r="D100" s="650"/>
      <c r="E100" s="628" t="s">
        <v>247</v>
      </c>
      <c r="F100" s="637" t="s">
        <v>1634</v>
      </c>
      <c r="G100" s="653" t="s">
        <v>97</v>
      </c>
      <c r="H100" s="654" t="s">
        <v>176</v>
      </c>
      <c r="I100" s="654">
        <v>2</v>
      </c>
      <c r="J100" s="651">
        <v>4</v>
      </c>
    </row>
    <row r="101" spans="1:10" ht="13.5">
      <c r="A101" s="648">
        <v>405</v>
      </c>
      <c r="B101" s="622" t="s">
        <v>1645</v>
      </c>
      <c r="C101" s="649" t="s">
        <v>1538</v>
      </c>
      <c r="D101" s="650"/>
      <c r="E101" s="628" t="s">
        <v>208</v>
      </c>
      <c r="F101" s="637" t="s">
        <v>1635</v>
      </c>
      <c r="G101" s="653" t="s">
        <v>2032</v>
      </c>
      <c r="H101" s="654" t="s">
        <v>176</v>
      </c>
      <c r="I101" s="654">
        <v>12</v>
      </c>
      <c r="J101" s="651">
        <v>2</v>
      </c>
    </row>
    <row r="102" spans="1:10" ht="13.5">
      <c r="A102" s="648">
        <v>405</v>
      </c>
      <c r="B102" s="622" t="s">
        <v>1645</v>
      </c>
      <c r="C102" s="649" t="s">
        <v>1538</v>
      </c>
      <c r="D102" s="650"/>
      <c r="E102" s="628" t="s">
        <v>1636</v>
      </c>
      <c r="F102" s="637" t="s">
        <v>1637</v>
      </c>
      <c r="G102" s="653" t="s">
        <v>2034</v>
      </c>
      <c r="H102" s="654" t="s">
        <v>176</v>
      </c>
      <c r="I102" s="654">
        <v>12</v>
      </c>
      <c r="J102" s="651">
        <v>6</v>
      </c>
    </row>
    <row r="103" spans="1:10" ht="13.5">
      <c r="A103" s="648">
        <v>406</v>
      </c>
      <c r="B103" s="622" t="s">
        <v>300</v>
      </c>
      <c r="C103" s="649" t="s">
        <v>1538</v>
      </c>
      <c r="D103" s="650"/>
      <c r="E103" s="628" t="s">
        <v>111</v>
      </c>
      <c r="F103" s="637" t="s">
        <v>1482</v>
      </c>
      <c r="G103" s="653" t="s">
        <v>2035</v>
      </c>
      <c r="H103" s="654" t="s">
        <v>160</v>
      </c>
      <c r="I103" s="654">
        <v>12</v>
      </c>
      <c r="J103" s="651">
        <v>19</v>
      </c>
    </row>
    <row r="104" spans="1:10" ht="13.5">
      <c r="A104" s="648">
        <v>406</v>
      </c>
      <c r="B104" s="622" t="s">
        <v>300</v>
      </c>
      <c r="C104" s="649" t="s">
        <v>1538</v>
      </c>
      <c r="D104" s="650"/>
      <c r="E104" s="628" t="s">
        <v>1614</v>
      </c>
      <c r="F104" s="637" t="s">
        <v>1486</v>
      </c>
      <c r="G104" s="653" t="s">
        <v>2033</v>
      </c>
      <c r="H104" s="654" t="s">
        <v>160</v>
      </c>
      <c r="I104" s="654">
        <v>12</v>
      </c>
      <c r="J104" s="651">
        <v>12</v>
      </c>
    </row>
    <row r="105" spans="1:10" ht="13.5">
      <c r="A105" s="648">
        <v>406</v>
      </c>
      <c r="B105" s="622" t="s">
        <v>300</v>
      </c>
      <c r="C105" s="649" t="s">
        <v>1538</v>
      </c>
      <c r="D105" s="650"/>
      <c r="E105" s="628" t="s">
        <v>308</v>
      </c>
      <c r="F105" s="637" t="s">
        <v>1615</v>
      </c>
      <c r="G105" s="653" t="s">
        <v>2034</v>
      </c>
      <c r="H105" s="654" t="s">
        <v>160</v>
      </c>
      <c r="I105" s="654">
        <v>12</v>
      </c>
      <c r="J105" s="651">
        <v>1</v>
      </c>
    </row>
    <row r="106" spans="1:10" ht="13.5">
      <c r="A106" s="648">
        <v>406</v>
      </c>
      <c r="B106" s="622" t="s">
        <v>300</v>
      </c>
      <c r="C106" s="649" t="s">
        <v>1538</v>
      </c>
      <c r="D106" s="650"/>
      <c r="E106" s="628" t="s">
        <v>308</v>
      </c>
      <c r="F106" s="637" t="s">
        <v>1616</v>
      </c>
      <c r="G106" s="653" t="s">
        <v>2034</v>
      </c>
      <c r="H106" s="654" t="s">
        <v>160</v>
      </c>
      <c r="I106" s="654">
        <v>12</v>
      </c>
      <c r="J106" s="651">
        <v>1</v>
      </c>
    </row>
    <row r="107" spans="1:10" ht="13.5">
      <c r="A107" s="648">
        <v>406</v>
      </c>
      <c r="B107" s="622" t="s">
        <v>300</v>
      </c>
      <c r="C107" s="649" t="s">
        <v>1538</v>
      </c>
      <c r="D107" s="650"/>
      <c r="E107" s="628" t="s">
        <v>1617</v>
      </c>
      <c r="F107" s="637" t="s">
        <v>1484</v>
      </c>
      <c r="G107" s="653" t="s">
        <v>2142</v>
      </c>
      <c r="H107" s="654" t="s">
        <v>160</v>
      </c>
      <c r="I107" s="654">
        <v>2</v>
      </c>
      <c r="J107" s="651">
        <v>12</v>
      </c>
    </row>
    <row r="108" spans="1:10" ht="13.5">
      <c r="A108" s="648">
        <v>406</v>
      </c>
      <c r="B108" s="622" t="s">
        <v>300</v>
      </c>
      <c r="C108" s="649" t="s">
        <v>1538</v>
      </c>
      <c r="D108" s="650"/>
      <c r="E108" s="628" t="s">
        <v>1646</v>
      </c>
      <c r="F108" s="637" t="s">
        <v>1619</v>
      </c>
      <c r="G108" s="653" t="s">
        <v>2036</v>
      </c>
      <c r="H108" s="654" t="s">
        <v>160</v>
      </c>
      <c r="I108" s="654">
        <v>2</v>
      </c>
      <c r="J108" s="651">
        <v>6</v>
      </c>
    </row>
    <row r="109" spans="1:10" ht="13.5">
      <c r="A109" s="648">
        <v>406</v>
      </c>
      <c r="B109" s="622" t="s">
        <v>300</v>
      </c>
      <c r="C109" s="649" t="s">
        <v>1538</v>
      </c>
      <c r="D109" s="650"/>
      <c r="E109" s="628" t="s">
        <v>1618</v>
      </c>
      <c r="F109" s="637" t="s">
        <v>1621</v>
      </c>
      <c r="G109" s="653" t="s">
        <v>2142</v>
      </c>
      <c r="H109" s="654" t="s">
        <v>160</v>
      </c>
      <c r="I109" s="654">
        <v>2</v>
      </c>
      <c r="J109" s="651">
        <v>6</v>
      </c>
    </row>
    <row r="110" spans="1:10" ht="13.5">
      <c r="A110" s="648">
        <v>406</v>
      </c>
      <c r="B110" s="622" t="s">
        <v>300</v>
      </c>
      <c r="C110" s="649" t="s">
        <v>1538</v>
      </c>
      <c r="D110" s="650"/>
      <c r="E110" s="628" t="s">
        <v>1647</v>
      </c>
      <c r="F110" s="637" t="s">
        <v>1623</v>
      </c>
      <c r="G110" s="653" t="s">
        <v>2142</v>
      </c>
      <c r="H110" s="654" t="s">
        <v>160</v>
      </c>
      <c r="I110" s="654">
        <v>2</v>
      </c>
      <c r="J110" s="651">
        <v>7</v>
      </c>
    </row>
    <row r="111" spans="1:10" ht="13.5">
      <c r="A111" s="648">
        <v>406</v>
      </c>
      <c r="B111" s="622" t="s">
        <v>300</v>
      </c>
      <c r="C111" s="649" t="s">
        <v>1538</v>
      </c>
      <c r="D111" s="650"/>
      <c r="E111" s="628" t="s">
        <v>1072</v>
      </c>
      <c r="F111" s="637" t="s">
        <v>1625</v>
      </c>
      <c r="G111" s="653" t="s">
        <v>2142</v>
      </c>
      <c r="H111" s="654" t="s">
        <v>160</v>
      </c>
      <c r="I111" s="654">
        <v>2</v>
      </c>
      <c r="J111" s="651">
        <v>16</v>
      </c>
    </row>
    <row r="112" spans="1:10" ht="13.5">
      <c r="A112" s="648">
        <v>406</v>
      </c>
      <c r="B112" s="622" t="s">
        <v>300</v>
      </c>
      <c r="C112" s="649" t="s">
        <v>1538</v>
      </c>
      <c r="D112" s="650"/>
      <c r="E112" s="628" t="s">
        <v>1648</v>
      </c>
      <c r="F112" s="637" t="s">
        <v>1627</v>
      </c>
      <c r="G112" s="653" t="s">
        <v>2142</v>
      </c>
      <c r="H112" s="654" t="s">
        <v>160</v>
      </c>
      <c r="I112" s="654">
        <v>2</v>
      </c>
      <c r="J112" s="651">
        <v>85</v>
      </c>
    </row>
    <row r="113" spans="1:10" ht="13.5">
      <c r="A113" s="648">
        <v>406</v>
      </c>
      <c r="B113" s="622" t="s">
        <v>300</v>
      </c>
      <c r="C113" s="649" t="s">
        <v>1538</v>
      </c>
      <c r="D113" s="650"/>
      <c r="E113" s="628" t="s">
        <v>282</v>
      </c>
      <c r="F113" s="637" t="s">
        <v>1629</v>
      </c>
      <c r="G113" s="653" t="s">
        <v>2036</v>
      </c>
      <c r="H113" s="654" t="s">
        <v>318</v>
      </c>
      <c r="I113" s="654">
        <v>2</v>
      </c>
      <c r="J113" s="651">
        <v>12</v>
      </c>
    </row>
    <row r="114" spans="1:10" ht="13.5">
      <c r="A114" s="648">
        <v>406</v>
      </c>
      <c r="B114" s="622" t="s">
        <v>300</v>
      </c>
      <c r="C114" s="649" t="s">
        <v>1538</v>
      </c>
      <c r="D114" s="650"/>
      <c r="E114" s="628" t="s">
        <v>1626</v>
      </c>
      <c r="F114" s="637" t="s">
        <v>1630</v>
      </c>
      <c r="G114" s="653" t="s">
        <v>2032</v>
      </c>
      <c r="H114" s="654" t="s">
        <v>1053</v>
      </c>
      <c r="I114" s="654">
        <v>0</v>
      </c>
      <c r="J114" s="651">
        <v>12</v>
      </c>
    </row>
    <row r="115" spans="1:10" ht="13.5">
      <c r="A115" s="648">
        <v>406</v>
      </c>
      <c r="B115" s="622" t="s">
        <v>300</v>
      </c>
      <c r="C115" s="649" t="s">
        <v>1538</v>
      </c>
      <c r="D115" s="650"/>
      <c r="E115" s="628" t="s">
        <v>1626</v>
      </c>
      <c r="F115" s="637" t="s">
        <v>1631</v>
      </c>
      <c r="G115" s="653" t="s">
        <v>2032</v>
      </c>
      <c r="H115" s="654" t="s">
        <v>1053</v>
      </c>
      <c r="I115" s="654">
        <v>0</v>
      </c>
      <c r="J115" s="651">
        <v>12</v>
      </c>
    </row>
    <row r="116" spans="1:10" ht="13.5">
      <c r="A116" s="648">
        <v>406</v>
      </c>
      <c r="B116" s="622" t="s">
        <v>300</v>
      </c>
      <c r="C116" s="649" t="s">
        <v>1538</v>
      </c>
      <c r="D116" s="650"/>
      <c r="E116" s="628" t="s">
        <v>1632</v>
      </c>
      <c r="F116" s="637" t="s">
        <v>1633</v>
      </c>
      <c r="G116" s="653" t="s">
        <v>2142</v>
      </c>
      <c r="H116" s="654" t="s">
        <v>160</v>
      </c>
      <c r="I116" s="654">
        <v>2</v>
      </c>
      <c r="J116" s="651">
        <v>24</v>
      </c>
    </row>
    <row r="117" spans="1:10" ht="13.5">
      <c r="A117" s="648">
        <v>406</v>
      </c>
      <c r="B117" s="622" t="s">
        <v>300</v>
      </c>
      <c r="C117" s="649" t="s">
        <v>1538</v>
      </c>
      <c r="D117" s="650"/>
      <c r="E117" s="628" t="s">
        <v>247</v>
      </c>
      <c r="F117" s="637" t="s">
        <v>1634</v>
      </c>
      <c r="G117" s="653" t="s">
        <v>97</v>
      </c>
      <c r="H117" s="654" t="s">
        <v>160</v>
      </c>
      <c r="I117" s="654">
        <v>2</v>
      </c>
      <c r="J117" s="651">
        <v>4</v>
      </c>
    </row>
    <row r="118" spans="1:10" ht="13.5">
      <c r="A118" s="648">
        <v>406</v>
      </c>
      <c r="B118" s="622" t="s">
        <v>300</v>
      </c>
      <c r="C118" s="649" t="s">
        <v>1538</v>
      </c>
      <c r="D118" s="650"/>
      <c r="E118" s="628" t="s">
        <v>208</v>
      </c>
      <c r="F118" s="637" t="s">
        <v>1635</v>
      </c>
      <c r="G118" s="653" t="s">
        <v>2032</v>
      </c>
      <c r="H118" s="654" t="s">
        <v>160</v>
      </c>
      <c r="I118" s="654">
        <v>12</v>
      </c>
      <c r="J118" s="651">
        <v>2</v>
      </c>
    </row>
    <row r="119" spans="1:10" ht="13.5">
      <c r="A119" s="648">
        <v>406</v>
      </c>
      <c r="B119" s="622" t="s">
        <v>300</v>
      </c>
      <c r="C119" s="649" t="s">
        <v>1538</v>
      </c>
      <c r="D119" s="650"/>
      <c r="E119" s="628" t="s">
        <v>1636</v>
      </c>
      <c r="F119" s="637" t="s">
        <v>1637</v>
      </c>
      <c r="G119" s="653" t="s">
        <v>2034</v>
      </c>
      <c r="H119" s="654" t="s">
        <v>160</v>
      </c>
      <c r="I119" s="654">
        <v>12</v>
      </c>
      <c r="J119" s="651">
        <v>6</v>
      </c>
    </row>
    <row r="120" spans="1:10" ht="13.5">
      <c r="A120" s="648">
        <v>407</v>
      </c>
      <c r="B120" s="622" t="s">
        <v>198</v>
      </c>
      <c r="C120" s="649" t="s">
        <v>1538</v>
      </c>
      <c r="D120" s="650"/>
      <c r="E120" s="628" t="s">
        <v>111</v>
      </c>
      <c r="F120" s="637" t="s">
        <v>1482</v>
      </c>
      <c r="G120" s="653" t="s">
        <v>2035</v>
      </c>
      <c r="H120" s="654" t="s">
        <v>176</v>
      </c>
      <c r="I120" s="654">
        <v>12</v>
      </c>
      <c r="J120" s="651">
        <v>19</v>
      </c>
    </row>
    <row r="121" spans="1:10" ht="13.5">
      <c r="A121" s="648">
        <v>407</v>
      </c>
      <c r="B121" s="622" t="s">
        <v>198</v>
      </c>
      <c r="C121" s="649" t="s">
        <v>1538</v>
      </c>
      <c r="D121" s="650"/>
      <c r="E121" s="628" t="s">
        <v>1614</v>
      </c>
      <c r="F121" s="637" t="s">
        <v>1486</v>
      </c>
      <c r="G121" s="653" t="s">
        <v>2033</v>
      </c>
      <c r="H121" s="654" t="s">
        <v>176</v>
      </c>
      <c r="I121" s="654">
        <v>12</v>
      </c>
      <c r="J121" s="651">
        <v>12</v>
      </c>
    </row>
    <row r="122" spans="1:10" ht="13.5">
      <c r="A122" s="648">
        <v>407</v>
      </c>
      <c r="B122" s="622" t="s">
        <v>198</v>
      </c>
      <c r="C122" s="649" t="s">
        <v>1538</v>
      </c>
      <c r="D122" s="650"/>
      <c r="E122" s="628" t="s">
        <v>308</v>
      </c>
      <c r="F122" s="637" t="s">
        <v>1615</v>
      </c>
      <c r="G122" s="653" t="s">
        <v>2034</v>
      </c>
      <c r="H122" s="654" t="s">
        <v>176</v>
      </c>
      <c r="I122" s="654">
        <v>12</v>
      </c>
      <c r="J122" s="651">
        <v>1</v>
      </c>
    </row>
    <row r="123" spans="1:10" ht="13.5">
      <c r="A123" s="648">
        <v>407</v>
      </c>
      <c r="B123" s="622" t="s">
        <v>198</v>
      </c>
      <c r="C123" s="649" t="s">
        <v>1538</v>
      </c>
      <c r="D123" s="650"/>
      <c r="E123" s="628" t="s">
        <v>308</v>
      </c>
      <c r="F123" s="637" t="s">
        <v>1616</v>
      </c>
      <c r="G123" s="653" t="s">
        <v>2034</v>
      </c>
      <c r="H123" s="654" t="s">
        <v>176</v>
      </c>
      <c r="I123" s="654">
        <v>12</v>
      </c>
      <c r="J123" s="651">
        <v>1</v>
      </c>
    </row>
    <row r="124" spans="1:10" ht="13.5">
      <c r="A124" s="648">
        <v>407</v>
      </c>
      <c r="B124" s="622" t="s">
        <v>198</v>
      </c>
      <c r="C124" s="649" t="s">
        <v>1538</v>
      </c>
      <c r="D124" s="650"/>
      <c r="E124" s="628" t="s">
        <v>1617</v>
      </c>
      <c r="F124" s="637" t="s">
        <v>1484</v>
      </c>
      <c r="G124" s="653" t="s">
        <v>2142</v>
      </c>
      <c r="H124" s="654" t="s">
        <v>176</v>
      </c>
      <c r="I124" s="654">
        <v>2</v>
      </c>
      <c r="J124" s="651">
        <v>12</v>
      </c>
    </row>
    <row r="125" spans="1:10" ht="13.5">
      <c r="A125" s="648">
        <v>407</v>
      </c>
      <c r="B125" s="622" t="s">
        <v>198</v>
      </c>
      <c r="C125" s="649" t="s">
        <v>1538</v>
      </c>
      <c r="D125" s="650"/>
      <c r="E125" s="628" t="s">
        <v>1646</v>
      </c>
      <c r="F125" s="637" t="s">
        <v>1619</v>
      </c>
      <c r="G125" s="653" t="s">
        <v>2036</v>
      </c>
      <c r="H125" s="654" t="s">
        <v>176</v>
      </c>
      <c r="I125" s="654">
        <v>2</v>
      </c>
      <c r="J125" s="651">
        <v>6</v>
      </c>
    </row>
    <row r="126" spans="1:10" ht="13.5">
      <c r="A126" s="648">
        <v>407</v>
      </c>
      <c r="B126" s="622" t="s">
        <v>198</v>
      </c>
      <c r="C126" s="649" t="s">
        <v>1538</v>
      </c>
      <c r="D126" s="650"/>
      <c r="E126" s="628" t="s">
        <v>1618</v>
      </c>
      <c r="F126" s="637" t="s">
        <v>1621</v>
      </c>
      <c r="G126" s="653" t="s">
        <v>2142</v>
      </c>
      <c r="H126" s="654" t="s">
        <v>160</v>
      </c>
      <c r="I126" s="654">
        <v>2</v>
      </c>
      <c r="J126" s="651">
        <v>6</v>
      </c>
    </row>
    <row r="127" spans="1:10" ht="13.5">
      <c r="A127" s="648">
        <v>407</v>
      </c>
      <c r="B127" s="622" t="s">
        <v>198</v>
      </c>
      <c r="C127" s="649" t="s">
        <v>1538</v>
      </c>
      <c r="D127" s="650"/>
      <c r="E127" s="628" t="s">
        <v>1647</v>
      </c>
      <c r="F127" s="637" t="s">
        <v>1623</v>
      </c>
      <c r="G127" s="653" t="s">
        <v>2142</v>
      </c>
      <c r="H127" s="654" t="s">
        <v>176</v>
      </c>
      <c r="I127" s="654">
        <v>2</v>
      </c>
      <c r="J127" s="651">
        <v>7</v>
      </c>
    </row>
    <row r="128" spans="1:10" ht="13.5">
      <c r="A128" s="648">
        <v>407</v>
      </c>
      <c r="B128" s="622" t="s">
        <v>198</v>
      </c>
      <c r="C128" s="649" t="s">
        <v>1538</v>
      </c>
      <c r="D128" s="650"/>
      <c r="E128" s="628" t="s">
        <v>1072</v>
      </c>
      <c r="F128" s="637" t="s">
        <v>1625</v>
      </c>
      <c r="G128" s="653" t="s">
        <v>2142</v>
      </c>
      <c r="H128" s="654" t="s">
        <v>176</v>
      </c>
      <c r="I128" s="654">
        <v>2</v>
      </c>
      <c r="J128" s="651">
        <v>16</v>
      </c>
    </row>
    <row r="129" spans="1:10" ht="13.5">
      <c r="A129" s="648">
        <v>407</v>
      </c>
      <c r="B129" s="622" t="s">
        <v>198</v>
      </c>
      <c r="C129" s="649" t="s">
        <v>1538</v>
      </c>
      <c r="D129" s="650"/>
      <c r="E129" s="628" t="s">
        <v>1648</v>
      </c>
      <c r="F129" s="637" t="s">
        <v>1627</v>
      </c>
      <c r="G129" s="653" t="s">
        <v>2142</v>
      </c>
      <c r="H129" s="654" t="s">
        <v>176</v>
      </c>
      <c r="I129" s="654">
        <v>2</v>
      </c>
      <c r="J129" s="651">
        <v>101</v>
      </c>
    </row>
    <row r="130" spans="1:10" ht="13.5">
      <c r="A130" s="648">
        <v>407</v>
      </c>
      <c r="B130" s="622" t="s">
        <v>198</v>
      </c>
      <c r="C130" s="649" t="s">
        <v>1538</v>
      </c>
      <c r="D130" s="650"/>
      <c r="E130" s="628" t="s">
        <v>1626</v>
      </c>
      <c r="F130" s="637" t="s">
        <v>1629</v>
      </c>
      <c r="G130" s="653" t="s">
        <v>2032</v>
      </c>
      <c r="H130" s="654" t="s">
        <v>1053</v>
      </c>
      <c r="I130" s="654">
        <v>0</v>
      </c>
      <c r="J130" s="651">
        <v>12</v>
      </c>
    </row>
    <row r="131" spans="1:10" ht="13.5">
      <c r="A131" s="648">
        <v>407</v>
      </c>
      <c r="B131" s="622" t="s">
        <v>198</v>
      </c>
      <c r="C131" s="649" t="s">
        <v>1538</v>
      </c>
      <c r="D131" s="650"/>
      <c r="E131" s="628" t="s">
        <v>1626</v>
      </c>
      <c r="F131" s="637" t="s">
        <v>1630</v>
      </c>
      <c r="G131" s="653" t="s">
        <v>2032</v>
      </c>
      <c r="H131" s="654" t="s">
        <v>1053</v>
      </c>
      <c r="I131" s="654">
        <v>0</v>
      </c>
      <c r="J131" s="651">
        <v>12</v>
      </c>
    </row>
    <row r="132" spans="1:10" ht="13.5">
      <c r="A132" s="648">
        <v>407</v>
      </c>
      <c r="B132" s="622" t="s">
        <v>198</v>
      </c>
      <c r="C132" s="649" t="s">
        <v>1538</v>
      </c>
      <c r="D132" s="650"/>
      <c r="E132" s="628" t="s">
        <v>1626</v>
      </c>
      <c r="F132" s="637" t="s">
        <v>1631</v>
      </c>
      <c r="G132" s="653" t="s">
        <v>2032</v>
      </c>
      <c r="H132" s="654" t="s">
        <v>1053</v>
      </c>
      <c r="I132" s="654">
        <v>0</v>
      </c>
      <c r="J132" s="651">
        <v>12</v>
      </c>
    </row>
    <row r="133" spans="1:10" ht="13.5">
      <c r="A133" s="648">
        <v>407</v>
      </c>
      <c r="B133" s="622" t="s">
        <v>198</v>
      </c>
      <c r="C133" s="649" t="s">
        <v>1538</v>
      </c>
      <c r="D133" s="650"/>
      <c r="E133" s="628" t="s">
        <v>282</v>
      </c>
      <c r="F133" s="637" t="s">
        <v>1633</v>
      </c>
      <c r="G133" s="653" t="s">
        <v>2036</v>
      </c>
      <c r="H133" s="654" t="s">
        <v>318</v>
      </c>
      <c r="I133" s="654">
        <v>2</v>
      </c>
      <c r="J133" s="651">
        <v>12</v>
      </c>
    </row>
    <row r="134" spans="1:10" ht="13.5">
      <c r="A134" s="648">
        <v>407</v>
      </c>
      <c r="B134" s="622" t="s">
        <v>198</v>
      </c>
      <c r="C134" s="649" t="s">
        <v>1538</v>
      </c>
      <c r="D134" s="650"/>
      <c r="E134" s="628" t="s">
        <v>1632</v>
      </c>
      <c r="F134" s="637" t="s">
        <v>1634</v>
      </c>
      <c r="G134" s="653" t="s">
        <v>2142</v>
      </c>
      <c r="H134" s="654" t="s">
        <v>176</v>
      </c>
      <c r="I134" s="654">
        <v>2</v>
      </c>
      <c r="J134" s="651">
        <v>24</v>
      </c>
    </row>
    <row r="135" spans="1:10" ht="13.5">
      <c r="A135" s="648">
        <v>407</v>
      </c>
      <c r="B135" s="622" t="s">
        <v>198</v>
      </c>
      <c r="C135" s="649" t="s">
        <v>1538</v>
      </c>
      <c r="D135" s="650"/>
      <c r="E135" s="628" t="s">
        <v>247</v>
      </c>
      <c r="F135" s="637" t="s">
        <v>1635</v>
      </c>
      <c r="G135" s="653" t="s">
        <v>97</v>
      </c>
      <c r="H135" s="654" t="s">
        <v>176</v>
      </c>
      <c r="I135" s="654">
        <v>2</v>
      </c>
      <c r="J135" s="651">
        <v>4</v>
      </c>
    </row>
    <row r="136" spans="1:10" ht="13.5">
      <c r="A136" s="648">
        <v>407</v>
      </c>
      <c r="B136" s="622" t="s">
        <v>198</v>
      </c>
      <c r="C136" s="649" t="s">
        <v>1538</v>
      </c>
      <c r="D136" s="650"/>
      <c r="E136" s="628" t="s">
        <v>208</v>
      </c>
      <c r="F136" s="637" t="s">
        <v>1637</v>
      </c>
      <c r="G136" s="653" t="s">
        <v>2032</v>
      </c>
      <c r="H136" s="654" t="s">
        <v>176</v>
      </c>
      <c r="I136" s="654">
        <v>12</v>
      </c>
      <c r="J136" s="651">
        <v>2</v>
      </c>
    </row>
    <row r="137" spans="1:10" ht="13.5">
      <c r="A137" s="648">
        <v>407</v>
      </c>
      <c r="B137" s="622" t="s">
        <v>198</v>
      </c>
      <c r="C137" s="649" t="s">
        <v>1538</v>
      </c>
      <c r="D137" s="650"/>
      <c r="E137" s="628" t="s">
        <v>1636</v>
      </c>
      <c r="F137" s="637" t="s">
        <v>1649</v>
      </c>
      <c r="G137" s="653" t="s">
        <v>2034</v>
      </c>
      <c r="H137" s="654" t="s">
        <v>176</v>
      </c>
      <c r="I137" s="654">
        <v>12</v>
      </c>
      <c r="J137" s="651">
        <v>6</v>
      </c>
    </row>
    <row r="138" spans="1:10" ht="13.5">
      <c r="A138" s="648">
        <v>408</v>
      </c>
      <c r="B138" s="622" t="s">
        <v>237</v>
      </c>
      <c r="C138" s="649" t="s">
        <v>1538</v>
      </c>
      <c r="D138" s="650"/>
      <c r="E138" s="628" t="s">
        <v>111</v>
      </c>
      <c r="F138" s="637" t="s">
        <v>1482</v>
      </c>
      <c r="G138" s="653" t="s">
        <v>2035</v>
      </c>
      <c r="H138" s="654" t="s">
        <v>160</v>
      </c>
      <c r="I138" s="654">
        <v>12</v>
      </c>
      <c r="J138" s="651">
        <v>20</v>
      </c>
    </row>
    <row r="139" spans="1:10" ht="13.5">
      <c r="A139" s="648">
        <v>408</v>
      </c>
      <c r="B139" s="622" t="s">
        <v>237</v>
      </c>
      <c r="C139" s="649" t="s">
        <v>1538</v>
      </c>
      <c r="D139" s="650"/>
      <c r="E139" s="628" t="s">
        <v>1614</v>
      </c>
      <c r="F139" s="637" t="s">
        <v>1486</v>
      </c>
      <c r="G139" s="653" t="s">
        <v>2033</v>
      </c>
      <c r="H139" s="654" t="s">
        <v>160</v>
      </c>
      <c r="I139" s="654">
        <v>12</v>
      </c>
      <c r="J139" s="651">
        <v>12</v>
      </c>
    </row>
    <row r="140" spans="1:10" ht="13.5">
      <c r="A140" s="648">
        <v>408</v>
      </c>
      <c r="B140" s="622" t="s">
        <v>237</v>
      </c>
      <c r="C140" s="649" t="s">
        <v>1538</v>
      </c>
      <c r="D140" s="650"/>
      <c r="E140" s="628" t="s">
        <v>308</v>
      </c>
      <c r="F140" s="637" t="s">
        <v>1615</v>
      </c>
      <c r="G140" s="653" t="s">
        <v>2034</v>
      </c>
      <c r="H140" s="654" t="s">
        <v>160</v>
      </c>
      <c r="I140" s="654">
        <v>12</v>
      </c>
      <c r="J140" s="651">
        <v>1</v>
      </c>
    </row>
    <row r="141" spans="1:10" ht="13.5">
      <c r="A141" s="648">
        <v>408</v>
      </c>
      <c r="B141" s="622" t="s">
        <v>237</v>
      </c>
      <c r="C141" s="649" t="s">
        <v>1538</v>
      </c>
      <c r="D141" s="650"/>
      <c r="E141" s="628" t="s">
        <v>308</v>
      </c>
      <c r="F141" s="637" t="s">
        <v>1616</v>
      </c>
      <c r="G141" s="653" t="s">
        <v>2034</v>
      </c>
      <c r="H141" s="654" t="s">
        <v>160</v>
      </c>
      <c r="I141" s="654">
        <v>12</v>
      </c>
      <c r="J141" s="651">
        <v>1</v>
      </c>
    </row>
    <row r="142" spans="1:10" ht="13.5">
      <c r="A142" s="648">
        <v>408</v>
      </c>
      <c r="B142" s="622" t="s">
        <v>237</v>
      </c>
      <c r="C142" s="649" t="s">
        <v>1538</v>
      </c>
      <c r="D142" s="650"/>
      <c r="E142" s="628" t="s">
        <v>1617</v>
      </c>
      <c r="F142" s="637" t="s">
        <v>1484</v>
      </c>
      <c r="G142" s="653" t="s">
        <v>2142</v>
      </c>
      <c r="H142" s="654" t="s">
        <v>160</v>
      </c>
      <c r="I142" s="654">
        <v>2</v>
      </c>
      <c r="J142" s="651">
        <v>12</v>
      </c>
    </row>
    <row r="143" spans="1:10" ht="13.5">
      <c r="A143" s="648">
        <v>408</v>
      </c>
      <c r="B143" s="622" t="s">
        <v>237</v>
      </c>
      <c r="C143" s="649" t="s">
        <v>1538</v>
      </c>
      <c r="D143" s="650"/>
      <c r="E143" s="628" t="s">
        <v>1646</v>
      </c>
      <c r="F143" s="637" t="s">
        <v>1619</v>
      </c>
      <c r="G143" s="653" t="s">
        <v>2036</v>
      </c>
      <c r="H143" s="654" t="s">
        <v>160</v>
      </c>
      <c r="I143" s="654">
        <v>2</v>
      </c>
      <c r="J143" s="651">
        <v>5</v>
      </c>
    </row>
    <row r="144" spans="1:10" ht="13.5">
      <c r="A144" s="648">
        <v>408</v>
      </c>
      <c r="B144" s="622" t="s">
        <v>237</v>
      </c>
      <c r="C144" s="649" t="s">
        <v>1538</v>
      </c>
      <c r="D144" s="650"/>
      <c r="E144" s="628" t="s">
        <v>1618</v>
      </c>
      <c r="F144" s="637" t="s">
        <v>1621</v>
      </c>
      <c r="G144" s="653" t="s">
        <v>2142</v>
      </c>
      <c r="H144" s="654" t="s">
        <v>160</v>
      </c>
      <c r="I144" s="654">
        <v>2</v>
      </c>
      <c r="J144" s="651">
        <v>6</v>
      </c>
    </row>
    <row r="145" spans="1:10" ht="13.5">
      <c r="A145" s="648">
        <v>408</v>
      </c>
      <c r="B145" s="622" t="s">
        <v>237</v>
      </c>
      <c r="C145" s="649" t="s">
        <v>1538</v>
      </c>
      <c r="D145" s="650"/>
      <c r="E145" s="628" t="s">
        <v>1647</v>
      </c>
      <c r="F145" s="637" t="s">
        <v>1623</v>
      </c>
      <c r="G145" s="653" t="s">
        <v>2142</v>
      </c>
      <c r="H145" s="654" t="s">
        <v>160</v>
      </c>
      <c r="I145" s="654">
        <v>2</v>
      </c>
      <c r="J145" s="651">
        <v>6</v>
      </c>
    </row>
    <row r="146" spans="1:10" ht="13.5">
      <c r="A146" s="648">
        <v>408</v>
      </c>
      <c r="B146" s="622" t="s">
        <v>237</v>
      </c>
      <c r="C146" s="649" t="s">
        <v>1538</v>
      </c>
      <c r="D146" s="650"/>
      <c r="E146" s="628" t="s">
        <v>1072</v>
      </c>
      <c r="F146" s="637" t="s">
        <v>1625</v>
      </c>
      <c r="G146" s="653" t="s">
        <v>2142</v>
      </c>
      <c r="H146" s="654" t="s">
        <v>160</v>
      </c>
      <c r="I146" s="654">
        <v>2</v>
      </c>
      <c r="J146" s="651">
        <v>15</v>
      </c>
    </row>
    <row r="147" spans="1:10" ht="13.5">
      <c r="A147" s="648">
        <v>408</v>
      </c>
      <c r="B147" s="622" t="s">
        <v>237</v>
      </c>
      <c r="C147" s="649" t="s">
        <v>1538</v>
      </c>
      <c r="D147" s="650"/>
      <c r="E147" s="628" t="s">
        <v>1648</v>
      </c>
      <c r="F147" s="637" t="s">
        <v>1627</v>
      </c>
      <c r="G147" s="653" t="s">
        <v>2142</v>
      </c>
      <c r="H147" s="654" t="s">
        <v>160</v>
      </c>
      <c r="I147" s="654">
        <v>2</v>
      </c>
      <c r="J147" s="651">
        <v>84</v>
      </c>
    </row>
    <row r="148" spans="1:10" ht="13.5">
      <c r="A148" s="648">
        <v>408</v>
      </c>
      <c r="B148" s="622" t="s">
        <v>237</v>
      </c>
      <c r="C148" s="649" t="s">
        <v>1538</v>
      </c>
      <c r="D148" s="650"/>
      <c r="E148" s="628" t="s">
        <v>282</v>
      </c>
      <c r="F148" s="637" t="s">
        <v>1629</v>
      </c>
      <c r="G148" s="653" t="s">
        <v>2036</v>
      </c>
      <c r="H148" s="654" t="s">
        <v>318</v>
      </c>
      <c r="I148" s="654">
        <v>2</v>
      </c>
      <c r="J148" s="651">
        <v>12</v>
      </c>
    </row>
    <row r="149" spans="1:10" ht="13.5">
      <c r="A149" s="648">
        <v>408</v>
      </c>
      <c r="B149" s="622" t="s">
        <v>237</v>
      </c>
      <c r="C149" s="649" t="s">
        <v>1538</v>
      </c>
      <c r="D149" s="650"/>
      <c r="E149" s="628" t="s">
        <v>1626</v>
      </c>
      <c r="F149" s="637" t="s">
        <v>1630</v>
      </c>
      <c r="G149" s="653" t="s">
        <v>2032</v>
      </c>
      <c r="H149" s="654" t="s">
        <v>1053</v>
      </c>
      <c r="I149" s="654">
        <v>0</v>
      </c>
      <c r="J149" s="651">
        <v>12</v>
      </c>
    </row>
    <row r="150" spans="1:10" ht="13.5">
      <c r="A150" s="648">
        <v>408</v>
      </c>
      <c r="B150" s="622" t="s">
        <v>237</v>
      </c>
      <c r="C150" s="649" t="s">
        <v>1538</v>
      </c>
      <c r="D150" s="650"/>
      <c r="E150" s="628" t="s">
        <v>1626</v>
      </c>
      <c r="F150" s="637" t="s">
        <v>1631</v>
      </c>
      <c r="G150" s="653" t="s">
        <v>2032</v>
      </c>
      <c r="H150" s="654" t="s">
        <v>1053</v>
      </c>
      <c r="I150" s="654">
        <v>0</v>
      </c>
      <c r="J150" s="651">
        <v>12</v>
      </c>
    </row>
    <row r="151" spans="1:10" ht="13.5">
      <c r="A151" s="648">
        <v>408</v>
      </c>
      <c r="B151" s="622" t="s">
        <v>237</v>
      </c>
      <c r="C151" s="649" t="s">
        <v>1538</v>
      </c>
      <c r="D151" s="650"/>
      <c r="E151" s="628" t="s">
        <v>1632</v>
      </c>
      <c r="F151" s="637" t="s">
        <v>1633</v>
      </c>
      <c r="G151" s="653" t="s">
        <v>2142</v>
      </c>
      <c r="H151" s="654" t="s">
        <v>160</v>
      </c>
      <c r="I151" s="654">
        <v>2</v>
      </c>
      <c r="J151" s="651">
        <v>24</v>
      </c>
    </row>
    <row r="152" spans="1:10" ht="13.5">
      <c r="A152" s="648">
        <v>408</v>
      </c>
      <c r="B152" s="622" t="s">
        <v>237</v>
      </c>
      <c r="C152" s="649" t="s">
        <v>1538</v>
      </c>
      <c r="D152" s="650"/>
      <c r="E152" s="628" t="s">
        <v>247</v>
      </c>
      <c r="F152" s="637" t="s">
        <v>1634</v>
      </c>
      <c r="G152" s="653" t="s">
        <v>97</v>
      </c>
      <c r="H152" s="654" t="s">
        <v>160</v>
      </c>
      <c r="I152" s="654">
        <v>2</v>
      </c>
      <c r="J152" s="651">
        <v>4</v>
      </c>
    </row>
    <row r="153" spans="1:10" ht="13.5">
      <c r="A153" s="648">
        <v>408</v>
      </c>
      <c r="B153" s="622" t="s">
        <v>237</v>
      </c>
      <c r="C153" s="649" t="s">
        <v>1538</v>
      </c>
      <c r="D153" s="650"/>
      <c r="E153" s="628" t="s">
        <v>208</v>
      </c>
      <c r="F153" s="637" t="s">
        <v>1635</v>
      </c>
      <c r="G153" s="653" t="s">
        <v>2032</v>
      </c>
      <c r="H153" s="654" t="s">
        <v>160</v>
      </c>
      <c r="I153" s="654">
        <v>12</v>
      </c>
      <c r="J153" s="651">
        <v>2</v>
      </c>
    </row>
    <row r="154" spans="1:10" ht="13.5">
      <c r="A154" s="648">
        <v>408</v>
      </c>
      <c r="B154" s="622" t="s">
        <v>237</v>
      </c>
      <c r="C154" s="649" t="s">
        <v>1538</v>
      </c>
      <c r="D154" s="650"/>
      <c r="E154" s="628" t="s">
        <v>1636</v>
      </c>
      <c r="F154" s="637" t="s">
        <v>1637</v>
      </c>
      <c r="G154" s="653" t="s">
        <v>2034</v>
      </c>
      <c r="H154" s="654" t="s">
        <v>160</v>
      </c>
      <c r="I154" s="654">
        <v>12</v>
      </c>
      <c r="J154" s="651">
        <v>6</v>
      </c>
    </row>
    <row r="155" spans="1:10" ht="13.5">
      <c r="A155" s="648">
        <v>409</v>
      </c>
      <c r="B155" s="622" t="s">
        <v>133</v>
      </c>
      <c r="C155" s="649" t="s">
        <v>1538</v>
      </c>
      <c r="D155" s="650"/>
      <c r="E155" s="628" t="s">
        <v>1650</v>
      </c>
      <c r="F155" s="637" t="s">
        <v>1799</v>
      </c>
      <c r="G155" s="653" t="s">
        <v>2032</v>
      </c>
      <c r="H155" s="654" t="s">
        <v>176</v>
      </c>
      <c r="I155" s="654">
        <v>0</v>
      </c>
      <c r="J155" s="651">
        <v>41</v>
      </c>
    </row>
    <row r="156" spans="1:10" ht="13.5">
      <c r="A156" s="648">
        <v>409</v>
      </c>
      <c r="B156" s="622" t="s">
        <v>133</v>
      </c>
      <c r="C156" s="649" t="s">
        <v>1538</v>
      </c>
      <c r="D156" s="650"/>
      <c r="E156" s="628" t="s">
        <v>83</v>
      </c>
      <c r="F156" s="637" t="s">
        <v>1833</v>
      </c>
      <c r="G156" s="653" t="s">
        <v>2032</v>
      </c>
      <c r="H156" s="654" t="s">
        <v>1651</v>
      </c>
      <c r="I156" s="654">
        <v>0</v>
      </c>
      <c r="J156" s="651">
        <v>14</v>
      </c>
    </row>
    <row r="157" spans="1:10" ht="13.5">
      <c r="A157" s="648">
        <v>409</v>
      </c>
      <c r="B157" s="622" t="s">
        <v>133</v>
      </c>
      <c r="C157" s="649" t="s">
        <v>1538</v>
      </c>
      <c r="D157" s="650"/>
      <c r="E157" s="628" t="s">
        <v>1652</v>
      </c>
      <c r="F157" s="637" t="s">
        <v>75</v>
      </c>
      <c r="G157" s="653" t="s">
        <v>2032</v>
      </c>
      <c r="H157" s="654" t="s">
        <v>109</v>
      </c>
      <c r="I157" s="654">
        <v>0</v>
      </c>
      <c r="J157" s="651">
        <v>13</v>
      </c>
    </row>
    <row r="158" spans="1:10" ht="13.5">
      <c r="A158" s="648">
        <v>409</v>
      </c>
      <c r="B158" s="622" t="s">
        <v>133</v>
      </c>
      <c r="C158" s="649" t="s">
        <v>1538</v>
      </c>
      <c r="D158" s="650"/>
      <c r="E158" s="628" t="s">
        <v>1654</v>
      </c>
      <c r="F158" s="637" t="s">
        <v>75</v>
      </c>
      <c r="G158" s="653" t="s">
        <v>2032</v>
      </c>
      <c r="H158" s="654" t="s">
        <v>109</v>
      </c>
      <c r="I158" s="654">
        <v>0</v>
      </c>
      <c r="J158" s="651">
        <v>13</v>
      </c>
    </row>
    <row r="159" spans="1:10" ht="13.5">
      <c r="A159" s="648">
        <v>410</v>
      </c>
      <c r="B159" s="622" t="s">
        <v>1655</v>
      </c>
      <c r="C159" s="649" t="s">
        <v>1538</v>
      </c>
      <c r="D159" s="650"/>
      <c r="E159" s="628" t="s">
        <v>81</v>
      </c>
      <c r="F159" s="637" t="s">
        <v>1799</v>
      </c>
      <c r="G159" s="653" t="s">
        <v>2142</v>
      </c>
      <c r="H159" s="654" t="s">
        <v>176</v>
      </c>
      <c r="I159" s="654">
        <v>2</v>
      </c>
      <c r="J159" s="651">
        <v>27</v>
      </c>
    </row>
    <row r="160" spans="1:10" ht="13.5">
      <c r="A160" s="648">
        <v>410</v>
      </c>
      <c r="B160" s="622" t="s">
        <v>1655</v>
      </c>
      <c r="C160" s="649" t="s">
        <v>1538</v>
      </c>
      <c r="D160" s="650"/>
      <c r="E160" s="628" t="s">
        <v>1656</v>
      </c>
      <c r="F160" s="637" t="s">
        <v>1833</v>
      </c>
      <c r="G160" s="653" t="s">
        <v>2142</v>
      </c>
      <c r="H160" s="654" t="s">
        <v>12</v>
      </c>
      <c r="I160" s="654">
        <v>2</v>
      </c>
      <c r="J160" s="651">
        <v>10</v>
      </c>
    </row>
    <row r="161" spans="1:10" ht="13.5">
      <c r="A161" s="648">
        <v>410</v>
      </c>
      <c r="B161" s="622" t="s">
        <v>1655</v>
      </c>
      <c r="C161" s="649" t="s">
        <v>1538</v>
      </c>
      <c r="D161" s="650"/>
      <c r="E161" s="628" t="s">
        <v>1657</v>
      </c>
      <c r="F161" s="637"/>
      <c r="G161" s="653" t="s">
        <v>2037</v>
      </c>
      <c r="H161" s="654" t="s">
        <v>1315</v>
      </c>
      <c r="I161" s="654">
        <v>0</v>
      </c>
      <c r="J161" s="651">
        <v>68</v>
      </c>
    </row>
    <row r="162" spans="1:10" ht="13.5">
      <c r="A162" s="648">
        <v>411</v>
      </c>
      <c r="B162" s="622" t="s">
        <v>1658</v>
      </c>
      <c r="C162" s="649" t="s">
        <v>1538</v>
      </c>
      <c r="D162" s="650"/>
      <c r="E162" s="628" t="s">
        <v>81</v>
      </c>
      <c r="F162" s="637" t="s">
        <v>1799</v>
      </c>
      <c r="G162" s="653" t="s">
        <v>2142</v>
      </c>
      <c r="H162" s="654" t="s">
        <v>176</v>
      </c>
      <c r="I162" s="654">
        <v>2</v>
      </c>
      <c r="J162" s="651">
        <v>26</v>
      </c>
    </row>
    <row r="163" spans="1:10" ht="13.5">
      <c r="A163" s="648">
        <v>411</v>
      </c>
      <c r="B163" s="622" t="s">
        <v>1658</v>
      </c>
      <c r="C163" s="649" t="s">
        <v>1538</v>
      </c>
      <c r="D163" s="650"/>
      <c r="E163" s="628" t="s">
        <v>1656</v>
      </c>
      <c r="F163" s="637" t="s">
        <v>1833</v>
      </c>
      <c r="G163" s="653" t="s">
        <v>2142</v>
      </c>
      <c r="H163" s="654" t="s">
        <v>12</v>
      </c>
      <c r="I163" s="654">
        <v>2</v>
      </c>
      <c r="J163" s="651">
        <v>7</v>
      </c>
    </row>
    <row r="164" spans="1:10" ht="13.5">
      <c r="A164" s="648">
        <v>411</v>
      </c>
      <c r="B164" s="622" t="s">
        <v>1658</v>
      </c>
      <c r="C164" s="649" t="s">
        <v>1538</v>
      </c>
      <c r="D164" s="650"/>
      <c r="E164" s="628" t="s">
        <v>1659</v>
      </c>
      <c r="F164" s="637"/>
      <c r="G164" s="653" t="s">
        <v>2032</v>
      </c>
      <c r="H164" s="654"/>
      <c r="I164" s="654">
        <v>0</v>
      </c>
      <c r="J164" s="651"/>
    </row>
    <row r="165" spans="1:10" ht="13.5">
      <c r="A165" s="648">
        <v>411</v>
      </c>
      <c r="B165" s="622" t="s">
        <v>1658</v>
      </c>
      <c r="C165" s="649" t="s">
        <v>1538</v>
      </c>
      <c r="D165" s="650"/>
      <c r="E165" s="628" t="s">
        <v>1657</v>
      </c>
      <c r="F165" s="637"/>
      <c r="G165" s="653" t="s">
        <v>2037</v>
      </c>
      <c r="H165" s="654" t="s">
        <v>1315</v>
      </c>
      <c r="I165" s="654">
        <v>0</v>
      </c>
      <c r="J165" s="651">
        <v>122</v>
      </c>
    </row>
    <row r="166" spans="1:10" ht="13.5">
      <c r="A166" s="648">
        <v>412</v>
      </c>
      <c r="B166" s="622" t="s">
        <v>1660</v>
      </c>
      <c r="C166" s="649" t="s">
        <v>1538</v>
      </c>
      <c r="D166" s="650"/>
      <c r="E166" s="628" t="s">
        <v>71</v>
      </c>
      <c r="F166" s="637" t="s">
        <v>16</v>
      </c>
      <c r="G166" s="653" t="s">
        <v>2142</v>
      </c>
      <c r="H166" s="654" t="s">
        <v>176</v>
      </c>
      <c r="I166" s="654">
        <v>2</v>
      </c>
      <c r="J166" s="651">
        <v>19</v>
      </c>
    </row>
    <row r="167" spans="1:10" ht="13.5">
      <c r="A167" s="648">
        <v>412</v>
      </c>
      <c r="B167" s="622" t="s">
        <v>1660</v>
      </c>
      <c r="C167" s="649" t="s">
        <v>1538</v>
      </c>
      <c r="D167" s="650"/>
      <c r="E167" s="628" t="s">
        <v>71</v>
      </c>
      <c r="F167" s="637" t="s">
        <v>182</v>
      </c>
      <c r="G167" s="653" t="s">
        <v>2142</v>
      </c>
      <c r="H167" s="654" t="s">
        <v>176</v>
      </c>
      <c r="I167" s="654">
        <v>2</v>
      </c>
      <c r="J167" s="651">
        <v>8</v>
      </c>
    </row>
    <row r="168" spans="1:10" ht="13.5">
      <c r="A168" s="648">
        <v>412</v>
      </c>
      <c r="B168" s="622" t="s">
        <v>1660</v>
      </c>
      <c r="C168" s="649" t="s">
        <v>1538</v>
      </c>
      <c r="D168" s="650"/>
      <c r="E168" s="628" t="s">
        <v>1661</v>
      </c>
      <c r="F168" s="637" t="s">
        <v>1746</v>
      </c>
      <c r="G168" s="653" t="s">
        <v>2142</v>
      </c>
      <c r="H168" s="654" t="s">
        <v>176</v>
      </c>
      <c r="I168" s="654">
        <v>2</v>
      </c>
      <c r="J168" s="651">
        <v>3</v>
      </c>
    </row>
    <row r="169" spans="1:10" ht="13.5">
      <c r="A169" s="648">
        <v>412</v>
      </c>
      <c r="B169" s="622" t="s">
        <v>1660</v>
      </c>
      <c r="C169" s="649" t="s">
        <v>1538</v>
      </c>
      <c r="D169" s="650"/>
      <c r="E169" s="628" t="s">
        <v>1663</v>
      </c>
      <c r="F169" s="637" t="s">
        <v>1799</v>
      </c>
      <c r="G169" s="653" t="s">
        <v>2142</v>
      </c>
      <c r="H169" s="654" t="s">
        <v>12</v>
      </c>
      <c r="I169" s="654">
        <v>2</v>
      </c>
      <c r="J169" s="651">
        <v>16</v>
      </c>
    </row>
    <row r="170" spans="1:10" ht="13.5">
      <c r="A170" s="648">
        <v>412</v>
      </c>
      <c r="B170" s="622" t="s">
        <v>1660</v>
      </c>
      <c r="C170" s="649" t="s">
        <v>1538</v>
      </c>
      <c r="D170" s="650"/>
      <c r="E170" s="628" t="s">
        <v>81</v>
      </c>
      <c r="F170" s="637" t="s">
        <v>1833</v>
      </c>
      <c r="G170" s="653" t="s">
        <v>2142</v>
      </c>
      <c r="H170" s="654" t="s">
        <v>176</v>
      </c>
      <c r="I170" s="654">
        <v>2</v>
      </c>
      <c r="J170" s="651">
        <v>30</v>
      </c>
    </row>
    <row r="171" spans="1:10" ht="13.5">
      <c r="A171" s="648">
        <v>412</v>
      </c>
      <c r="B171" s="622" t="s">
        <v>1660</v>
      </c>
      <c r="C171" s="649" t="s">
        <v>1538</v>
      </c>
      <c r="D171" s="650"/>
      <c r="E171" s="628" t="s">
        <v>1664</v>
      </c>
      <c r="F171" s="637" t="s">
        <v>1909</v>
      </c>
      <c r="G171" s="653" t="s">
        <v>2142</v>
      </c>
      <c r="H171" s="654" t="s">
        <v>12</v>
      </c>
      <c r="I171" s="654">
        <v>2</v>
      </c>
      <c r="J171" s="651">
        <v>33</v>
      </c>
    </row>
    <row r="172" spans="1:10" ht="13.5">
      <c r="A172" s="648">
        <v>412</v>
      </c>
      <c r="B172" s="622" t="s">
        <v>1660</v>
      </c>
      <c r="C172" s="649" t="s">
        <v>1538</v>
      </c>
      <c r="D172" s="650"/>
      <c r="E172" s="628" t="s">
        <v>1665</v>
      </c>
      <c r="F172" s="637" t="s">
        <v>1910</v>
      </c>
      <c r="G172" s="653" t="s">
        <v>2142</v>
      </c>
      <c r="H172" s="654" t="s">
        <v>1666</v>
      </c>
      <c r="I172" s="654">
        <v>2</v>
      </c>
      <c r="J172" s="651">
        <v>15</v>
      </c>
    </row>
    <row r="173" spans="1:10" ht="13.5">
      <c r="A173" s="648">
        <v>412</v>
      </c>
      <c r="B173" s="622" t="s">
        <v>1660</v>
      </c>
      <c r="C173" s="649" t="s">
        <v>1538</v>
      </c>
      <c r="D173" s="650"/>
      <c r="E173" s="628" t="s">
        <v>20</v>
      </c>
      <c r="F173" s="637" t="s">
        <v>1911</v>
      </c>
      <c r="G173" s="653" t="s">
        <v>2142</v>
      </c>
      <c r="H173" s="654" t="s">
        <v>1667</v>
      </c>
      <c r="I173" s="654">
        <v>2</v>
      </c>
      <c r="J173" s="651">
        <v>5</v>
      </c>
    </row>
    <row r="174" spans="1:10" ht="13.5">
      <c r="A174" s="648">
        <v>413</v>
      </c>
      <c r="B174" s="622" t="s">
        <v>1401</v>
      </c>
      <c r="C174" s="649" t="s">
        <v>1538</v>
      </c>
      <c r="D174" s="650"/>
      <c r="E174" s="628" t="s">
        <v>1587</v>
      </c>
      <c r="F174" s="637" t="s">
        <v>1887</v>
      </c>
      <c r="G174" s="653" t="s">
        <v>2142</v>
      </c>
      <c r="H174" s="654" t="s">
        <v>12</v>
      </c>
      <c r="I174" s="654">
        <v>2</v>
      </c>
      <c r="J174" s="651">
        <v>11</v>
      </c>
    </row>
    <row r="175" spans="1:10" ht="13.5">
      <c r="A175" s="648">
        <v>413</v>
      </c>
      <c r="B175" s="622" t="s">
        <v>1401</v>
      </c>
      <c r="C175" s="649" t="s">
        <v>1538</v>
      </c>
      <c r="D175" s="650"/>
      <c r="E175" s="628" t="s">
        <v>1588</v>
      </c>
      <c r="F175" s="637" t="s">
        <v>1888</v>
      </c>
      <c r="G175" s="653" t="s">
        <v>2142</v>
      </c>
      <c r="H175" s="654" t="s">
        <v>12</v>
      </c>
      <c r="I175" s="654">
        <v>2</v>
      </c>
      <c r="J175" s="651">
        <v>31</v>
      </c>
    </row>
    <row r="176" spans="1:10" ht="13.5">
      <c r="A176" s="648">
        <v>414</v>
      </c>
      <c r="B176" s="622" t="s">
        <v>1402</v>
      </c>
      <c r="C176" s="649" t="s">
        <v>1538</v>
      </c>
      <c r="D176" s="650"/>
      <c r="E176" s="628" t="s">
        <v>1595</v>
      </c>
      <c r="F176" s="637" t="s">
        <v>1799</v>
      </c>
      <c r="G176" s="653" t="s">
        <v>2142</v>
      </c>
      <c r="H176" s="654" t="s">
        <v>12</v>
      </c>
      <c r="I176" s="654">
        <v>2</v>
      </c>
      <c r="J176" s="651">
        <v>11</v>
      </c>
    </row>
    <row r="177" spans="1:10" ht="13.5">
      <c r="A177" s="648">
        <v>414</v>
      </c>
      <c r="B177" s="622" t="s">
        <v>1402</v>
      </c>
      <c r="C177" s="649" t="s">
        <v>1538</v>
      </c>
      <c r="D177" s="650"/>
      <c r="E177" s="628" t="s">
        <v>1596</v>
      </c>
      <c r="F177" s="637" t="s">
        <v>1888</v>
      </c>
      <c r="G177" s="653" t="s">
        <v>2142</v>
      </c>
      <c r="H177" s="654" t="s">
        <v>12</v>
      </c>
      <c r="I177" s="654">
        <v>2</v>
      </c>
      <c r="J177" s="651">
        <v>30</v>
      </c>
    </row>
    <row r="178" spans="1:10" ht="13.5">
      <c r="A178" s="648">
        <v>415</v>
      </c>
      <c r="B178" s="622" t="s">
        <v>1411</v>
      </c>
      <c r="C178" s="649" t="s">
        <v>1538</v>
      </c>
      <c r="D178" s="650"/>
      <c r="E178" s="628" t="s">
        <v>1587</v>
      </c>
      <c r="F178" s="637" t="s">
        <v>1799</v>
      </c>
      <c r="G178" s="653" t="s">
        <v>2142</v>
      </c>
      <c r="H178" s="654" t="s">
        <v>12</v>
      </c>
      <c r="I178" s="654">
        <v>2</v>
      </c>
      <c r="J178" s="651">
        <v>10</v>
      </c>
    </row>
    <row r="179" spans="1:10" ht="13.5">
      <c r="A179" s="648">
        <v>415</v>
      </c>
      <c r="B179" s="622" t="s">
        <v>1411</v>
      </c>
      <c r="C179" s="649" t="s">
        <v>1538</v>
      </c>
      <c r="D179" s="650"/>
      <c r="E179" s="628" t="s">
        <v>1606</v>
      </c>
      <c r="F179" s="637" t="s">
        <v>1888</v>
      </c>
      <c r="G179" s="653" t="s">
        <v>2142</v>
      </c>
      <c r="H179" s="654" t="s">
        <v>12</v>
      </c>
      <c r="I179" s="654">
        <v>2</v>
      </c>
      <c r="J179" s="651">
        <v>32</v>
      </c>
    </row>
    <row r="180" spans="1:10" ht="13.5">
      <c r="A180" s="648">
        <v>421</v>
      </c>
      <c r="B180" s="622" t="s">
        <v>2064</v>
      </c>
      <c r="C180" s="649" t="s">
        <v>1538</v>
      </c>
      <c r="D180" s="650"/>
      <c r="E180" s="638" t="s">
        <v>1584</v>
      </c>
      <c r="F180" s="628" t="s">
        <v>2085</v>
      </c>
      <c r="G180" s="653" t="s">
        <v>2142</v>
      </c>
      <c r="H180" s="654" t="s">
        <v>12</v>
      </c>
      <c r="I180" s="654">
        <v>2</v>
      </c>
      <c r="J180" s="628">
        <v>17</v>
      </c>
    </row>
    <row r="181" spans="1:10" ht="13.5">
      <c r="A181" s="648">
        <v>421</v>
      </c>
      <c r="B181" s="622" t="s">
        <v>2064</v>
      </c>
      <c r="C181" s="649" t="s">
        <v>1538</v>
      </c>
      <c r="D181" s="650"/>
      <c r="E181" s="638" t="s">
        <v>1606</v>
      </c>
      <c r="F181" s="628" t="s">
        <v>2086</v>
      </c>
      <c r="G181" s="653" t="s">
        <v>2142</v>
      </c>
      <c r="H181" s="654" t="s">
        <v>12</v>
      </c>
      <c r="I181" s="654">
        <v>2</v>
      </c>
      <c r="J181" s="628">
        <v>41</v>
      </c>
    </row>
    <row r="182" spans="1:10" ht="13.5">
      <c r="A182" s="648">
        <v>421</v>
      </c>
      <c r="B182" s="622" t="s">
        <v>2064</v>
      </c>
      <c r="C182" s="649" t="s">
        <v>1538</v>
      </c>
      <c r="D182" s="650"/>
      <c r="E182" s="638" t="s">
        <v>2095</v>
      </c>
      <c r="F182" s="628" t="s">
        <v>2087</v>
      </c>
      <c r="G182" s="653" t="s">
        <v>2142</v>
      </c>
      <c r="H182" s="654" t="s">
        <v>12</v>
      </c>
      <c r="I182" s="654">
        <v>2</v>
      </c>
      <c r="J182" s="628">
        <v>10</v>
      </c>
    </row>
    <row r="183" spans="1:10" ht="13.5">
      <c r="A183" s="648">
        <v>421</v>
      </c>
      <c r="B183" s="622" t="s">
        <v>2064</v>
      </c>
      <c r="C183" s="649" t="s">
        <v>1538</v>
      </c>
      <c r="D183" s="650"/>
      <c r="E183" s="638" t="s">
        <v>2096</v>
      </c>
      <c r="F183" s="628" t="s">
        <v>2088</v>
      </c>
      <c r="G183" s="653" t="s">
        <v>2142</v>
      </c>
      <c r="H183" s="654" t="s">
        <v>12</v>
      </c>
      <c r="I183" s="654">
        <v>2</v>
      </c>
      <c r="J183" s="628">
        <v>5</v>
      </c>
    </row>
    <row r="184" spans="1:10" ht="13.5">
      <c r="A184" s="648">
        <v>421</v>
      </c>
      <c r="B184" s="622" t="s">
        <v>2064</v>
      </c>
      <c r="C184" s="649" t="s">
        <v>1538</v>
      </c>
      <c r="D184" s="650"/>
      <c r="E184" s="638" t="s">
        <v>2097</v>
      </c>
      <c r="F184" s="628" t="s">
        <v>2089</v>
      </c>
      <c r="G184" s="653" t="s">
        <v>2142</v>
      </c>
      <c r="H184" s="654" t="s">
        <v>12</v>
      </c>
      <c r="I184" s="654">
        <v>2</v>
      </c>
      <c r="J184" s="628">
        <v>6</v>
      </c>
    </row>
    <row r="185" spans="1:10" ht="13.5">
      <c r="A185" s="648">
        <v>421</v>
      </c>
      <c r="B185" s="622" t="s">
        <v>2064</v>
      </c>
      <c r="C185" s="649" t="s">
        <v>1538</v>
      </c>
      <c r="D185" s="650"/>
      <c r="E185" s="638" t="s">
        <v>2098</v>
      </c>
      <c r="F185" s="628" t="s">
        <v>2090</v>
      </c>
      <c r="G185" s="653" t="s">
        <v>2142</v>
      </c>
      <c r="H185" s="654" t="s">
        <v>12</v>
      </c>
      <c r="I185" s="654">
        <v>2</v>
      </c>
      <c r="J185" s="628">
        <v>12</v>
      </c>
    </row>
    <row r="186" spans="1:10" ht="13.5">
      <c r="A186" s="648">
        <v>421</v>
      </c>
      <c r="B186" s="622" t="s">
        <v>2064</v>
      </c>
      <c r="C186" s="649" t="s">
        <v>1538</v>
      </c>
      <c r="D186" s="650"/>
      <c r="E186" s="638" t="s">
        <v>2099</v>
      </c>
      <c r="F186" s="628" t="s">
        <v>2091</v>
      </c>
      <c r="G186" s="653" t="s">
        <v>2032</v>
      </c>
      <c r="H186" s="654" t="s">
        <v>12</v>
      </c>
      <c r="I186" s="654">
        <v>0</v>
      </c>
      <c r="J186" s="628">
        <v>17</v>
      </c>
    </row>
    <row r="187" spans="1:10" ht="13.5">
      <c r="A187" s="648">
        <v>421</v>
      </c>
      <c r="B187" s="622" t="s">
        <v>2064</v>
      </c>
      <c r="C187" s="649" t="s">
        <v>1538</v>
      </c>
      <c r="D187" s="650"/>
      <c r="E187" s="638" t="s">
        <v>2100</v>
      </c>
      <c r="F187" s="628" t="s">
        <v>2092</v>
      </c>
      <c r="G187" s="653" t="s">
        <v>2032</v>
      </c>
      <c r="H187" s="654" t="s">
        <v>12</v>
      </c>
      <c r="I187" s="654">
        <v>0</v>
      </c>
      <c r="J187" s="628">
        <v>41</v>
      </c>
    </row>
    <row r="188" spans="1:10" ht="13.5">
      <c r="A188" s="648">
        <v>421</v>
      </c>
      <c r="B188" s="622" t="s">
        <v>2064</v>
      </c>
      <c r="C188" s="649" t="s">
        <v>1538</v>
      </c>
      <c r="D188" s="650"/>
      <c r="E188" s="638" t="s">
        <v>2101</v>
      </c>
      <c r="F188" s="628" t="s">
        <v>2093</v>
      </c>
      <c r="G188" s="653" t="s">
        <v>2032</v>
      </c>
      <c r="H188" s="654" t="s">
        <v>12</v>
      </c>
      <c r="I188" s="654">
        <v>0</v>
      </c>
      <c r="J188" s="628">
        <v>15</v>
      </c>
    </row>
    <row r="189" spans="1:10" ht="13.5">
      <c r="A189" s="648">
        <v>421</v>
      </c>
      <c r="B189" s="622" t="s">
        <v>2064</v>
      </c>
      <c r="C189" s="649" t="s">
        <v>1538</v>
      </c>
      <c r="D189" s="650"/>
      <c r="E189" s="638" t="s">
        <v>2102</v>
      </c>
      <c r="F189" s="628" t="s">
        <v>2094</v>
      </c>
      <c r="G189" s="653" t="s">
        <v>2032</v>
      </c>
      <c r="H189" s="654" t="s">
        <v>12</v>
      </c>
      <c r="I189" s="654">
        <v>0</v>
      </c>
      <c r="J189" s="652">
        <v>18</v>
      </c>
    </row>
  </sheetData>
  <mergeCells count="1">
    <mergeCell ref="G1:G10"/>
  </mergeCells>
  <phoneticPr fontId="7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AE5A-763B-4384-B4FB-7C14D16B2D0E}">
  <sheetPr>
    <tabColor theme="0" tint="-0.14999847407452621"/>
  </sheetPr>
  <dimension ref="A1:Q885"/>
  <sheetViews>
    <sheetView showGridLines="0" zoomScale="70" zoomScaleNormal="70" workbookViewId="0">
      <pane ySplit="9" topLeftCell="A10" activePane="bottomLeft" state="frozen"/>
      <selection activeCell="F30" sqref="F30"/>
      <selection pane="bottomLeft" activeCell="G17" sqref="G17"/>
    </sheetView>
  </sheetViews>
  <sheetFormatPr defaultRowHeight="12.75"/>
  <cols>
    <col min="2" max="2" width="16.7109375" bestFit="1" customWidth="1"/>
    <col min="3" max="3" width="23.42578125" customWidth="1"/>
    <col min="4" max="4" width="21.140625" customWidth="1"/>
    <col min="5" max="5" width="13.5703125" bestFit="1" customWidth="1"/>
    <col min="6" max="6" width="29.85546875" customWidth="1"/>
    <col min="7" max="7" width="10.85546875" bestFit="1" customWidth="1"/>
    <col min="8" max="8" width="19.7109375" bestFit="1" customWidth="1"/>
    <col min="9" max="9" width="14.85546875" bestFit="1" customWidth="1"/>
    <col min="17" max="17" width="9.5703125" customWidth="1"/>
  </cols>
  <sheetData>
    <row r="1" spans="1:17" ht="13.5">
      <c r="A1" s="469" t="s">
        <v>2</v>
      </c>
      <c r="B1" s="612"/>
      <c r="C1" s="187"/>
      <c r="D1" s="187"/>
      <c r="E1" s="188"/>
      <c r="F1" s="27"/>
      <c r="G1" s="27"/>
      <c r="H1" s="470"/>
      <c r="I1" s="27"/>
      <c r="J1" s="189"/>
    </row>
    <row r="2" spans="1:17" ht="13.5">
      <c r="A2" s="195"/>
      <c r="B2" s="187"/>
      <c r="C2" s="187"/>
      <c r="D2" s="193"/>
      <c r="E2" s="194"/>
      <c r="F2" s="195"/>
      <c r="G2" s="195"/>
      <c r="H2" s="471"/>
      <c r="I2" s="196"/>
      <c r="J2" s="197"/>
      <c r="K2" s="566"/>
      <c r="L2" s="566"/>
      <c r="M2" s="566"/>
      <c r="N2" s="566"/>
      <c r="O2" s="566"/>
      <c r="P2" s="566"/>
      <c r="Q2" s="566"/>
    </row>
    <row r="3" spans="1:17" ht="17.25">
      <c r="A3" s="472" t="s">
        <v>3</v>
      </c>
      <c r="B3" s="187"/>
      <c r="C3" s="241" t="str">
        <f>'1-Inschrijfstaat'!B3</f>
        <v>GVB Infra B.V.</v>
      </c>
      <c r="D3" s="194"/>
      <c r="F3" s="565"/>
      <c r="G3" s="27"/>
      <c r="H3" s="470"/>
      <c r="I3" s="196"/>
      <c r="J3" s="199"/>
      <c r="K3" s="566"/>
      <c r="L3" s="566"/>
      <c r="M3" s="566"/>
      <c r="N3" s="566"/>
      <c r="O3" s="566"/>
      <c r="P3" s="566"/>
      <c r="Q3" s="566"/>
    </row>
    <row r="4" spans="1:17" ht="17.25">
      <c r="A4" s="472" t="s">
        <v>8</v>
      </c>
      <c r="B4" s="187"/>
      <c r="C4" s="241" t="str">
        <f ca="1">MID(CELL("bestandsnaam",$B$9),SEARCH("]",CELL("bestandsnaam",$B$9),1)+1,256)</f>
        <v>13- Technischeruimten</v>
      </c>
      <c r="D4" s="194"/>
      <c r="F4" s="565"/>
      <c r="G4" s="27"/>
      <c r="H4" s="470"/>
      <c r="I4" s="196"/>
      <c r="J4" s="201"/>
      <c r="K4" s="566"/>
      <c r="L4" s="566"/>
      <c r="M4" s="566"/>
      <c r="N4" s="566"/>
      <c r="O4" s="566"/>
      <c r="P4" s="566"/>
      <c r="Q4" s="566"/>
    </row>
    <row r="5" spans="1:17" ht="17.25">
      <c r="A5" s="472" t="s">
        <v>4</v>
      </c>
      <c r="B5" s="187"/>
      <c r="C5" s="241" t="str">
        <f>'1-Inschrijfstaat'!B5</f>
        <v>Diverse</v>
      </c>
      <c r="D5" s="194"/>
      <c r="F5" s="27"/>
      <c r="G5" s="27"/>
      <c r="H5" s="470"/>
      <c r="I5" s="196"/>
      <c r="J5" s="201"/>
      <c r="K5" s="566"/>
      <c r="L5" s="566"/>
      <c r="M5" s="566"/>
      <c r="N5" s="566"/>
      <c r="O5" s="566"/>
      <c r="P5" s="566"/>
      <c r="Q5" s="566"/>
    </row>
    <row r="6" spans="1:17" ht="17.25">
      <c r="A6" s="472" t="s">
        <v>9</v>
      </c>
      <c r="B6" s="187"/>
      <c r="C6" s="241" t="str">
        <f>'1-Inschrijfstaat'!B6</f>
        <v>2021-61</v>
      </c>
      <c r="D6" s="194"/>
      <c r="F6" s="27"/>
      <c r="G6" s="27"/>
      <c r="H6" s="470"/>
      <c r="I6" s="196"/>
      <c r="J6" s="201"/>
    </row>
    <row r="7" spans="1:17" ht="17.25">
      <c r="A7" s="472" t="s">
        <v>6</v>
      </c>
      <c r="B7" s="187"/>
      <c r="C7" s="241" t="str">
        <f>'1-Inschrijfstaat'!B7</f>
        <v>Naam dienstverlener</v>
      </c>
      <c r="D7" s="194"/>
      <c r="F7" s="27"/>
      <c r="G7" s="27"/>
      <c r="H7" s="470"/>
      <c r="I7" s="196"/>
      <c r="J7" s="201"/>
    </row>
    <row r="8" spans="1:17" ht="15.75">
      <c r="A8" s="472" t="s">
        <v>7</v>
      </c>
      <c r="B8" s="187"/>
      <c r="C8" s="11" t="str">
        <f>'1-Inschrijfstaat'!B8</f>
        <v>1 januari 2022</v>
      </c>
      <c r="D8" s="194"/>
      <c r="F8" s="27"/>
      <c r="G8" s="27"/>
      <c r="H8" s="470"/>
      <c r="I8" s="196"/>
      <c r="J8" s="201"/>
    </row>
    <row r="9" spans="1:17" ht="15">
      <c r="A9" s="473" t="s">
        <v>0</v>
      </c>
      <c r="B9" s="187"/>
      <c r="C9" s="202" t="str">
        <f>'1-Inschrijfstaat'!B9</f>
        <v>1 Technische schoonmaak Algemeen</v>
      </c>
      <c r="D9" s="203"/>
      <c r="F9" s="187"/>
      <c r="G9" s="27"/>
      <c r="H9" s="470"/>
      <c r="I9" s="196"/>
      <c r="J9" s="201"/>
    </row>
    <row r="10" spans="1:17" ht="13.5">
      <c r="A10" s="204"/>
      <c r="B10" s="205"/>
      <c r="C10" s="27"/>
      <c r="D10" s="206"/>
      <c r="F10" s="27"/>
      <c r="G10" s="205"/>
      <c r="H10" s="474"/>
      <c r="I10" s="207"/>
      <c r="J10" s="474"/>
    </row>
    <row r="12" spans="1:17" ht="27" customHeight="1">
      <c r="A12" s="686" t="s">
        <v>2046</v>
      </c>
      <c r="B12" s="687"/>
      <c r="C12" s="504" t="s">
        <v>1691</v>
      </c>
      <c r="D12" s="505">
        <v>0</v>
      </c>
    </row>
    <row r="13" spans="1:17" s="147" customFormat="1" ht="13.5"/>
    <row r="14" spans="1:17" s="147" customFormat="1" ht="13.5">
      <c r="A14" s="479" t="s">
        <v>1690</v>
      </c>
      <c r="B14" s="479"/>
      <c r="C14" s="468" t="s">
        <v>2012</v>
      </c>
      <c r="D14" s="468" t="s">
        <v>1687</v>
      </c>
    </row>
    <row r="15" spans="1:17" s="147" customFormat="1" ht="13.5">
      <c r="A15" s="167" t="s">
        <v>1688</v>
      </c>
      <c r="B15" s="480"/>
      <c r="C15" s="455" t="s">
        <v>2013</v>
      </c>
      <c r="D15" s="265">
        <v>0</v>
      </c>
    </row>
    <row r="17" spans="1:9" ht="25.5">
      <c r="A17" s="467" t="s">
        <v>289</v>
      </c>
      <c r="B17" s="467" t="s">
        <v>290</v>
      </c>
      <c r="C17" s="254" t="s">
        <v>13</v>
      </c>
      <c r="D17" s="467" t="s">
        <v>2077</v>
      </c>
      <c r="E17" s="467" t="s">
        <v>2047</v>
      </c>
      <c r="F17" s="467" t="s">
        <v>2048</v>
      </c>
      <c r="G17" s="467" t="s">
        <v>1687</v>
      </c>
      <c r="H17" s="467" t="s">
        <v>2044</v>
      </c>
    </row>
    <row r="18" spans="1:9" ht="13.5">
      <c r="A18" s="28">
        <v>102</v>
      </c>
      <c r="B18" s="28" t="s">
        <v>849</v>
      </c>
      <c r="C18" s="28" t="s">
        <v>180</v>
      </c>
      <c r="D18" s="482">
        <f>SUMIF($A$76:$A$885,A18,$I$76:$I$885)</f>
        <v>5865.2999999999993</v>
      </c>
      <c r="E18" s="484" t="e">
        <f>D18/$D$12</f>
        <v>#DIV/0!</v>
      </c>
      <c r="F18" s="506">
        <v>1</v>
      </c>
      <c r="G18" s="236">
        <f>$D$15</f>
        <v>0</v>
      </c>
      <c r="H18" s="236" t="e">
        <f t="shared" ref="H18:H22" si="0">G18*F18*E18</f>
        <v>#DIV/0!</v>
      </c>
      <c r="I18" s="477"/>
    </row>
    <row r="19" spans="1:9" ht="13.5">
      <c r="A19" s="28">
        <v>103</v>
      </c>
      <c r="B19" s="28" t="s">
        <v>717</v>
      </c>
      <c r="C19" s="28" t="s">
        <v>180</v>
      </c>
      <c r="D19" s="482">
        <f t="shared" ref="D19:D68" si="1">SUMIF($A$76:$A$885,A19,$I$76:$I$885)</f>
        <v>2586.8627500000002</v>
      </c>
      <c r="E19" s="484" t="e">
        <f>D19/$D$12</f>
        <v>#DIV/0!</v>
      </c>
      <c r="F19" s="506">
        <v>1</v>
      </c>
      <c r="G19" s="236">
        <f>$D$15</f>
        <v>0</v>
      </c>
      <c r="H19" s="236" t="e">
        <f t="shared" si="0"/>
        <v>#DIV/0!</v>
      </c>
      <c r="I19" s="477"/>
    </row>
    <row r="20" spans="1:9" ht="13.5">
      <c r="A20" s="28">
        <v>104</v>
      </c>
      <c r="B20" s="28" t="s">
        <v>165</v>
      </c>
      <c r="C20" s="28" t="s">
        <v>180</v>
      </c>
      <c r="D20" s="482">
        <f t="shared" si="1"/>
        <v>7443.3235849999965</v>
      </c>
      <c r="E20" s="484" t="e">
        <f>D20/$D$12</f>
        <v>#DIV/0!</v>
      </c>
      <c r="F20" s="506">
        <v>1</v>
      </c>
      <c r="G20" s="236">
        <f>$D$15</f>
        <v>0</v>
      </c>
      <c r="H20" s="236" t="e">
        <f t="shared" si="0"/>
        <v>#DIV/0!</v>
      </c>
      <c r="I20" s="477"/>
    </row>
    <row r="21" spans="1:9" ht="13.5">
      <c r="A21" s="28">
        <v>105</v>
      </c>
      <c r="B21" s="28" t="s">
        <v>850</v>
      </c>
      <c r="C21" s="28" t="s">
        <v>180</v>
      </c>
      <c r="D21" s="482">
        <f t="shared" si="1"/>
        <v>3593.2084999999997</v>
      </c>
      <c r="E21" s="484" t="e">
        <f>D21/$D$12</f>
        <v>#DIV/0!</v>
      </c>
      <c r="F21" s="506">
        <v>1</v>
      </c>
      <c r="G21" s="236">
        <f>$D$15</f>
        <v>0</v>
      </c>
      <c r="H21" s="236" t="e">
        <f t="shared" si="0"/>
        <v>#DIV/0!</v>
      </c>
      <c r="I21" s="477"/>
    </row>
    <row r="22" spans="1:9" ht="13.5">
      <c r="A22" s="28">
        <v>106</v>
      </c>
      <c r="B22" s="28" t="s">
        <v>1034</v>
      </c>
      <c r="C22" s="28" t="s">
        <v>22</v>
      </c>
      <c r="D22" s="482">
        <f t="shared" si="1"/>
        <v>57</v>
      </c>
      <c r="E22" s="484" t="e">
        <f>D22/$D$12</f>
        <v>#DIV/0!</v>
      </c>
      <c r="F22" s="506">
        <v>1</v>
      </c>
      <c r="G22" s="236">
        <f>$D$15</f>
        <v>0</v>
      </c>
      <c r="H22" s="236" t="e">
        <f t="shared" si="0"/>
        <v>#DIV/0!</v>
      </c>
      <c r="I22" s="477"/>
    </row>
    <row r="23" spans="1:9" ht="13.5">
      <c r="A23" s="28">
        <v>107</v>
      </c>
      <c r="B23" s="28" t="s">
        <v>288</v>
      </c>
      <c r="C23" s="28" t="s">
        <v>22</v>
      </c>
      <c r="D23" s="482">
        <f t="shared" si="1"/>
        <v>127.92000000000002</v>
      </c>
      <c r="E23" s="484" t="e">
        <f t="shared" ref="E23:E68" si="2">D23/$D$12</f>
        <v>#DIV/0!</v>
      </c>
      <c r="F23" s="506">
        <v>1</v>
      </c>
      <c r="G23" s="236">
        <f t="shared" ref="G23:G68" si="3">$D$15</f>
        <v>0</v>
      </c>
      <c r="H23" s="236" t="e">
        <f t="shared" ref="H23:H68" si="4">G23*F23*E23</f>
        <v>#DIV/0!</v>
      </c>
      <c r="I23" s="477"/>
    </row>
    <row r="24" spans="1:9" ht="13.5">
      <c r="A24" s="28">
        <v>108</v>
      </c>
      <c r="B24" s="28" t="s">
        <v>254</v>
      </c>
      <c r="C24" s="28" t="s">
        <v>22</v>
      </c>
      <c r="D24" s="482">
        <f t="shared" si="1"/>
        <v>338.74</v>
      </c>
      <c r="E24" s="484" t="e">
        <f t="shared" si="2"/>
        <v>#DIV/0!</v>
      </c>
      <c r="F24" s="506">
        <v>1</v>
      </c>
      <c r="G24" s="236">
        <f t="shared" si="3"/>
        <v>0</v>
      </c>
      <c r="H24" s="236" t="e">
        <f t="shared" si="4"/>
        <v>#DIV/0!</v>
      </c>
      <c r="I24" s="477"/>
    </row>
    <row r="25" spans="1:9" ht="13.5">
      <c r="A25" s="28">
        <v>109</v>
      </c>
      <c r="B25" s="28" t="s">
        <v>851</v>
      </c>
      <c r="C25" s="28" t="s">
        <v>22</v>
      </c>
      <c r="D25" s="482">
        <f t="shared" si="1"/>
        <v>49</v>
      </c>
      <c r="E25" s="484" t="e">
        <f t="shared" si="2"/>
        <v>#DIV/0!</v>
      </c>
      <c r="F25" s="506">
        <v>1</v>
      </c>
      <c r="G25" s="236">
        <f t="shared" si="3"/>
        <v>0</v>
      </c>
      <c r="H25" s="236" t="e">
        <f t="shared" si="4"/>
        <v>#DIV/0!</v>
      </c>
      <c r="I25" s="477"/>
    </row>
    <row r="26" spans="1:9" ht="13.5">
      <c r="A26" s="28">
        <v>110</v>
      </c>
      <c r="B26" s="28" t="s">
        <v>103</v>
      </c>
      <c r="C26" s="28" t="s">
        <v>22</v>
      </c>
      <c r="D26" s="482">
        <f t="shared" si="1"/>
        <v>396.65999999999997</v>
      </c>
      <c r="E26" s="484" t="e">
        <f t="shared" si="2"/>
        <v>#DIV/0!</v>
      </c>
      <c r="F26" s="506">
        <v>1</v>
      </c>
      <c r="G26" s="236">
        <f t="shared" si="3"/>
        <v>0</v>
      </c>
      <c r="H26" s="236" t="e">
        <f t="shared" si="4"/>
        <v>#DIV/0!</v>
      </c>
      <c r="I26" s="477"/>
    </row>
    <row r="27" spans="1:9" ht="13.5">
      <c r="A27" s="28">
        <v>111</v>
      </c>
      <c r="B27" s="28" t="s">
        <v>852</v>
      </c>
      <c r="C27" s="28" t="s">
        <v>22</v>
      </c>
      <c r="D27" s="482">
        <f t="shared" si="1"/>
        <v>153.70999999999998</v>
      </c>
      <c r="E27" s="484" t="e">
        <f t="shared" si="2"/>
        <v>#DIV/0!</v>
      </c>
      <c r="F27" s="506">
        <v>1</v>
      </c>
      <c r="G27" s="236">
        <f t="shared" si="3"/>
        <v>0</v>
      </c>
      <c r="H27" s="236" t="e">
        <f t="shared" si="4"/>
        <v>#DIV/0!</v>
      </c>
      <c r="I27" s="477"/>
    </row>
    <row r="28" spans="1:9" ht="13.5">
      <c r="A28" s="28">
        <v>112</v>
      </c>
      <c r="B28" s="28" t="s">
        <v>140</v>
      </c>
      <c r="C28" s="28" t="s">
        <v>22</v>
      </c>
      <c r="D28" s="482">
        <f t="shared" si="1"/>
        <v>355.14000000000004</v>
      </c>
      <c r="E28" s="484" t="e">
        <f t="shared" si="2"/>
        <v>#DIV/0!</v>
      </c>
      <c r="F28" s="506">
        <v>1</v>
      </c>
      <c r="G28" s="236">
        <f t="shared" si="3"/>
        <v>0</v>
      </c>
      <c r="H28" s="236" t="e">
        <f t="shared" si="4"/>
        <v>#DIV/0!</v>
      </c>
      <c r="I28" s="477"/>
    </row>
    <row r="29" spans="1:9" ht="13.5">
      <c r="A29" s="28">
        <v>113</v>
      </c>
      <c r="B29" s="28" t="s">
        <v>853</v>
      </c>
      <c r="C29" s="28" t="s">
        <v>22</v>
      </c>
      <c r="D29" s="482">
        <f t="shared" si="1"/>
        <v>383.76</v>
      </c>
      <c r="E29" s="484" t="e">
        <f t="shared" si="2"/>
        <v>#DIV/0!</v>
      </c>
      <c r="F29" s="506">
        <v>1</v>
      </c>
      <c r="G29" s="236">
        <f t="shared" si="3"/>
        <v>0</v>
      </c>
      <c r="H29" s="236" t="e">
        <f t="shared" si="4"/>
        <v>#DIV/0!</v>
      </c>
      <c r="I29" s="477"/>
    </row>
    <row r="30" spans="1:9" ht="13.5">
      <c r="A30" s="28">
        <v>114</v>
      </c>
      <c r="B30" s="28" t="s">
        <v>21</v>
      </c>
      <c r="C30" s="28" t="s">
        <v>22</v>
      </c>
      <c r="D30" s="482">
        <f t="shared" si="1"/>
        <v>401.06000000000006</v>
      </c>
      <c r="E30" s="484" t="e">
        <f t="shared" si="2"/>
        <v>#DIV/0!</v>
      </c>
      <c r="F30" s="506">
        <v>1</v>
      </c>
      <c r="G30" s="236">
        <f t="shared" si="3"/>
        <v>0</v>
      </c>
      <c r="H30" s="236" t="e">
        <f t="shared" si="4"/>
        <v>#DIV/0!</v>
      </c>
      <c r="I30" s="477"/>
    </row>
    <row r="31" spans="1:9" ht="13.5">
      <c r="A31" s="28">
        <v>115</v>
      </c>
      <c r="B31" s="28" t="s">
        <v>73</v>
      </c>
      <c r="C31" s="28" t="s">
        <v>74</v>
      </c>
      <c r="D31" s="482">
        <f t="shared" si="1"/>
        <v>361.83000000000004</v>
      </c>
      <c r="E31" s="484" t="e">
        <f t="shared" si="2"/>
        <v>#DIV/0!</v>
      </c>
      <c r="F31" s="506">
        <v>1</v>
      </c>
      <c r="G31" s="236">
        <f t="shared" si="3"/>
        <v>0</v>
      </c>
      <c r="H31" s="236" t="e">
        <f t="shared" si="4"/>
        <v>#DIV/0!</v>
      </c>
      <c r="I31" s="477"/>
    </row>
    <row r="32" spans="1:9" ht="13.5">
      <c r="A32" s="28">
        <v>116</v>
      </c>
      <c r="B32" s="28" t="s">
        <v>237</v>
      </c>
      <c r="C32" s="28" t="s">
        <v>22</v>
      </c>
      <c r="D32" s="482">
        <f t="shared" si="1"/>
        <v>454</v>
      </c>
      <c r="E32" s="484" t="e">
        <f t="shared" si="2"/>
        <v>#DIV/0!</v>
      </c>
      <c r="F32" s="506">
        <v>1</v>
      </c>
      <c r="G32" s="236">
        <f t="shared" si="3"/>
        <v>0</v>
      </c>
      <c r="H32" s="236" t="e">
        <f t="shared" si="4"/>
        <v>#DIV/0!</v>
      </c>
      <c r="I32" s="477"/>
    </row>
    <row r="33" spans="1:9" ht="13.5">
      <c r="A33" s="28">
        <v>117</v>
      </c>
      <c r="B33" s="28" t="s">
        <v>296</v>
      </c>
      <c r="C33" s="28" t="s">
        <v>22</v>
      </c>
      <c r="D33" s="482">
        <f t="shared" si="1"/>
        <v>547</v>
      </c>
      <c r="E33" s="484" t="e">
        <f t="shared" si="2"/>
        <v>#DIV/0!</v>
      </c>
      <c r="F33" s="506">
        <v>1</v>
      </c>
      <c r="G33" s="236">
        <f t="shared" si="3"/>
        <v>0</v>
      </c>
      <c r="H33" s="236" t="e">
        <f t="shared" si="4"/>
        <v>#DIV/0!</v>
      </c>
      <c r="I33" s="477"/>
    </row>
    <row r="34" spans="1:9" ht="13.5">
      <c r="A34" s="28">
        <v>118</v>
      </c>
      <c r="B34" s="28" t="s">
        <v>198</v>
      </c>
      <c r="C34" s="28" t="s">
        <v>22</v>
      </c>
      <c r="D34" s="482">
        <f t="shared" si="1"/>
        <v>212</v>
      </c>
      <c r="E34" s="484" t="e">
        <f t="shared" si="2"/>
        <v>#DIV/0!</v>
      </c>
      <c r="F34" s="506">
        <v>1</v>
      </c>
      <c r="G34" s="236">
        <f t="shared" si="3"/>
        <v>0</v>
      </c>
      <c r="H34" s="236" t="e">
        <f t="shared" si="4"/>
        <v>#DIV/0!</v>
      </c>
      <c r="I34" s="477"/>
    </row>
    <row r="35" spans="1:9" ht="13.5">
      <c r="A35" s="28">
        <v>119</v>
      </c>
      <c r="B35" s="28" t="s">
        <v>310</v>
      </c>
      <c r="C35" s="28" t="s">
        <v>22</v>
      </c>
      <c r="D35" s="482">
        <f t="shared" si="1"/>
        <v>75</v>
      </c>
      <c r="E35" s="484" t="e">
        <f t="shared" si="2"/>
        <v>#DIV/0!</v>
      </c>
      <c r="F35" s="506">
        <v>1</v>
      </c>
      <c r="G35" s="236">
        <f t="shared" si="3"/>
        <v>0</v>
      </c>
      <c r="H35" s="236" t="e">
        <f t="shared" si="4"/>
        <v>#DIV/0!</v>
      </c>
      <c r="I35" s="477"/>
    </row>
    <row r="36" spans="1:9" ht="13.5">
      <c r="A36" s="28">
        <v>120</v>
      </c>
      <c r="B36" s="28" t="s">
        <v>300</v>
      </c>
      <c r="C36" s="28" t="s">
        <v>22</v>
      </c>
      <c r="D36" s="482">
        <f t="shared" si="1"/>
        <v>165</v>
      </c>
      <c r="E36" s="484" t="e">
        <f t="shared" si="2"/>
        <v>#DIV/0!</v>
      </c>
      <c r="F36" s="506">
        <v>1</v>
      </c>
      <c r="G36" s="236">
        <f t="shared" si="3"/>
        <v>0</v>
      </c>
      <c r="H36" s="236" t="e">
        <f t="shared" si="4"/>
        <v>#DIV/0!</v>
      </c>
      <c r="I36" s="477"/>
    </row>
    <row r="37" spans="1:9" ht="13.5">
      <c r="A37" s="28">
        <v>121</v>
      </c>
      <c r="B37" s="28" t="s">
        <v>181</v>
      </c>
      <c r="C37" s="28" t="s">
        <v>22</v>
      </c>
      <c r="D37" s="482">
        <f t="shared" si="1"/>
        <v>304.13</v>
      </c>
      <c r="E37" s="484" t="e">
        <f t="shared" si="2"/>
        <v>#DIV/0!</v>
      </c>
      <c r="F37" s="506">
        <v>1</v>
      </c>
      <c r="G37" s="236">
        <f t="shared" si="3"/>
        <v>0</v>
      </c>
      <c r="H37" s="236" t="e">
        <f t="shared" si="4"/>
        <v>#DIV/0!</v>
      </c>
      <c r="I37" s="477"/>
    </row>
    <row r="38" spans="1:9" ht="13.5">
      <c r="A38" s="28">
        <v>1001</v>
      </c>
      <c r="B38" s="28" t="s">
        <v>1038</v>
      </c>
      <c r="C38" s="28" t="s">
        <v>1042</v>
      </c>
      <c r="D38" s="482">
        <f t="shared" si="1"/>
        <v>6</v>
      </c>
      <c r="E38" s="484" t="e">
        <f t="shared" si="2"/>
        <v>#DIV/0!</v>
      </c>
      <c r="F38" s="506">
        <v>1</v>
      </c>
      <c r="G38" s="236">
        <f t="shared" si="3"/>
        <v>0</v>
      </c>
      <c r="H38" s="236" t="e">
        <f t="shared" si="4"/>
        <v>#DIV/0!</v>
      </c>
      <c r="I38" s="477"/>
    </row>
    <row r="39" spans="1:9" ht="13.5">
      <c r="A39" s="28">
        <v>1002</v>
      </c>
      <c r="B39" s="28" t="s">
        <v>1069</v>
      </c>
      <c r="C39" s="28" t="s">
        <v>1042</v>
      </c>
      <c r="D39" s="482">
        <f t="shared" si="1"/>
        <v>330.98</v>
      </c>
      <c r="E39" s="484" t="e">
        <f t="shared" si="2"/>
        <v>#DIV/0!</v>
      </c>
      <c r="F39" s="506">
        <v>1</v>
      </c>
      <c r="G39" s="236">
        <f t="shared" si="3"/>
        <v>0</v>
      </c>
      <c r="H39" s="236" t="e">
        <f t="shared" si="4"/>
        <v>#DIV/0!</v>
      </c>
      <c r="I39" s="477"/>
    </row>
    <row r="40" spans="1:9" ht="13.5">
      <c r="A40" s="53">
        <v>201</v>
      </c>
      <c r="B40" s="53" t="s">
        <v>1536</v>
      </c>
      <c r="C40" s="53" t="s">
        <v>1403</v>
      </c>
      <c r="D40" s="482">
        <f t="shared" si="1"/>
        <v>0</v>
      </c>
      <c r="E40" s="484" t="e">
        <f t="shared" si="2"/>
        <v>#DIV/0!</v>
      </c>
      <c r="F40" s="506">
        <v>1</v>
      </c>
      <c r="G40" s="236">
        <f t="shared" si="3"/>
        <v>0</v>
      </c>
      <c r="H40" s="236" t="e">
        <f t="shared" si="4"/>
        <v>#DIV/0!</v>
      </c>
      <c r="I40" s="477"/>
    </row>
    <row r="41" spans="1:9" ht="13.5">
      <c r="A41" s="53">
        <v>202</v>
      </c>
      <c r="B41" s="53" t="s">
        <v>1404</v>
      </c>
      <c r="C41" s="53" t="s">
        <v>1403</v>
      </c>
      <c r="D41" s="482">
        <f t="shared" si="1"/>
        <v>0</v>
      </c>
      <c r="E41" s="484" t="e">
        <f t="shared" si="2"/>
        <v>#DIV/0!</v>
      </c>
      <c r="F41" s="506">
        <v>1</v>
      </c>
      <c r="G41" s="236">
        <f t="shared" si="3"/>
        <v>0</v>
      </c>
      <c r="H41" s="236" t="e">
        <f t="shared" si="4"/>
        <v>#DIV/0!</v>
      </c>
      <c r="I41" s="477"/>
    </row>
    <row r="42" spans="1:9" ht="13.5">
      <c r="A42" s="53">
        <v>203</v>
      </c>
      <c r="B42" s="53" t="s">
        <v>1405</v>
      </c>
      <c r="C42" s="53" t="s">
        <v>1403</v>
      </c>
      <c r="D42" s="482">
        <f t="shared" si="1"/>
        <v>0</v>
      </c>
      <c r="E42" s="484" t="e">
        <f t="shared" si="2"/>
        <v>#DIV/0!</v>
      </c>
      <c r="F42" s="506">
        <v>1</v>
      </c>
      <c r="G42" s="236">
        <f t="shared" si="3"/>
        <v>0</v>
      </c>
      <c r="H42" s="236" t="e">
        <f t="shared" si="4"/>
        <v>#DIV/0!</v>
      </c>
      <c r="I42" s="477"/>
    </row>
    <row r="43" spans="1:9" ht="13.5">
      <c r="A43" s="53">
        <v>204</v>
      </c>
      <c r="B43" s="53" t="s">
        <v>1406</v>
      </c>
      <c r="C43" s="53" t="s">
        <v>1403</v>
      </c>
      <c r="D43" s="482">
        <f t="shared" si="1"/>
        <v>0</v>
      </c>
      <c r="E43" s="484" t="e">
        <f t="shared" si="2"/>
        <v>#DIV/0!</v>
      </c>
      <c r="F43" s="506">
        <v>1</v>
      </c>
      <c r="G43" s="236">
        <f t="shared" si="3"/>
        <v>0</v>
      </c>
      <c r="H43" s="236" t="e">
        <f t="shared" si="4"/>
        <v>#DIV/0!</v>
      </c>
      <c r="I43" s="477"/>
    </row>
    <row r="44" spans="1:9" ht="13.5">
      <c r="A44" s="53">
        <v>205</v>
      </c>
      <c r="B44" s="53" t="s">
        <v>1407</v>
      </c>
      <c r="C44" s="53" t="s">
        <v>1403</v>
      </c>
      <c r="D44" s="482">
        <f t="shared" si="1"/>
        <v>0</v>
      </c>
      <c r="E44" s="484" t="e">
        <f t="shared" si="2"/>
        <v>#DIV/0!</v>
      </c>
      <c r="F44" s="506">
        <v>1</v>
      </c>
      <c r="G44" s="236">
        <f t="shared" si="3"/>
        <v>0</v>
      </c>
      <c r="H44" s="236" t="e">
        <f t="shared" si="4"/>
        <v>#DIV/0!</v>
      </c>
      <c r="I44" s="477"/>
    </row>
    <row r="45" spans="1:9" ht="13.5">
      <c r="A45" s="53">
        <v>206</v>
      </c>
      <c r="B45" s="53" t="s">
        <v>1408</v>
      </c>
      <c r="C45" s="53" t="s">
        <v>1403</v>
      </c>
      <c r="D45" s="482">
        <f t="shared" si="1"/>
        <v>0</v>
      </c>
      <c r="E45" s="484" t="e">
        <f t="shared" si="2"/>
        <v>#DIV/0!</v>
      </c>
      <c r="F45" s="506">
        <v>1</v>
      </c>
      <c r="G45" s="236">
        <f t="shared" si="3"/>
        <v>0</v>
      </c>
      <c r="H45" s="236" t="e">
        <f t="shared" si="4"/>
        <v>#DIV/0!</v>
      </c>
      <c r="I45" s="477"/>
    </row>
    <row r="46" spans="1:9" ht="13.5">
      <c r="A46" s="53">
        <v>207</v>
      </c>
      <c r="B46" s="53" t="s">
        <v>1409</v>
      </c>
      <c r="C46" s="53" t="s">
        <v>1403</v>
      </c>
      <c r="D46" s="482">
        <f t="shared" si="1"/>
        <v>0</v>
      </c>
      <c r="E46" s="484" t="e">
        <f t="shared" si="2"/>
        <v>#DIV/0!</v>
      </c>
      <c r="F46" s="506">
        <v>1</v>
      </c>
      <c r="G46" s="236">
        <f t="shared" si="3"/>
        <v>0</v>
      </c>
      <c r="H46" s="236" t="e">
        <f t="shared" si="4"/>
        <v>#DIV/0!</v>
      </c>
      <c r="I46" s="477"/>
    </row>
    <row r="47" spans="1:9" ht="13.5">
      <c r="A47" s="53">
        <v>208</v>
      </c>
      <c r="B47" s="53" t="s">
        <v>1668</v>
      </c>
      <c r="C47" s="53" t="s">
        <v>1403</v>
      </c>
      <c r="D47" s="482">
        <f t="shared" si="1"/>
        <v>0</v>
      </c>
      <c r="E47" s="484" t="e">
        <f t="shared" si="2"/>
        <v>#DIV/0!</v>
      </c>
      <c r="F47" s="506">
        <v>1</v>
      </c>
      <c r="G47" s="236">
        <f t="shared" si="3"/>
        <v>0</v>
      </c>
      <c r="H47" s="236" t="e">
        <f t="shared" si="4"/>
        <v>#DIV/0!</v>
      </c>
      <c r="I47" s="477"/>
    </row>
    <row r="48" spans="1:9" ht="13.5">
      <c r="A48" s="53">
        <v>209</v>
      </c>
      <c r="B48" s="53" t="s">
        <v>1669</v>
      </c>
      <c r="C48" s="53" t="s">
        <v>1403</v>
      </c>
      <c r="D48" s="482">
        <f t="shared" si="1"/>
        <v>0</v>
      </c>
      <c r="E48" s="484" t="e">
        <f t="shared" si="2"/>
        <v>#DIV/0!</v>
      </c>
      <c r="F48" s="506">
        <v>1</v>
      </c>
      <c r="G48" s="236">
        <f t="shared" si="3"/>
        <v>0</v>
      </c>
      <c r="H48" s="236" t="e">
        <f t="shared" si="4"/>
        <v>#DIV/0!</v>
      </c>
      <c r="I48" s="477"/>
    </row>
    <row r="49" spans="1:9" ht="13.5">
      <c r="A49" s="53">
        <v>210</v>
      </c>
      <c r="B49" s="53" t="s">
        <v>1670</v>
      </c>
      <c r="C49" s="53" t="s">
        <v>1403</v>
      </c>
      <c r="D49" s="482">
        <f t="shared" si="1"/>
        <v>0</v>
      </c>
      <c r="E49" s="484" t="e">
        <f t="shared" si="2"/>
        <v>#DIV/0!</v>
      </c>
      <c r="F49" s="506">
        <v>1</v>
      </c>
      <c r="G49" s="236">
        <f t="shared" si="3"/>
        <v>0</v>
      </c>
      <c r="H49" s="236" t="e">
        <f t="shared" si="4"/>
        <v>#DIV/0!</v>
      </c>
      <c r="I49" s="477"/>
    </row>
    <row r="50" spans="1:9" ht="13.5">
      <c r="A50" s="53">
        <v>211</v>
      </c>
      <c r="B50" s="53" t="s">
        <v>1671</v>
      </c>
      <c r="C50" s="53" t="s">
        <v>1403</v>
      </c>
      <c r="D50" s="482">
        <f>SUMIF($A$76:$A$885,A50,$I$76:$I$885)</f>
        <v>0</v>
      </c>
      <c r="E50" s="484" t="e">
        <f t="shared" si="2"/>
        <v>#DIV/0!</v>
      </c>
      <c r="F50" s="506">
        <v>1</v>
      </c>
      <c r="G50" s="236">
        <f t="shared" si="3"/>
        <v>0</v>
      </c>
      <c r="H50" s="236" t="e">
        <f t="shared" si="4"/>
        <v>#DIV/0!</v>
      </c>
      <c r="I50" s="477"/>
    </row>
    <row r="51" spans="1:9" ht="13.5">
      <c r="A51" s="53">
        <v>212</v>
      </c>
      <c r="B51" s="53" t="s">
        <v>1672</v>
      </c>
      <c r="C51" s="53" t="s">
        <v>1403</v>
      </c>
      <c r="D51" s="482">
        <f t="shared" si="1"/>
        <v>0</v>
      </c>
      <c r="E51" s="484" t="e">
        <f t="shared" si="2"/>
        <v>#DIV/0!</v>
      </c>
      <c r="F51" s="506">
        <v>1</v>
      </c>
      <c r="G51" s="236">
        <f t="shared" si="3"/>
        <v>0</v>
      </c>
      <c r="H51" s="236" t="e">
        <f t="shared" si="4"/>
        <v>#DIV/0!</v>
      </c>
      <c r="I51" s="477"/>
    </row>
    <row r="52" spans="1:9" ht="13.5">
      <c r="A52" s="53">
        <v>213</v>
      </c>
      <c r="B52" s="53" t="s">
        <v>1673</v>
      </c>
      <c r="C52" s="53" t="s">
        <v>1403</v>
      </c>
      <c r="D52" s="482">
        <f t="shared" si="1"/>
        <v>0</v>
      </c>
      <c r="E52" s="484" t="e">
        <f t="shared" si="2"/>
        <v>#DIV/0!</v>
      </c>
      <c r="F52" s="506">
        <v>1</v>
      </c>
      <c r="G52" s="236">
        <f t="shared" si="3"/>
        <v>0</v>
      </c>
      <c r="H52" s="236" t="e">
        <f t="shared" si="4"/>
        <v>#DIV/0!</v>
      </c>
      <c r="I52" s="477"/>
    </row>
    <row r="53" spans="1:9" ht="13.5">
      <c r="A53" s="53">
        <v>214</v>
      </c>
      <c r="B53" s="53" t="s">
        <v>1674</v>
      </c>
      <c r="C53" s="53" t="s">
        <v>1403</v>
      </c>
      <c r="D53" s="482">
        <f t="shared" si="1"/>
        <v>0</v>
      </c>
      <c r="E53" s="484" t="e">
        <f t="shared" si="2"/>
        <v>#DIV/0!</v>
      </c>
      <c r="F53" s="506">
        <v>1</v>
      </c>
      <c r="G53" s="236">
        <f t="shared" si="3"/>
        <v>0</v>
      </c>
      <c r="H53" s="236" t="e">
        <f t="shared" si="4"/>
        <v>#DIV/0!</v>
      </c>
      <c r="I53" s="477"/>
    </row>
    <row r="54" spans="1:9" ht="13.5">
      <c r="A54" s="53">
        <v>215</v>
      </c>
      <c r="B54" s="53" t="s">
        <v>1675</v>
      </c>
      <c r="C54" s="53" t="s">
        <v>1403</v>
      </c>
      <c r="D54" s="482">
        <f t="shared" si="1"/>
        <v>0</v>
      </c>
      <c r="E54" s="484" t="e">
        <f t="shared" si="2"/>
        <v>#DIV/0!</v>
      </c>
      <c r="F54" s="506">
        <v>1</v>
      </c>
      <c r="G54" s="236">
        <f t="shared" si="3"/>
        <v>0</v>
      </c>
      <c r="H54" s="236" t="e">
        <f t="shared" si="4"/>
        <v>#DIV/0!</v>
      </c>
      <c r="I54" s="477"/>
    </row>
    <row r="55" spans="1:9" ht="13.5">
      <c r="A55" s="53">
        <v>301</v>
      </c>
      <c r="B55" s="53" t="s">
        <v>1410</v>
      </c>
      <c r="C55" s="53" t="s">
        <v>1394</v>
      </c>
      <c r="D55" s="482">
        <f t="shared" si="1"/>
        <v>40.5</v>
      </c>
      <c r="E55" s="484" t="e">
        <f t="shared" si="2"/>
        <v>#DIV/0!</v>
      </c>
      <c r="F55" s="506">
        <v>1</v>
      </c>
      <c r="G55" s="236">
        <f t="shared" si="3"/>
        <v>0</v>
      </c>
      <c r="H55" s="236" t="e">
        <f t="shared" si="4"/>
        <v>#DIV/0!</v>
      </c>
      <c r="I55" s="477"/>
    </row>
    <row r="56" spans="1:9" ht="13.5">
      <c r="A56" s="53">
        <v>302</v>
      </c>
      <c r="B56" s="53" t="s">
        <v>1393</v>
      </c>
      <c r="C56" s="53" t="s">
        <v>1394</v>
      </c>
      <c r="D56" s="482">
        <f t="shared" si="1"/>
        <v>85</v>
      </c>
      <c r="E56" s="484" t="e">
        <f t="shared" si="2"/>
        <v>#DIV/0!</v>
      </c>
      <c r="F56" s="506">
        <v>1</v>
      </c>
      <c r="G56" s="236">
        <f t="shared" si="3"/>
        <v>0</v>
      </c>
      <c r="H56" s="236" t="e">
        <f t="shared" si="4"/>
        <v>#DIV/0!</v>
      </c>
      <c r="I56" s="477"/>
    </row>
    <row r="57" spans="1:9" ht="13.5">
      <c r="A57" s="53">
        <v>303</v>
      </c>
      <c r="B57" s="53" t="s">
        <v>133</v>
      </c>
      <c r="C57" s="53" t="s">
        <v>1394</v>
      </c>
      <c r="D57" s="482">
        <f t="shared" si="1"/>
        <v>163</v>
      </c>
      <c r="E57" s="484" t="e">
        <f t="shared" si="2"/>
        <v>#DIV/0!</v>
      </c>
      <c r="F57" s="506">
        <v>1</v>
      </c>
      <c r="G57" s="236">
        <f t="shared" si="3"/>
        <v>0</v>
      </c>
      <c r="H57" s="236" t="e">
        <f t="shared" si="4"/>
        <v>#DIV/0!</v>
      </c>
      <c r="I57" s="477"/>
    </row>
    <row r="58" spans="1:9" ht="13.5">
      <c r="A58" s="537" t="s">
        <v>2057</v>
      </c>
      <c r="B58" s="153" t="s">
        <v>2053</v>
      </c>
      <c r="C58" s="53" t="s">
        <v>1394</v>
      </c>
      <c r="D58" s="482">
        <f t="shared" si="1"/>
        <v>0</v>
      </c>
      <c r="E58" s="484" t="e">
        <f t="shared" si="2"/>
        <v>#DIV/0!</v>
      </c>
      <c r="F58" s="506">
        <v>1</v>
      </c>
      <c r="G58" s="236">
        <f t="shared" si="3"/>
        <v>0</v>
      </c>
      <c r="H58" s="236" t="e">
        <f t="shared" si="4"/>
        <v>#DIV/0!</v>
      </c>
      <c r="I58" s="477"/>
    </row>
    <row r="59" spans="1:9" ht="13.5">
      <c r="A59" s="53">
        <v>304</v>
      </c>
      <c r="B59" s="508" t="s">
        <v>1397</v>
      </c>
      <c r="C59" s="53" t="s">
        <v>1394</v>
      </c>
      <c r="D59" s="482">
        <f t="shared" si="1"/>
        <v>85</v>
      </c>
      <c r="E59" s="484" t="e">
        <f t="shared" si="2"/>
        <v>#DIV/0!</v>
      </c>
      <c r="F59" s="506">
        <v>1</v>
      </c>
      <c r="G59" s="236">
        <f t="shared" si="3"/>
        <v>0</v>
      </c>
      <c r="H59" s="236" t="e">
        <f t="shared" si="4"/>
        <v>#DIV/0!</v>
      </c>
      <c r="I59" s="477"/>
    </row>
    <row r="60" spans="1:9" ht="13.5">
      <c r="A60" s="53">
        <v>305</v>
      </c>
      <c r="B60" s="53" t="s">
        <v>1400</v>
      </c>
      <c r="C60" s="53" t="s">
        <v>1394</v>
      </c>
      <c r="D60" s="482">
        <f t="shared" si="1"/>
        <v>28</v>
      </c>
      <c r="E60" s="484" t="e">
        <f t="shared" si="2"/>
        <v>#DIV/0!</v>
      </c>
      <c r="F60" s="506">
        <v>1</v>
      </c>
      <c r="G60" s="236">
        <f t="shared" si="3"/>
        <v>0</v>
      </c>
      <c r="H60" s="236" t="e">
        <f t="shared" si="4"/>
        <v>#DIV/0!</v>
      </c>
      <c r="I60" s="477"/>
    </row>
    <row r="61" spans="1:9" ht="13.5">
      <c r="A61" s="53">
        <v>306</v>
      </c>
      <c r="B61" s="53" t="s">
        <v>1401</v>
      </c>
      <c r="C61" s="53" t="s">
        <v>1394</v>
      </c>
      <c r="D61" s="482">
        <f t="shared" si="1"/>
        <v>48</v>
      </c>
      <c r="E61" s="484" t="e">
        <f t="shared" si="2"/>
        <v>#DIV/0!</v>
      </c>
      <c r="F61" s="506">
        <v>1</v>
      </c>
      <c r="G61" s="236">
        <f t="shared" si="3"/>
        <v>0</v>
      </c>
      <c r="H61" s="236" t="e">
        <f t="shared" si="4"/>
        <v>#DIV/0!</v>
      </c>
      <c r="I61" s="477"/>
    </row>
    <row r="62" spans="1:9" ht="13.5">
      <c r="A62" s="53">
        <v>307</v>
      </c>
      <c r="B62" s="53" t="s">
        <v>1395</v>
      </c>
      <c r="C62" s="53" t="s">
        <v>1394</v>
      </c>
      <c r="D62" s="482">
        <f t="shared" si="1"/>
        <v>158.80000000000001</v>
      </c>
      <c r="E62" s="484" t="e">
        <f t="shared" si="2"/>
        <v>#DIV/0!</v>
      </c>
      <c r="F62" s="506">
        <v>1</v>
      </c>
      <c r="G62" s="236">
        <f t="shared" si="3"/>
        <v>0</v>
      </c>
      <c r="H62" s="236" t="e">
        <f t="shared" si="4"/>
        <v>#DIV/0!</v>
      </c>
      <c r="I62" s="477"/>
    </row>
    <row r="63" spans="1:9" ht="13.5">
      <c r="A63" s="53">
        <v>308</v>
      </c>
      <c r="B63" s="53" t="s">
        <v>1402</v>
      </c>
      <c r="C63" s="53" t="s">
        <v>1394</v>
      </c>
      <c r="D63" s="482">
        <f t="shared" si="1"/>
        <v>30</v>
      </c>
      <c r="E63" s="484" t="e">
        <f t="shared" si="2"/>
        <v>#DIV/0!</v>
      </c>
      <c r="F63" s="506">
        <v>1</v>
      </c>
      <c r="G63" s="236">
        <f t="shared" si="3"/>
        <v>0</v>
      </c>
      <c r="H63" s="236" t="e">
        <f t="shared" si="4"/>
        <v>#DIV/0!</v>
      </c>
      <c r="I63" s="477"/>
    </row>
    <row r="64" spans="1:9" ht="13.5">
      <c r="A64" s="53">
        <v>309</v>
      </c>
      <c r="B64" s="53" t="s">
        <v>1398</v>
      </c>
      <c r="C64" s="53" t="s">
        <v>1394</v>
      </c>
      <c r="D64" s="482">
        <f t="shared" si="1"/>
        <v>30</v>
      </c>
      <c r="E64" s="484" t="e">
        <f t="shared" si="2"/>
        <v>#DIV/0!</v>
      </c>
      <c r="F64" s="506">
        <v>1</v>
      </c>
      <c r="G64" s="236">
        <f t="shared" si="3"/>
        <v>0</v>
      </c>
      <c r="H64" s="236" t="e">
        <f t="shared" si="4"/>
        <v>#DIV/0!</v>
      </c>
      <c r="I64" s="477"/>
    </row>
    <row r="65" spans="1:9" ht="13.5">
      <c r="A65" s="53">
        <v>310</v>
      </c>
      <c r="B65" s="53" t="s">
        <v>1399</v>
      </c>
      <c r="C65" s="53" t="s">
        <v>1394</v>
      </c>
      <c r="D65" s="482">
        <f t="shared" si="1"/>
        <v>43</v>
      </c>
      <c r="E65" s="484" t="e">
        <f t="shared" si="2"/>
        <v>#DIV/0!</v>
      </c>
      <c r="F65" s="506">
        <v>1</v>
      </c>
      <c r="G65" s="236">
        <f t="shared" si="3"/>
        <v>0</v>
      </c>
      <c r="H65" s="236" t="e">
        <f t="shared" si="4"/>
        <v>#DIV/0!</v>
      </c>
      <c r="I65" s="477"/>
    </row>
    <row r="66" spans="1:9" ht="13.5">
      <c r="A66" s="53">
        <v>311</v>
      </c>
      <c r="B66" s="53" t="s">
        <v>1396</v>
      </c>
      <c r="C66" s="53" t="s">
        <v>1394</v>
      </c>
      <c r="D66" s="482">
        <f t="shared" si="1"/>
        <v>42</v>
      </c>
      <c r="E66" s="484" t="e">
        <f t="shared" si="2"/>
        <v>#DIV/0!</v>
      </c>
      <c r="F66" s="506">
        <v>1</v>
      </c>
      <c r="G66" s="236">
        <f t="shared" si="3"/>
        <v>0</v>
      </c>
      <c r="H66" s="236" t="e">
        <f t="shared" si="4"/>
        <v>#DIV/0!</v>
      </c>
      <c r="I66" s="477"/>
    </row>
    <row r="67" spans="1:9" ht="13.5">
      <c r="A67" s="537" t="s">
        <v>2056</v>
      </c>
      <c r="B67" s="153" t="s">
        <v>2054</v>
      </c>
      <c r="C67" s="53" t="s">
        <v>1394</v>
      </c>
      <c r="D67" s="482">
        <f t="shared" si="1"/>
        <v>0</v>
      </c>
      <c r="E67" s="484" t="e">
        <f t="shared" si="2"/>
        <v>#DIV/0!</v>
      </c>
      <c r="F67" s="506">
        <v>1</v>
      </c>
      <c r="G67" s="236">
        <f t="shared" si="3"/>
        <v>0</v>
      </c>
      <c r="H67" s="236" t="e">
        <f t="shared" si="4"/>
        <v>#DIV/0!</v>
      </c>
      <c r="I67" s="477"/>
    </row>
    <row r="68" spans="1:9" ht="14.25" thickBot="1">
      <c r="A68" s="53">
        <v>312</v>
      </c>
      <c r="B68" s="53" t="s">
        <v>1411</v>
      </c>
      <c r="C68" s="53" t="s">
        <v>1394</v>
      </c>
      <c r="D68" s="482">
        <f t="shared" si="1"/>
        <v>48</v>
      </c>
      <c r="E68" s="484" t="e">
        <f t="shared" si="2"/>
        <v>#DIV/0!</v>
      </c>
      <c r="F68" s="506">
        <v>1</v>
      </c>
      <c r="G68" s="236">
        <f t="shared" si="3"/>
        <v>0</v>
      </c>
      <c r="H68" s="236" t="e">
        <f t="shared" si="4"/>
        <v>#DIV/0!</v>
      </c>
      <c r="I68" s="477"/>
    </row>
    <row r="69" spans="1:9" ht="14.25" thickBot="1">
      <c r="A69" s="485"/>
      <c r="B69" s="503" t="s">
        <v>2006</v>
      </c>
      <c r="C69" s="503"/>
      <c r="D69" s="486">
        <f>SUM(D18:D68)</f>
        <v>25008.924834999994</v>
      </c>
      <c r="E69" s="486" t="e">
        <f>SUM(E18:E68)</f>
        <v>#DIV/0!</v>
      </c>
      <c r="F69" s="487"/>
      <c r="G69" s="492"/>
      <c r="H69" s="489" t="e">
        <f>SUM(H18:H68)</f>
        <v>#DIV/0!</v>
      </c>
      <c r="I69" s="477"/>
    </row>
    <row r="70" spans="1:9">
      <c r="D70" s="477"/>
      <c r="I70" s="477"/>
    </row>
    <row r="71" spans="1:9" ht="15">
      <c r="A71" s="354" t="s">
        <v>1117</v>
      </c>
      <c r="D71" s="477"/>
      <c r="I71" s="477"/>
    </row>
    <row r="72" spans="1:9" ht="13.5">
      <c r="A72" s="107" t="s">
        <v>2076</v>
      </c>
      <c r="D72" s="477"/>
      <c r="I72" s="477"/>
    </row>
    <row r="73" spans="1:9" ht="13.5">
      <c r="A73" s="107" t="s">
        <v>1119</v>
      </c>
      <c r="I73" s="477"/>
    </row>
    <row r="74" spans="1:9" ht="13.5">
      <c r="A74" s="107"/>
      <c r="I74" s="477"/>
    </row>
    <row r="75" spans="1:9" ht="25.5">
      <c r="A75" s="257" t="s">
        <v>289</v>
      </c>
      <c r="B75" s="257" t="s">
        <v>290</v>
      </c>
      <c r="C75" s="542"/>
      <c r="D75" s="257" t="s">
        <v>13</v>
      </c>
      <c r="E75" s="257" t="s">
        <v>179</v>
      </c>
      <c r="F75" s="257" t="s">
        <v>1076</v>
      </c>
      <c r="G75" s="257" t="s">
        <v>1686</v>
      </c>
      <c r="H75" s="257" t="s">
        <v>1077</v>
      </c>
      <c r="I75" s="257" t="s">
        <v>2031</v>
      </c>
    </row>
    <row r="76" spans="1:9" ht="13.5">
      <c r="A76" s="621">
        <v>102</v>
      </c>
      <c r="B76" s="153" t="s">
        <v>849</v>
      </c>
      <c r="C76" s="622"/>
      <c r="D76" s="623" t="s">
        <v>180</v>
      </c>
      <c r="E76" s="624" t="s">
        <v>716</v>
      </c>
      <c r="F76" s="625" t="s">
        <v>647</v>
      </c>
      <c r="G76" s="626" t="s">
        <v>863</v>
      </c>
      <c r="H76" s="625" t="s">
        <v>19</v>
      </c>
      <c r="I76" s="627">
        <v>99</v>
      </c>
    </row>
    <row r="77" spans="1:9" ht="13.5">
      <c r="A77" s="621">
        <v>102</v>
      </c>
      <c r="B77" s="153" t="s">
        <v>849</v>
      </c>
      <c r="C77" s="622"/>
      <c r="D77" s="623" t="s">
        <v>180</v>
      </c>
      <c r="E77" s="624" t="s">
        <v>716</v>
      </c>
      <c r="F77" s="625" t="s">
        <v>864</v>
      </c>
      <c r="G77" s="626" t="s">
        <v>865</v>
      </c>
      <c r="H77" s="625" t="s">
        <v>19</v>
      </c>
      <c r="I77" s="627">
        <v>8</v>
      </c>
    </row>
    <row r="78" spans="1:9" ht="13.5">
      <c r="A78" s="621">
        <v>102</v>
      </c>
      <c r="B78" s="153" t="s">
        <v>849</v>
      </c>
      <c r="C78" s="622"/>
      <c r="D78" s="623" t="s">
        <v>180</v>
      </c>
      <c r="E78" s="624" t="s">
        <v>854</v>
      </c>
      <c r="F78" s="625" t="s">
        <v>880</v>
      </c>
      <c r="G78" s="626" t="s">
        <v>423</v>
      </c>
      <c r="H78" s="625" t="s">
        <v>19</v>
      </c>
      <c r="I78" s="627">
        <v>9.1</v>
      </c>
    </row>
    <row r="79" spans="1:9" ht="13.5">
      <c r="A79" s="621">
        <v>102</v>
      </c>
      <c r="B79" s="153" t="s">
        <v>849</v>
      </c>
      <c r="C79" s="622"/>
      <c r="D79" s="623" t="s">
        <v>180</v>
      </c>
      <c r="E79" s="624" t="s">
        <v>854</v>
      </c>
      <c r="F79" s="625" t="s">
        <v>576</v>
      </c>
      <c r="G79" s="626" t="s">
        <v>881</v>
      </c>
      <c r="H79" s="625" t="s">
        <v>176</v>
      </c>
      <c r="I79" s="627">
        <v>19.5</v>
      </c>
    </row>
    <row r="80" spans="1:9" ht="13.5">
      <c r="A80" s="621">
        <v>102</v>
      </c>
      <c r="B80" s="153" t="s">
        <v>849</v>
      </c>
      <c r="C80" s="622"/>
      <c r="D80" s="623" t="s">
        <v>180</v>
      </c>
      <c r="E80" s="624" t="s">
        <v>854</v>
      </c>
      <c r="F80" s="625" t="s">
        <v>427</v>
      </c>
      <c r="G80" s="626" t="s">
        <v>428</v>
      </c>
      <c r="H80" s="625" t="s">
        <v>19</v>
      </c>
      <c r="I80" s="627">
        <v>7.8000000000000007</v>
      </c>
    </row>
    <row r="81" spans="1:9" ht="13.5">
      <c r="A81" s="621">
        <v>102</v>
      </c>
      <c r="B81" s="153" t="s">
        <v>849</v>
      </c>
      <c r="C81" s="622"/>
      <c r="D81" s="623" t="s">
        <v>180</v>
      </c>
      <c r="E81" s="624" t="s">
        <v>854</v>
      </c>
      <c r="F81" s="625" t="s">
        <v>429</v>
      </c>
      <c r="G81" s="626" t="s">
        <v>430</v>
      </c>
      <c r="H81" s="625" t="s">
        <v>19</v>
      </c>
      <c r="I81" s="627">
        <v>3.9000000000000004</v>
      </c>
    </row>
    <row r="82" spans="1:9" ht="13.5">
      <c r="A82" s="621">
        <v>102</v>
      </c>
      <c r="B82" s="153" t="s">
        <v>849</v>
      </c>
      <c r="C82" s="622"/>
      <c r="D82" s="623" t="s">
        <v>180</v>
      </c>
      <c r="E82" s="624" t="s">
        <v>854</v>
      </c>
      <c r="F82" s="625" t="s">
        <v>427</v>
      </c>
      <c r="G82" s="626" t="s">
        <v>431</v>
      </c>
      <c r="H82" s="625" t="s">
        <v>19</v>
      </c>
      <c r="I82" s="627">
        <v>7.8000000000000007</v>
      </c>
    </row>
    <row r="83" spans="1:9" ht="13.5">
      <c r="A83" s="621">
        <v>102</v>
      </c>
      <c r="B83" s="153" t="s">
        <v>849</v>
      </c>
      <c r="C83" s="622"/>
      <c r="D83" s="623" t="s">
        <v>180</v>
      </c>
      <c r="E83" s="624" t="s">
        <v>854</v>
      </c>
      <c r="F83" s="625" t="s">
        <v>429</v>
      </c>
      <c r="G83" s="626" t="s">
        <v>432</v>
      </c>
      <c r="H83" s="625" t="s">
        <v>19</v>
      </c>
      <c r="I83" s="627">
        <v>3.9000000000000004</v>
      </c>
    </row>
    <row r="84" spans="1:9" ht="13.5">
      <c r="A84" s="621">
        <v>102</v>
      </c>
      <c r="B84" s="153" t="s">
        <v>849</v>
      </c>
      <c r="C84" s="622"/>
      <c r="D84" s="623" t="s">
        <v>180</v>
      </c>
      <c r="E84" s="624" t="s">
        <v>854</v>
      </c>
      <c r="F84" s="625" t="s">
        <v>178</v>
      </c>
      <c r="G84" s="626" t="s">
        <v>434</v>
      </c>
      <c r="H84" s="625" t="s">
        <v>1313</v>
      </c>
      <c r="I84" s="627">
        <v>152.1</v>
      </c>
    </row>
    <row r="85" spans="1:9" ht="13.5">
      <c r="A85" s="621">
        <v>102</v>
      </c>
      <c r="B85" s="153" t="s">
        <v>849</v>
      </c>
      <c r="C85" s="622"/>
      <c r="D85" s="623" t="s">
        <v>180</v>
      </c>
      <c r="E85" s="624" t="s">
        <v>854</v>
      </c>
      <c r="F85" s="625" t="s">
        <v>594</v>
      </c>
      <c r="G85" s="626" t="s">
        <v>436</v>
      </c>
      <c r="H85" s="625" t="s">
        <v>1313</v>
      </c>
      <c r="I85" s="627">
        <v>28.6</v>
      </c>
    </row>
    <row r="86" spans="1:9" ht="13.5">
      <c r="A86" s="621">
        <v>102</v>
      </c>
      <c r="B86" s="153" t="s">
        <v>849</v>
      </c>
      <c r="C86" s="622"/>
      <c r="D86" s="623" t="s">
        <v>180</v>
      </c>
      <c r="E86" s="624" t="s">
        <v>854</v>
      </c>
      <c r="F86" s="625" t="s">
        <v>882</v>
      </c>
      <c r="G86" s="626" t="s">
        <v>438</v>
      </c>
      <c r="H86" s="625" t="s">
        <v>174</v>
      </c>
      <c r="I86" s="627">
        <v>3</v>
      </c>
    </row>
    <row r="87" spans="1:9" ht="13.5">
      <c r="A87" s="621">
        <v>102</v>
      </c>
      <c r="B87" s="153" t="s">
        <v>849</v>
      </c>
      <c r="C87" s="622"/>
      <c r="D87" s="623" t="s">
        <v>180</v>
      </c>
      <c r="E87" s="624" t="s">
        <v>854</v>
      </c>
      <c r="F87" s="625" t="s">
        <v>184</v>
      </c>
      <c r="G87" s="626" t="s">
        <v>883</v>
      </c>
      <c r="H87" s="625" t="s">
        <v>1313</v>
      </c>
      <c r="I87" s="627">
        <v>9.1</v>
      </c>
    </row>
    <row r="88" spans="1:9" ht="13.5">
      <c r="A88" s="621">
        <v>102</v>
      </c>
      <c r="B88" s="153" t="s">
        <v>849</v>
      </c>
      <c r="C88" s="622"/>
      <c r="D88" s="623" t="s">
        <v>180</v>
      </c>
      <c r="E88" s="624" t="s">
        <v>854</v>
      </c>
      <c r="F88" s="625" t="s">
        <v>41</v>
      </c>
      <c r="G88" s="626" t="s">
        <v>441</v>
      </c>
      <c r="H88" s="625" t="s">
        <v>109</v>
      </c>
      <c r="I88" s="627">
        <v>14.3</v>
      </c>
    </row>
    <row r="89" spans="1:9" ht="13.5">
      <c r="A89" s="621">
        <v>102</v>
      </c>
      <c r="B89" s="153" t="s">
        <v>849</v>
      </c>
      <c r="C89" s="622"/>
      <c r="D89" s="623" t="s">
        <v>180</v>
      </c>
      <c r="E89" s="624" t="s">
        <v>854</v>
      </c>
      <c r="F89" s="625" t="s">
        <v>488</v>
      </c>
      <c r="G89" s="626" t="s">
        <v>443</v>
      </c>
      <c r="H89" s="625" t="s">
        <v>109</v>
      </c>
      <c r="I89" s="627">
        <v>7.8000000000000007</v>
      </c>
    </row>
    <row r="90" spans="1:9" ht="13.5">
      <c r="A90" s="621">
        <v>102</v>
      </c>
      <c r="B90" s="153" t="s">
        <v>849</v>
      </c>
      <c r="C90" s="622"/>
      <c r="D90" s="623" t="s">
        <v>180</v>
      </c>
      <c r="E90" s="624" t="s">
        <v>854</v>
      </c>
      <c r="F90" s="625" t="s">
        <v>40</v>
      </c>
      <c r="G90" s="626" t="s">
        <v>445</v>
      </c>
      <c r="H90" s="625" t="s">
        <v>44</v>
      </c>
      <c r="I90" s="627">
        <v>9.1</v>
      </c>
    </row>
    <row r="91" spans="1:9" ht="13.5">
      <c r="A91" s="621">
        <v>102</v>
      </c>
      <c r="B91" s="153" t="s">
        <v>849</v>
      </c>
      <c r="C91" s="622"/>
      <c r="D91" s="623" t="s">
        <v>180</v>
      </c>
      <c r="E91" s="624" t="s">
        <v>854</v>
      </c>
      <c r="F91" s="625" t="s">
        <v>884</v>
      </c>
      <c r="G91" s="626" t="s">
        <v>469</v>
      </c>
      <c r="H91" s="625" t="s">
        <v>174</v>
      </c>
      <c r="I91" s="627">
        <v>2</v>
      </c>
    </row>
    <row r="92" spans="1:9" ht="13.5">
      <c r="A92" s="621">
        <v>102</v>
      </c>
      <c r="B92" s="153" t="s">
        <v>849</v>
      </c>
      <c r="C92" s="622"/>
      <c r="D92" s="623" t="s">
        <v>180</v>
      </c>
      <c r="E92" s="624" t="s">
        <v>854</v>
      </c>
      <c r="F92" s="625" t="s">
        <v>885</v>
      </c>
      <c r="G92" s="626" t="s">
        <v>472</v>
      </c>
      <c r="H92" s="625" t="s">
        <v>109</v>
      </c>
      <c r="I92" s="627">
        <v>5.2</v>
      </c>
    </row>
    <row r="93" spans="1:9" ht="13.5">
      <c r="A93" s="621">
        <v>102</v>
      </c>
      <c r="B93" s="153" t="s">
        <v>849</v>
      </c>
      <c r="C93" s="622"/>
      <c r="D93" s="623" t="s">
        <v>180</v>
      </c>
      <c r="E93" s="624" t="s">
        <v>854</v>
      </c>
      <c r="F93" s="625" t="s">
        <v>331</v>
      </c>
      <c r="G93" s="626" t="s">
        <v>754</v>
      </c>
      <c r="H93" s="625" t="s">
        <v>109</v>
      </c>
      <c r="I93" s="627">
        <v>22.1</v>
      </c>
    </row>
    <row r="94" spans="1:9" ht="13.5">
      <c r="A94" s="621">
        <v>102</v>
      </c>
      <c r="B94" s="153" t="s">
        <v>849</v>
      </c>
      <c r="C94" s="622"/>
      <c r="D94" s="623" t="s">
        <v>180</v>
      </c>
      <c r="E94" s="624" t="s">
        <v>854</v>
      </c>
      <c r="F94" s="625" t="s">
        <v>333</v>
      </c>
      <c r="G94" s="626" t="s">
        <v>755</v>
      </c>
      <c r="H94" s="625" t="s">
        <v>19</v>
      </c>
      <c r="I94" s="627">
        <v>87.100000000000009</v>
      </c>
    </row>
    <row r="95" spans="1:9" ht="13.5">
      <c r="A95" s="621">
        <v>102</v>
      </c>
      <c r="B95" s="153" t="s">
        <v>849</v>
      </c>
      <c r="C95" s="622"/>
      <c r="D95" s="623" t="s">
        <v>180</v>
      </c>
      <c r="E95" s="624" t="s">
        <v>854</v>
      </c>
      <c r="F95" s="625" t="s">
        <v>331</v>
      </c>
      <c r="G95" s="626" t="s">
        <v>756</v>
      </c>
      <c r="H95" s="625" t="s">
        <v>109</v>
      </c>
      <c r="I95" s="627">
        <v>16.900000000000002</v>
      </c>
    </row>
    <row r="96" spans="1:9" ht="13.5">
      <c r="A96" s="621">
        <v>102</v>
      </c>
      <c r="B96" s="153" t="s">
        <v>849</v>
      </c>
      <c r="C96" s="622"/>
      <c r="D96" s="623" t="s">
        <v>180</v>
      </c>
      <c r="E96" s="624" t="s">
        <v>854</v>
      </c>
      <c r="F96" s="625" t="s">
        <v>333</v>
      </c>
      <c r="G96" s="626" t="s">
        <v>466</v>
      </c>
      <c r="H96" s="625" t="s">
        <v>19</v>
      </c>
      <c r="I96" s="627">
        <v>63.7</v>
      </c>
    </row>
    <row r="97" spans="1:9" ht="13.5">
      <c r="A97" s="621">
        <v>102</v>
      </c>
      <c r="B97" s="153" t="s">
        <v>849</v>
      </c>
      <c r="C97" s="622"/>
      <c r="D97" s="623" t="s">
        <v>180</v>
      </c>
      <c r="E97" s="624" t="s">
        <v>854</v>
      </c>
      <c r="F97" s="625" t="s">
        <v>168</v>
      </c>
      <c r="G97" s="626" t="s">
        <v>757</v>
      </c>
      <c r="H97" s="625" t="s">
        <v>946</v>
      </c>
      <c r="I97" s="627">
        <v>156</v>
      </c>
    </row>
    <row r="98" spans="1:9" ht="13.5">
      <c r="A98" s="621">
        <v>102</v>
      </c>
      <c r="B98" s="153" t="s">
        <v>849</v>
      </c>
      <c r="C98" s="622"/>
      <c r="D98" s="623" t="s">
        <v>180</v>
      </c>
      <c r="E98" s="624" t="s">
        <v>854</v>
      </c>
      <c r="F98" s="625" t="s">
        <v>168</v>
      </c>
      <c r="G98" s="626" t="s">
        <v>468</v>
      </c>
      <c r="H98" s="625" t="s">
        <v>109</v>
      </c>
      <c r="I98" s="627">
        <v>114.4</v>
      </c>
    </row>
    <row r="99" spans="1:9" ht="13.5">
      <c r="A99" s="621">
        <v>102</v>
      </c>
      <c r="B99" s="153" t="s">
        <v>849</v>
      </c>
      <c r="C99" s="622"/>
      <c r="D99" s="623" t="s">
        <v>180</v>
      </c>
      <c r="E99" s="624" t="s">
        <v>854</v>
      </c>
      <c r="F99" s="625" t="s">
        <v>168</v>
      </c>
      <c r="G99" s="626" t="s">
        <v>886</v>
      </c>
      <c r="H99" s="625" t="s">
        <v>44</v>
      </c>
      <c r="I99" s="627">
        <v>172.9</v>
      </c>
    </row>
    <row r="100" spans="1:9" ht="13.5">
      <c r="A100" s="621">
        <v>102</v>
      </c>
      <c r="B100" s="153" t="s">
        <v>849</v>
      </c>
      <c r="C100" s="622"/>
      <c r="D100" s="623" t="s">
        <v>180</v>
      </c>
      <c r="E100" s="624" t="s">
        <v>854</v>
      </c>
      <c r="F100" s="625" t="s">
        <v>123</v>
      </c>
      <c r="G100" s="626" t="s">
        <v>471</v>
      </c>
      <c r="H100" s="625" t="s">
        <v>109</v>
      </c>
      <c r="I100" s="627">
        <v>11.700000000000001</v>
      </c>
    </row>
    <row r="101" spans="1:9" ht="13.5">
      <c r="A101" s="621">
        <v>102</v>
      </c>
      <c r="B101" s="153" t="s">
        <v>849</v>
      </c>
      <c r="C101" s="622"/>
      <c r="D101" s="623" t="s">
        <v>180</v>
      </c>
      <c r="E101" s="624" t="s">
        <v>854</v>
      </c>
      <c r="F101" s="625" t="s">
        <v>758</v>
      </c>
      <c r="G101" s="626" t="s">
        <v>759</v>
      </c>
      <c r="H101" s="625" t="s">
        <v>19</v>
      </c>
      <c r="I101" s="627">
        <v>9.1</v>
      </c>
    </row>
    <row r="102" spans="1:9" ht="13.5">
      <c r="A102" s="621">
        <v>102</v>
      </c>
      <c r="B102" s="153" t="s">
        <v>849</v>
      </c>
      <c r="C102" s="622"/>
      <c r="D102" s="623" t="s">
        <v>180</v>
      </c>
      <c r="E102" s="624" t="s">
        <v>854</v>
      </c>
      <c r="F102" s="625" t="s">
        <v>282</v>
      </c>
      <c r="G102" s="626" t="s">
        <v>762</v>
      </c>
      <c r="H102" s="625" t="s">
        <v>109</v>
      </c>
      <c r="I102" s="627">
        <v>16.900000000000002</v>
      </c>
    </row>
    <row r="103" spans="1:9" ht="13.5">
      <c r="A103" s="621">
        <v>102</v>
      </c>
      <c r="B103" s="153" t="s">
        <v>849</v>
      </c>
      <c r="C103" s="622"/>
      <c r="D103" s="623" t="s">
        <v>180</v>
      </c>
      <c r="E103" s="624" t="s">
        <v>854</v>
      </c>
      <c r="F103" s="625" t="s">
        <v>890</v>
      </c>
      <c r="G103" s="626" t="s">
        <v>475</v>
      </c>
      <c r="H103" s="625" t="s">
        <v>19</v>
      </c>
      <c r="I103" s="627">
        <v>3.9000000000000004</v>
      </c>
    </row>
    <row r="104" spans="1:9" ht="13.5">
      <c r="A104" s="621">
        <v>102</v>
      </c>
      <c r="B104" s="153" t="s">
        <v>849</v>
      </c>
      <c r="C104" s="622"/>
      <c r="D104" s="623" t="s">
        <v>180</v>
      </c>
      <c r="E104" s="624" t="s">
        <v>854</v>
      </c>
      <c r="F104" s="625" t="s">
        <v>478</v>
      </c>
      <c r="G104" s="626" t="s">
        <v>763</v>
      </c>
      <c r="H104" s="625"/>
      <c r="I104" s="627">
        <v>0</v>
      </c>
    </row>
    <row r="105" spans="1:9" ht="13.5">
      <c r="A105" s="621">
        <v>102</v>
      </c>
      <c r="B105" s="153" t="s">
        <v>849</v>
      </c>
      <c r="C105" s="622"/>
      <c r="D105" s="623" t="s">
        <v>180</v>
      </c>
      <c r="E105" s="624" t="s">
        <v>854</v>
      </c>
      <c r="F105" s="625" t="s">
        <v>478</v>
      </c>
      <c r="G105" s="626" t="s">
        <v>765</v>
      </c>
      <c r="H105" s="625"/>
      <c r="I105" s="627">
        <v>0</v>
      </c>
    </row>
    <row r="106" spans="1:9" ht="13.5">
      <c r="A106" s="621">
        <v>102</v>
      </c>
      <c r="B106" s="153" t="s">
        <v>849</v>
      </c>
      <c r="C106" s="622"/>
      <c r="D106" s="623" t="s">
        <v>180</v>
      </c>
      <c r="E106" s="624" t="s">
        <v>854</v>
      </c>
      <c r="F106" s="625" t="s">
        <v>478</v>
      </c>
      <c r="G106" s="626" t="s">
        <v>481</v>
      </c>
      <c r="H106" s="625"/>
      <c r="I106" s="627">
        <v>0</v>
      </c>
    </row>
    <row r="107" spans="1:9" ht="13.5">
      <c r="A107" s="621">
        <v>102</v>
      </c>
      <c r="B107" s="153" t="s">
        <v>849</v>
      </c>
      <c r="C107" s="622"/>
      <c r="D107" s="623" t="s">
        <v>180</v>
      </c>
      <c r="E107" s="624" t="s">
        <v>854</v>
      </c>
      <c r="F107" s="625" t="s">
        <v>488</v>
      </c>
      <c r="G107" s="626" t="s">
        <v>479</v>
      </c>
      <c r="H107" s="625" t="s">
        <v>19</v>
      </c>
      <c r="I107" s="627">
        <v>37.700000000000003</v>
      </c>
    </row>
    <row r="108" spans="1:9" ht="13.5">
      <c r="A108" s="621">
        <v>102</v>
      </c>
      <c r="B108" s="153" t="s">
        <v>849</v>
      </c>
      <c r="C108" s="622"/>
      <c r="D108" s="623" t="s">
        <v>180</v>
      </c>
      <c r="E108" s="624" t="s">
        <v>854</v>
      </c>
      <c r="F108" s="625" t="s">
        <v>488</v>
      </c>
      <c r="G108" s="626" t="s">
        <v>770</v>
      </c>
      <c r="H108" s="625" t="s">
        <v>109</v>
      </c>
      <c r="I108" s="627">
        <v>19.5</v>
      </c>
    </row>
    <row r="109" spans="1:9" ht="13.5">
      <c r="A109" s="621">
        <v>102</v>
      </c>
      <c r="B109" s="153" t="s">
        <v>849</v>
      </c>
      <c r="C109" s="622"/>
      <c r="D109" s="623" t="s">
        <v>180</v>
      </c>
      <c r="E109" s="624" t="s">
        <v>854</v>
      </c>
      <c r="F109" s="625" t="s">
        <v>488</v>
      </c>
      <c r="G109" s="626" t="s">
        <v>771</v>
      </c>
      <c r="H109" s="625" t="s">
        <v>109</v>
      </c>
      <c r="I109" s="627">
        <v>23.400000000000002</v>
      </c>
    </row>
    <row r="110" spans="1:9" ht="13.5">
      <c r="A110" s="621">
        <v>102</v>
      </c>
      <c r="B110" s="153" t="s">
        <v>849</v>
      </c>
      <c r="C110" s="622"/>
      <c r="D110" s="623" t="s">
        <v>180</v>
      </c>
      <c r="E110" s="624" t="s">
        <v>854</v>
      </c>
      <c r="F110" s="625" t="s">
        <v>488</v>
      </c>
      <c r="G110" s="626" t="s">
        <v>512</v>
      </c>
      <c r="H110" s="625" t="s">
        <v>19</v>
      </c>
      <c r="I110" s="627">
        <v>59.800000000000004</v>
      </c>
    </row>
    <row r="111" spans="1:9" ht="13.5">
      <c r="A111" s="621">
        <v>102</v>
      </c>
      <c r="B111" s="153" t="s">
        <v>849</v>
      </c>
      <c r="C111" s="622"/>
      <c r="D111" s="623" t="s">
        <v>180</v>
      </c>
      <c r="E111" s="624" t="s">
        <v>854</v>
      </c>
      <c r="F111" s="625" t="s">
        <v>488</v>
      </c>
      <c r="G111" s="626" t="s">
        <v>489</v>
      </c>
      <c r="H111" s="625" t="s">
        <v>19</v>
      </c>
      <c r="I111" s="627">
        <v>7.8000000000000007</v>
      </c>
    </row>
    <row r="112" spans="1:9" ht="13.5">
      <c r="A112" s="621">
        <v>102</v>
      </c>
      <c r="B112" s="153" t="s">
        <v>849</v>
      </c>
      <c r="C112" s="622"/>
      <c r="D112" s="623" t="s">
        <v>180</v>
      </c>
      <c r="E112" s="624" t="s">
        <v>854</v>
      </c>
      <c r="F112" s="625" t="s">
        <v>488</v>
      </c>
      <c r="G112" s="626" t="s">
        <v>491</v>
      </c>
      <c r="H112" s="625" t="s">
        <v>19</v>
      </c>
      <c r="I112" s="627">
        <v>11.700000000000001</v>
      </c>
    </row>
    <row r="113" spans="1:9" ht="13.5">
      <c r="A113" s="621">
        <v>102</v>
      </c>
      <c r="B113" s="153" t="s">
        <v>849</v>
      </c>
      <c r="C113" s="622"/>
      <c r="D113" s="623" t="s">
        <v>180</v>
      </c>
      <c r="E113" s="624" t="s">
        <v>854</v>
      </c>
      <c r="F113" s="625" t="s">
        <v>488</v>
      </c>
      <c r="G113" s="626" t="s">
        <v>502</v>
      </c>
      <c r="H113" s="625"/>
      <c r="I113" s="627">
        <v>0</v>
      </c>
    </row>
    <row r="114" spans="1:9" ht="13.5">
      <c r="A114" s="621">
        <v>102</v>
      </c>
      <c r="B114" s="153" t="s">
        <v>849</v>
      </c>
      <c r="C114" s="622"/>
      <c r="D114" s="623" t="s">
        <v>180</v>
      </c>
      <c r="E114" s="624" t="s">
        <v>854</v>
      </c>
      <c r="F114" s="625" t="s">
        <v>488</v>
      </c>
      <c r="G114" s="626" t="s">
        <v>503</v>
      </c>
      <c r="H114" s="625"/>
      <c r="I114" s="627">
        <v>0</v>
      </c>
    </row>
    <row r="115" spans="1:9" ht="13.5">
      <c r="A115" s="621">
        <v>102</v>
      </c>
      <c r="B115" s="153" t="s">
        <v>849</v>
      </c>
      <c r="C115" s="622"/>
      <c r="D115" s="623" t="s">
        <v>180</v>
      </c>
      <c r="E115" s="624" t="s">
        <v>854</v>
      </c>
      <c r="F115" s="625" t="s">
        <v>488</v>
      </c>
      <c r="G115" s="626" t="s">
        <v>504</v>
      </c>
      <c r="H115" s="625" t="s">
        <v>176</v>
      </c>
      <c r="I115" s="627">
        <v>33.800000000000004</v>
      </c>
    </row>
    <row r="116" spans="1:9" ht="13.5">
      <c r="A116" s="621">
        <v>102</v>
      </c>
      <c r="B116" s="153" t="s">
        <v>849</v>
      </c>
      <c r="C116" s="622"/>
      <c r="D116" s="623" t="s">
        <v>180</v>
      </c>
      <c r="E116" s="624" t="s">
        <v>854</v>
      </c>
      <c r="F116" s="625" t="s">
        <v>488</v>
      </c>
      <c r="G116" s="626" t="s">
        <v>505</v>
      </c>
      <c r="H116" s="625" t="s">
        <v>109</v>
      </c>
      <c r="I116" s="627">
        <v>29.900000000000002</v>
      </c>
    </row>
    <row r="117" spans="1:9" ht="13.5">
      <c r="A117" s="621">
        <v>102</v>
      </c>
      <c r="B117" s="153" t="s">
        <v>849</v>
      </c>
      <c r="C117" s="622"/>
      <c r="D117" s="623" t="s">
        <v>180</v>
      </c>
      <c r="E117" s="624" t="s">
        <v>854</v>
      </c>
      <c r="F117" s="625" t="s">
        <v>488</v>
      </c>
      <c r="G117" s="626" t="s">
        <v>506</v>
      </c>
      <c r="H117" s="625" t="s">
        <v>19</v>
      </c>
      <c r="I117" s="627">
        <v>10.4</v>
      </c>
    </row>
    <row r="118" spans="1:9" ht="13.5">
      <c r="A118" s="621">
        <v>102</v>
      </c>
      <c r="B118" s="153" t="s">
        <v>849</v>
      </c>
      <c r="C118" s="622"/>
      <c r="D118" s="623" t="s">
        <v>180</v>
      </c>
      <c r="E118" s="624" t="s">
        <v>854</v>
      </c>
      <c r="F118" s="625" t="s">
        <v>488</v>
      </c>
      <c r="G118" s="626" t="s">
        <v>507</v>
      </c>
      <c r="H118" s="625" t="s">
        <v>19</v>
      </c>
      <c r="I118" s="627">
        <v>41.6</v>
      </c>
    </row>
    <row r="119" spans="1:9" ht="13.5">
      <c r="A119" s="621">
        <v>102</v>
      </c>
      <c r="B119" s="153" t="s">
        <v>849</v>
      </c>
      <c r="C119" s="622"/>
      <c r="D119" s="623" t="s">
        <v>180</v>
      </c>
      <c r="E119" s="624" t="s">
        <v>854</v>
      </c>
      <c r="F119" s="625" t="s">
        <v>488</v>
      </c>
      <c r="G119" s="626" t="s">
        <v>508</v>
      </c>
      <c r="H119" s="625" t="s">
        <v>19</v>
      </c>
      <c r="I119" s="627">
        <v>37.700000000000003</v>
      </c>
    </row>
    <row r="120" spans="1:9" ht="13.5">
      <c r="A120" s="621">
        <v>102</v>
      </c>
      <c r="B120" s="153" t="s">
        <v>849</v>
      </c>
      <c r="C120" s="622"/>
      <c r="D120" s="623" t="s">
        <v>180</v>
      </c>
      <c r="E120" s="624" t="s">
        <v>854</v>
      </c>
      <c r="F120" s="625" t="s">
        <v>891</v>
      </c>
      <c r="G120" s="626" t="s">
        <v>169</v>
      </c>
      <c r="H120" s="625"/>
      <c r="I120" s="627">
        <v>0</v>
      </c>
    </row>
    <row r="121" spans="1:9" ht="13.5">
      <c r="A121" s="621">
        <v>102</v>
      </c>
      <c r="B121" s="153" t="s">
        <v>849</v>
      </c>
      <c r="C121" s="622"/>
      <c r="D121" s="623" t="s">
        <v>180</v>
      </c>
      <c r="E121" s="624" t="s">
        <v>327</v>
      </c>
      <c r="F121" s="625" t="s">
        <v>333</v>
      </c>
      <c r="G121" s="626" t="s">
        <v>896</v>
      </c>
      <c r="H121" s="625" t="s">
        <v>44</v>
      </c>
      <c r="I121" s="627">
        <v>45.5</v>
      </c>
    </row>
    <row r="122" spans="1:9" ht="13.5">
      <c r="A122" s="621">
        <v>102</v>
      </c>
      <c r="B122" s="153" t="s">
        <v>849</v>
      </c>
      <c r="C122" s="622"/>
      <c r="D122" s="623" t="s">
        <v>180</v>
      </c>
      <c r="E122" s="624" t="s">
        <v>327</v>
      </c>
      <c r="F122" s="625" t="s">
        <v>333</v>
      </c>
      <c r="G122" s="626" t="s">
        <v>783</v>
      </c>
      <c r="H122" s="625" t="s">
        <v>44</v>
      </c>
      <c r="I122" s="627">
        <v>53.300000000000004</v>
      </c>
    </row>
    <row r="123" spans="1:9" ht="13.5">
      <c r="A123" s="621">
        <v>102</v>
      </c>
      <c r="B123" s="153" t="s">
        <v>849</v>
      </c>
      <c r="C123" s="622"/>
      <c r="D123" s="623" t="s">
        <v>180</v>
      </c>
      <c r="E123" s="624" t="s">
        <v>327</v>
      </c>
      <c r="F123" s="625" t="s">
        <v>897</v>
      </c>
      <c r="G123" s="626" t="s">
        <v>784</v>
      </c>
      <c r="H123" s="625" t="s">
        <v>44</v>
      </c>
      <c r="I123" s="627">
        <v>18.2</v>
      </c>
    </row>
    <row r="124" spans="1:9" ht="13.5">
      <c r="A124" s="621">
        <v>102</v>
      </c>
      <c r="B124" s="153" t="s">
        <v>849</v>
      </c>
      <c r="C124" s="622"/>
      <c r="D124" s="623" t="s">
        <v>180</v>
      </c>
      <c r="E124" s="624" t="s">
        <v>327</v>
      </c>
      <c r="F124" s="625" t="s">
        <v>333</v>
      </c>
      <c r="G124" s="626" t="s">
        <v>785</v>
      </c>
      <c r="H124" s="625" t="s">
        <v>44</v>
      </c>
      <c r="I124" s="627">
        <v>44.2</v>
      </c>
    </row>
    <row r="125" spans="1:9" ht="13.5">
      <c r="A125" s="621">
        <v>102</v>
      </c>
      <c r="B125" s="153" t="s">
        <v>849</v>
      </c>
      <c r="C125" s="622"/>
      <c r="D125" s="623" t="s">
        <v>180</v>
      </c>
      <c r="E125" s="624" t="s">
        <v>327</v>
      </c>
      <c r="F125" s="625" t="s">
        <v>333</v>
      </c>
      <c r="G125" s="626" t="s">
        <v>898</v>
      </c>
      <c r="H125" s="625" t="s">
        <v>44</v>
      </c>
      <c r="I125" s="627">
        <v>49.4</v>
      </c>
    </row>
    <row r="126" spans="1:9" ht="13.5">
      <c r="A126" s="621">
        <v>102</v>
      </c>
      <c r="B126" s="153" t="s">
        <v>849</v>
      </c>
      <c r="C126" s="622"/>
      <c r="D126" s="623" t="s">
        <v>180</v>
      </c>
      <c r="E126" s="624" t="s">
        <v>327</v>
      </c>
      <c r="F126" s="625" t="s">
        <v>168</v>
      </c>
      <c r="G126" s="626" t="s">
        <v>787</v>
      </c>
      <c r="H126" s="625"/>
      <c r="I126" s="627">
        <v>0</v>
      </c>
    </row>
    <row r="127" spans="1:9" ht="13.5">
      <c r="A127" s="621">
        <v>102</v>
      </c>
      <c r="B127" s="153" t="s">
        <v>849</v>
      </c>
      <c r="C127" s="622"/>
      <c r="D127" s="623" t="s">
        <v>180</v>
      </c>
      <c r="E127" s="624" t="s">
        <v>327</v>
      </c>
      <c r="F127" s="625" t="s">
        <v>123</v>
      </c>
      <c r="G127" s="626" t="s">
        <v>899</v>
      </c>
      <c r="H127" s="625" t="s">
        <v>109</v>
      </c>
      <c r="I127" s="627">
        <v>10.4</v>
      </c>
    </row>
    <row r="128" spans="1:9" ht="13.5">
      <c r="A128" s="621">
        <v>102</v>
      </c>
      <c r="B128" s="153" t="s">
        <v>849</v>
      </c>
      <c r="C128" s="622"/>
      <c r="D128" s="623" t="s">
        <v>180</v>
      </c>
      <c r="E128" s="624" t="s">
        <v>327</v>
      </c>
      <c r="F128" s="625" t="s">
        <v>488</v>
      </c>
      <c r="G128" s="626" t="s">
        <v>900</v>
      </c>
      <c r="H128" s="625" t="s">
        <v>19</v>
      </c>
      <c r="I128" s="627">
        <v>161.20000000000002</v>
      </c>
    </row>
    <row r="129" spans="1:9" ht="13.5">
      <c r="A129" s="621">
        <v>102</v>
      </c>
      <c r="B129" s="153" t="s">
        <v>849</v>
      </c>
      <c r="C129" s="622"/>
      <c r="D129" s="623" t="s">
        <v>180</v>
      </c>
      <c r="E129" s="624" t="s">
        <v>327</v>
      </c>
      <c r="F129" s="625" t="s">
        <v>488</v>
      </c>
      <c r="G129" s="626" t="s">
        <v>901</v>
      </c>
      <c r="H129" s="625" t="s">
        <v>44</v>
      </c>
      <c r="I129" s="627">
        <v>27.3</v>
      </c>
    </row>
    <row r="130" spans="1:9" ht="13.5">
      <c r="A130" s="621">
        <v>102</v>
      </c>
      <c r="B130" s="153" t="s">
        <v>849</v>
      </c>
      <c r="C130" s="622"/>
      <c r="D130" s="623" t="s">
        <v>180</v>
      </c>
      <c r="E130" s="624" t="s">
        <v>327</v>
      </c>
      <c r="F130" s="625" t="s">
        <v>488</v>
      </c>
      <c r="G130" s="626" t="s">
        <v>902</v>
      </c>
      <c r="H130" s="625" t="s">
        <v>19</v>
      </c>
      <c r="I130" s="627">
        <v>20.8</v>
      </c>
    </row>
    <row r="131" spans="1:9" ht="13.5">
      <c r="A131" s="621">
        <v>102</v>
      </c>
      <c r="B131" s="153" t="s">
        <v>849</v>
      </c>
      <c r="C131" s="622"/>
      <c r="D131" s="623" t="s">
        <v>180</v>
      </c>
      <c r="E131" s="624" t="s">
        <v>327</v>
      </c>
      <c r="F131" s="625" t="s">
        <v>488</v>
      </c>
      <c r="G131" s="626" t="s">
        <v>605</v>
      </c>
      <c r="H131" s="625" t="s">
        <v>19</v>
      </c>
      <c r="I131" s="627">
        <v>20.8</v>
      </c>
    </row>
    <row r="132" spans="1:9" ht="13.5">
      <c r="A132" s="621">
        <v>102</v>
      </c>
      <c r="B132" s="153" t="s">
        <v>849</v>
      </c>
      <c r="C132" s="622"/>
      <c r="D132" s="623" t="s">
        <v>180</v>
      </c>
      <c r="E132" s="624" t="s">
        <v>327</v>
      </c>
      <c r="F132" s="625" t="s">
        <v>488</v>
      </c>
      <c r="G132" s="626" t="s">
        <v>603</v>
      </c>
      <c r="H132" s="625" t="s">
        <v>109</v>
      </c>
      <c r="I132" s="627">
        <v>75.400000000000006</v>
      </c>
    </row>
    <row r="133" spans="1:9" ht="13.5">
      <c r="A133" s="621">
        <v>102</v>
      </c>
      <c r="B133" s="153" t="s">
        <v>849</v>
      </c>
      <c r="C133" s="622"/>
      <c r="D133" s="623" t="s">
        <v>180</v>
      </c>
      <c r="E133" s="624" t="s">
        <v>327</v>
      </c>
      <c r="F133" s="625" t="s">
        <v>488</v>
      </c>
      <c r="G133" s="626" t="s">
        <v>903</v>
      </c>
      <c r="H133" s="625" t="s">
        <v>19</v>
      </c>
      <c r="I133" s="627">
        <v>16.900000000000002</v>
      </c>
    </row>
    <row r="134" spans="1:9" ht="13.5">
      <c r="A134" s="621">
        <v>102</v>
      </c>
      <c r="B134" s="153" t="s">
        <v>849</v>
      </c>
      <c r="C134" s="622"/>
      <c r="D134" s="623" t="s">
        <v>180</v>
      </c>
      <c r="E134" s="624" t="s">
        <v>54</v>
      </c>
      <c r="F134" s="625" t="s">
        <v>422</v>
      </c>
      <c r="G134" s="626" t="s">
        <v>804</v>
      </c>
      <c r="H134" s="625" t="s">
        <v>176</v>
      </c>
      <c r="I134" s="627">
        <v>19.5</v>
      </c>
    </row>
    <row r="135" spans="1:9" ht="13.5">
      <c r="A135" s="621">
        <v>102</v>
      </c>
      <c r="B135" s="153" t="s">
        <v>849</v>
      </c>
      <c r="C135" s="622"/>
      <c r="D135" s="623" t="s">
        <v>180</v>
      </c>
      <c r="E135" s="624" t="s">
        <v>54</v>
      </c>
      <c r="F135" s="625" t="s">
        <v>36</v>
      </c>
      <c r="G135" s="626" t="s">
        <v>908</v>
      </c>
      <c r="H135" s="625" t="s">
        <v>176</v>
      </c>
      <c r="I135" s="627">
        <v>52</v>
      </c>
    </row>
    <row r="136" spans="1:9" ht="13.5">
      <c r="A136" s="621">
        <v>102</v>
      </c>
      <c r="B136" s="153" t="s">
        <v>849</v>
      </c>
      <c r="C136" s="622"/>
      <c r="D136" s="623" t="s">
        <v>180</v>
      </c>
      <c r="E136" s="624" t="s">
        <v>54</v>
      </c>
      <c r="F136" s="625" t="s">
        <v>36</v>
      </c>
      <c r="G136" s="626" t="s">
        <v>805</v>
      </c>
      <c r="H136" s="625" t="s">
        <v>176</v>
      </c>
      <c r="I136" s="627">
        <v>27.3</v>
      </c>
    </row>
    <row r="137" spans="1:9" ht="13.5">
      <c r="A137" s="621">
        <v>102</v>
      </c>
      <c r="B137" s="153" t="s">
        <v>849</v>
      </c>
      <c r="C137" s="622"/>
      <c r="D137" s="623" t="s">
        <v>180</v>
      </c>
      <c r="E137" s="624" t="s">
        <v>54</v>
      </c>
      <c r="F137" s="625" t="s">
        <v>437</v>
      </c>
      <c r="G137" s="626" t="s">
        <v>909</v>
      </c>
      <c r="H137" s="625" t="s">
        <v>19</v>
      </c>
      <c r="I137" s="627">
        <v>9.1</v>
      </c>
    </row>
    <row r="138" spans="1:9" ht="13.5">
      <c r="A138" s="621">
        <v>102</v>
      </c>
      <c r="B138" s="153" t="s">
        <v>849</v>
      </c>
      <c r="C138" s="622"/>
      <c r="D138" s="623" t="s">
        <v>180</v>
      </c>
      <c r="E138" s="624" t="s">
        <v>54</v>
      </c>
      <c r="F138" s="625" t="s">
        <v>435</v>
      </c>
      <c r="G138" s="626" t="s">
        <v>910</v>
      </c>
      <c r="H138" s="625" t="s">
        <v>19</v>
      </c>
      <c r="I138" s="627">
        <v>10.4</v>
      </c>
    </row>
    <row r="139" spans="1:9" ht="13.5">
      <c r="A139" s="621">
        <v>102</v>
      </c>
      <c r="B139" s="153" t="s">
        <v>849</v>
      </c>
      <c r="C139" s="622"/>
      <c r="D139" s="623" t="s">
        <v>180</v>
      </c>
      <c r="E139" s="624" t="s">
        <v>54</v>
      </c>
      <c r="F139" s="625" t="s">
        <v>911</v>
      </c>
      <c r="G139" s="626" t="s">
        <v>912</v>
      </c>
      <c r="H139" s="625"/>
      <c r="I139" s="627">
        <v>11</v>
      </c>
    </row>
    <row r="140" spans="1:9" ht="13.5">
      <c r="A140" s="621">
        <v>102</v>
      </c>
      <c r="B140" s="153" t="s">
        <v>849</v>
      </c>
      <c r="C140" s="622"/>
      <c r="D140" s="623" t="s">
        <v>180</v>
      </c>
      <c r="E140" s="624" t="s">
        <v>54</v>
      </c>
      <c r="F140" s="625" t="s">
        <v>913</v>
      </c>
      <c r="G140" s="626" t="s">
        <v>914</v>
      </c>
      <c r="H140" s="625"/>
      <c r="I140" s="627">
        <v>11</v>
      </c>
    </row>
    <row r="141" spans="1:9" ht="13.5">
      <c r="A141" s="621">
        <v>102</v>
      </c>
      <c r="B141" s="153" t="s">
        <v>849</v>
      </c>
      <c r="C141" s="622"/>
      <c r="D141" s="623" t="s">
        <v>180</v>
      </c>
      <c r="E141" s="624" t="s">
        <v>54</v>
      </c>
      <c r="F141" s="625" t="s">
        <v>915</v>
      </c>
      <c r="G141" s="626" t="s">
        <v>916</v>
      </c>
      <c r="H141" s="625"/>
      <c r="I141" s="627">
        <v>11</v>
      </c>
    </row>
    <row r="142" spans="1:9" ht="13.5">
      <c r="A142" s="621">
        <v>102</v>
      </c>
      <c r="B142" s="153" t="s">
        <v>849</v>
      </c>
      <c r="C142" s="622"/>
      <c r="D142" s="623" t="s">
        <v>180</v>
      </c>
      <c r="E142" s="624" t="s">
        <v>54</v>
      </c>
      <c r="F142" s="625" t="s">
        <v>264</v>
      </c>
      <c r="G142" s="626" t="s">
        <v>917</v>
      </c>
      <c r="H142" s="625" t="s">
        <v>176</v>
      </c>
      <c r="I142" s="627">
        <v>19.5</v>
      </c>
    </row>
    <row r="143" spans="1:9" ht="13.5">
      <c r="A143" s="621">
        <v>102</v>
      </c>
      <c r="B143" s="153" t="s">
        <v>849</v>
      </c>
      <c r="C143" s="622"/>
      <c r="D143" s="623" t="s">
        <v>180</v>
      </c>
      <c r="E143" s="624" t="s">
        <v>54</v>
      </c>
      <c r="F143" s="625" t="s">
        <v>592</v>
      </c>
      <c r="G143" s="626" t="s">
        <v>918</v>
      </c>
      <c r="H143" s="625" t="s">
        <v>176</v>
      </c>
      <c r="I143" s="627">
        <v>26</v>
      </c>
    </row>
    <row r="144" spans="1:9" ht="13.5">
      <c r="A144" s="621">
        <v>102</v>
      </c>
      <c r="B144" s="153" t="s">
        <v>849</v>
      </c>
      <c r="C144" s="622"/>
      <c r="D144" s="623" t="s">
        <v>180</v>
      </c>
      <c r="E144" s="624" t="s">
        <v>54</v>
      </c>
      <c r="F144" s="625" t="s">
        <v>439</v>
      </c>
      <c r="G144" s="626" t="s">
        <v>810</v>
      </c>
      <c r="H144" s="625" t="s">
        <v>176</v>
      </c>
      <c r="I144" s="627">
        <v>10.4</v>
      </c>
    </row>
    <row r="145" spans="1:9" ht="13.5">
      <c r="A145" s="621">
        <v>102</v>
      </c>
      <c r="B145" s="153" t="s">
        <v>849</v>
      </c>
      <c r="C145" s="622"/>
      <c r="D145" s="623" t="s">
        <v>180</v>
      </c>
      <c r="E145" s="624" t="s">
        <v>54</v>
      </c>
      <c r="F145" s="625" t="s">
        <v>439</v>
      </c>
      <c r="G145" s="626" t="s">
        <v>811</v>
      </c>
      <c r="H145" s="625" t="s">
        <v>176</v>
      </c>
      <c r="I145" s="627">
        <v>24.7</v>
      </c>
    </row>
    <row r="146" spans="1:9" ht="13.5">
      <c r="A146" s="621">
        <v>102</v>
      </c>
      <c r="B146" s="153" t="s">
        <v>849</v>
      </c>
      <c r="C146" s="622"/>
      <c r="D146" s="623" t="s">
        <v>180</v>
      </c>
      <c r="E146" s="624" t="s">
        <v>54</v>
      </c>
      <c r="F146" s="625" t="s">
        <v>461</v>
      </c>
      <c r="G146" s="626" t="s">
        <v>813</v>
      </c>
      <c r="H146" s="625"/>
      <c r="I146" s="627">
        <v>4</v>
      </c>
    </row>
    <row r="147" spans="1:9" ht="13.5">
      <c r="A147" s="621">
        <v>102</v>
      </c>
      <c r="B147" s="153" t="s">
        <v>849</v>
      </c>
      <c r="C147" s="622"/>
      <c r="D147" s="623" t="s">
        <v>180</v>
      </c>
      <c r="E147" s="624" t="s">
        <v>54</v>
      </c>
      <c r="F147" s="625" t="s">
        <v>461</v>
      </c>
      <c r="G147" s="626" t="s">
        <v>814</v>
      </c>
      <c r="H147" s="625" t="s">
        <v>44</v>
      </c>
      <c r="I147" s="627">
        <v>5.2</v>
      </c>
    </row>
    <row r="148" spans="1:9" ht="13.5">
      <c r="A148" s="621">
        <v>102</v>
      </c>
      <c r="B148" s="153" t="s">
        <v>849</v>
      </c>
      <c r="C148" s="622"/>
      <c r="D148" s="623" t="s">
        <v>180</v>
      </c>
      <c r="E148" s="624" t="s">
        <v>54</v>
      </c>
      <c r="F148" s="625" t="s">
        <v>168</v>
      </c>
      <c r="G148" s="626" t="s">
        <v>815</v>
      </c>
      <c r="H148" s="625" t="s">
        <v>109</v>
      </c>
      <c r="I148" s="627">
        <v>63.7</v>
      </c>
    </row>
    <row r="149" spans="1:9" ht="13.5">
      <c r="A149" s="621">
        <v>102</v>
      </c>
      <c r="B149" s="153" t="s">
        <v>849</v>
      </c>
      <c r="C149" s="622"/>
      <c r="D149" s="623" t="s">
        <v>180</v>
      </c>
      <c r="E149" s="624" t="s">
        <v>54</v>
      </c>
      <c r="F149" s="625" t="s">
        <v>168</v>
      </c>
      <c r="G149" s="626" t="s">
        <v>658</v>
      </c>
      <c r="H149" s="625" t="s">
        <v>109</v>
      </c>
      <c r="I149" s="627">
        <v>70.2</v>
      </c>
    </row>
    <row r="150" spans="1:9" ht="13.5">
      <c r="A150" s="621">
        <v>102</v>
      </c>
      <c r="B150" s="153" t="s">
        <v>849</v>
      </c>
      <c r="C150" s="622"/>
      <c r="D150" s="623" t="s">
        <v>180</v>
      </c>
      <c r="E150" s="624" t="s">
        <v>54</v>
      </c>
      <c r="F150" s="625" t="s">
        <v>123</v>
      </c>
      <c r="G150" s="626" t="s">
        <v>816</v>
      </c>
      <c r="H150" s="625" t="s">
        <v>109</v>
      </c>
      <c r="I150" s="627">
        <v>6.5</v>
      </c>
    </row>
    <row r="151" spans="1:9" ht="13.5">
      <c r="A151" s="621">
        <v>102</v>
      </c>
      <c r="B151" s="153" t="s">
        <v>849</v>
      </c>
      <c r="C151" s="622"/>
      <c r="D151" s="623" t="s">
        <v>180</v>
      </c>
      <c r="E151" s="624" t="s">
        <v>54</v>
      </c>
      <c r="F151" s="625" t="s">
        <v>123</v>
      </c>
      <c r="G151" s="626" t="s">
        <v>919</v>
      </c>
      <c r="H151" s="625" t="s">
        <v>109</v>
      </c>
      <c r="I151" s="627">
        <v>6.5</v>
      </c>
    </row>
    <row r="152" spans="1:9" ht="13.5">
      <c r="A152" s="621">
        <v>102</v>
      </c>
      <c r="B152" s="153" t="s">
        <v>849</v>
      </c>
      <c r="C152" s="622"/>
      <c r="D152" s="623" t="s">
        <v>180</v>
      </c>
      <c r="E152" s="624" t="s">
        <v>54</v>
      </c>
      <c r="F152" s="625" t="s">
        <v>488</v>
      </c>
      <c r="G152" s="626" t="s">
        <v>920</v>
      </c>
      <c r="H152" s="625"/>
      <c r="I152" s="627">
        <v>0</v>
      </c>
    </row>
    <row r="153" spans="1:9" ht="13.5">
      <c r="A153" s="621">
        <v>102</v>
      </c>
      <c r="B153" s="153" t="s">
        <v>849</v>
      </c>
      <c r="C153" s="622"/>
      <c r="D153" s="623" t="s">
        <v>180</v>
      </c>
      <c r="E153" s="624" t="s">
        <v>54</v>
      </c>
      <c r="F153" s="625" t="s">
        <v>488</v>
      </c>
      <c r="G153" s="626" t="s">
        <v>921</v>
      </c>
      <c r="H153" s="625"/>
      <c r="I153" s="627">
        <v>0</v>
      </c>
    </row>
    <row r="154" spans="1:9" ht="13.5">
      <c r="A154" s="621">
        <v>102</v>
      </c>
      <c r="B154" s="153" t="s">
        <v>849</v>
      </c>
      <c r="C154" s="622"/>
      <c r="D154" s="623" t="s">
        <v>180</v>
      </c>
      <c r="E154" s="624" t="s">
        <v>54</v>
      </c>
      <c r="F154" s="625" t="s">
        <v>488</v>
      </c>
      <c r="G154" s="626" t="s">
        <v>922</v>
      </c>
      <c r="H154" s="625" t="s">
        <v>176</v>
      </c>
      <c r="I154" s="627">
        <v>5.2</v>
      </c>
    </row>
    <row r="155" spans="1:9" ht="13.5">
      <c r="A155" s="621">
        <v>102</v>
      </c>
      <c r="B155" s="153" t="s">
        <v>849</v>
      </c>
      <c r="C155" s="622"/>
      <c r="D155" s="623" t="s">
        <v>180</v>
      </c>
      <c r="E155" s="624" t="s">
        <v>54</v>
      </c>
      <c r="F155" s="625" t="s">
        <v>488</v>
      </c>
      <c r="G155" s="626" t="s">
        <v>923</v>
      </c>
      <c r="H155" s="625"/>
      <c r="I155" s="627">
        <v>0.5</v>
      </c>
    </row>
    <row r="156" spans="1:9" ht="13.5">
      <c r="A156" s="621">
        <v>102</v>
      </c>
      <c r="B156" s="153" t="s">
        <v>849</v>
      </c>
      <c r="C156" s="622"/>
      <c r="D156" s="623" t="s">
        <v>180</v>
      </c>
      <c r="E156" s="624" t="s">
        <v>54</v>
      </c>
      <c r="F156" s="625" t="s">
        <v>488</v>
      </c>
      <c r="G156" s="626" t="s">
        <v>924</v>
      </c>
      <c r="H156" s="625" t="s">
        <v>174</v>
      </c>
      <c r="I156" s="627">
        <v>0</v>
      </c>
    </row>
    <row r="157" spans="1:9" ht="13.5">
      <c r="A157" s="621">
        <v>102</v>
      </c>
      <c r="B157" s="153" t="s">
        <v>849</v>
      </c>
      <c r="C157" s="622"/>
      <c r="D157" s="623" t="s">
        <v>180</v>
      </c>
      <c r="E157" s="624" t="s">
        <v>621</v>
      </c>
      <c r="F157" s="625" t="s">
        <v>622</v>
      </c>
      <c r="G157" s="626" t="s">
        <v>297</v>
      </c>
      <c r="H157" s="625"/>
      <c r="I157" s="627">
        <v>0</v>
      </c>
    </row>
    <row r="158" spans="1:9" ht="13.5">
      <c r="A158" s="621">
        <v>102</v>
      </c>
      <c r="B158" s="153" t="s">
        <v>849</v>
      </c>
      <c r="C158" s="622"/>
      <c r="D158" s="623" t="s">
        <v>180</v>
      </c>
      <c r="E158" s="624" t="s">
        <v>621</v>
      </c>
      <c r="F158" s="625" t="s">
        <v>925</v>
      </c>
      <c r="G158" s="626" t="s">
        <v>101</v>
      </c>
      <c r="H158" s="625"/>
      <c r="I158" s="627">
        <v>0</v>
      </c>
    </row>
    <row r="159" spans="1:9" ht="13.5">
      <c r="A159" s="621">
        <v>102</v>
      </c>
      <c r="B159" s="153" t="s">
        <v>849</v>
      </c>
      <c r="C159" s="622"/>
      <c r="D159" s="623" t="s">
        <v>180</v>
      </c>
      <c r="E159" s="624" t="s">
        <v>621</v>
      </c>
      <c r="F159" s="625" t="s">
        <v>630</v>
      </c>
      <c r="G159" s="626" t="s">
        <v>927</v>
      </c>
      <c r="H159" s="625" t="s">
        <v>19</v>
      </c>
      <c r="I159" s="627">
        <v>1791.4</v>
      </c>
    </row>
    <row r="160" spans="1:9" ht="13.5">
      <c r="A160" s="621">
        <v>102</v>
      </c>
      <c r="B160" s="153" t="s">
        <v>849</v>
      </c>
      <c r="C160" s="622"/>
      <c r="D160" s="623" t="s">
        <v>180</v>
      </c>
      <c r="E160" s="624" t="s">
        <v>621</v>
      </c>
      <c r="F160" s="625" t="s">
        <v>627</v>
      </c>
      <c r="G160" s="626" t="s">
        <v>928</v>
      </c>
      <c r="H160" s="625" t="s">
        <v>19</v>
      </c>
      <c r="I160" s="627">
        <v>572</v>
      </c>
    </row>
    <row r="161" spans="1:9" ht="13.5">
      <c r="A161" s="621">
        <v>102</v>
      </c>
      <c r="B161" s="153" t="s">
        <v>849</v>
      </c>
      <c r="C161" s="622"/>
      <c r="D161" s="623" t="s">
        <v>180</v>
      </c>
      <c r="E161" s="624" t="s">
        <v>621</v>
      </c>
      <c r="F161" s="625" t="s">
        <v>627</v>
      </c>
      <c r="G161" s="626" t="s">
        <v>929</v>
      </c>
      <c r="H161" s="625" t="s">
        <v>19</v>
      </c>
      <c r="I161" s="627">
        <v>288</v>
      </c>
    </row>
    <row r="162" spans="1:9" ht="13.5">
      <c r="A162" s="621">
        <v>102</v>
      </c>
      <c r="B162" s="153" t="s">
        <v>849</v>
      </c>
      <c r="C162" s="622"/>
      <c r="D162" s="623" t="s">
        <v>180</v>
      </c>
      <c r="E162" s="624" t="s">
        <v>621</v>
      </c>
      <c r="F162" s="625" t="s">
        <v>630</v>
      </c>
      <c r="G162" s="626" t="s">
        <v>677</v>
      </c>
      <c r="H162" s="625"/>
      <c r="I162" s="627">
        <v>37</v>
      </c>
    </row>
    <row r="163" spans="1:9" ht="13.5">
      <c r="A163" s="621">
        <v>102</v>
      </c>
      <c r="B163" s="153" t="s">
        <v>849</v>
      </c>
      <c r="C163" s="622"/>
      <c r="D163" s="623" t="s">
        <v>180</v>
      </c>
      <c r="E163" s="624" t="s">
        <v>621</v>
      </c>
      <c r="F163" s="625" t="s">
        <v>630</v>
      </c>
      <c r="G163" s="626" t="s">
        <v>933</v>
      </c>
      <c r="H163" s="625" t="s">
        <v>19</v>
      </c>
      <c r="I163" s="627">
        <v>561</v>
      </c>
    </row>
    <row r="164" spans="1:9" ht="13.5">
      <c r="A164" s="621">
        <v>102</v>
      </c>
      <c r="B164" s="153" t="s">
        <v>849</v>
      </c>
      <c r="C164" s="622"/>
      <c r="D164" s="623" t="s">
        <v>180</v>
      </c>
      <c r="E164" s="624" t="s">
        <v>621</v>
      </c>
      <c r="F164" s="625" t="s">
        <v>934</v>
      </c>
      <c r="G164" s="626" t="s">
        <v>834</v>
      </c>
      <c r="H164" s="625" t="s">
        <v>19</v>
      </c>
      <c r="I164" s="627">
        <v>18</v>
      </c>
    </row>
    <row r="165" spans="1:9" ht="13.5">
      <c r="A165" s="621">
        <v>102</v>
      </c>
      <c r="B165" s="153" t="s">
        <v>849</v>
      </c>
      <c r="C165" s="622"/>
      <c r="D165" s="623" t="s">
        <v>180</v>
      </c>
      <c r="E165" s="624" t="s">
        <v>621</v>
      </c>
      <c r="F165" s="625" t="s">
        <v>837</v>
      </c>
      <c r="G165" s="626" t="s">
        <v>935</v>
      </c>
      <c r="H165" s="625" t="s">
        <v>19</v>
      </c>
      <c r="I165" s="627">
        <v>29</v>
      </c>
    </row>
    <row r="166" spans="1:9" ht="13.5">
      <c r="A166" s="621">
        <v>102</v>
      </c>
      <c r="B166" s="153" t="s">
        <v>849</v>
      </c>
      <c r="C166" s="622"/>
      <c r="D166" s="623" t="s">
        <v>180</v>
      </c>
      <c r="E166" s="624" t="s">
        <v>621</v>
      </c>
      <c r="F166" s="625" t="s">
        <v>936</v>
      </c>
      <c r="G166" s="626" t="s">
        <v>937</v>
      </c>
      <c r="H166" s="625" t="s">
        <v>19</v>
      </c>
      <c r="I166" s="627">
        <v>34</v>
      </c>
    </row>
    <row r="167" spans="1:9" ht="13.5">
      <c r="A167" s="621">
        <v>102</v>
      </c>
      <c r="B167" s="153" t="s">
        <v>849</v>
      </c>
      <c r="C167" s="622"/>
      <c r="D167" s="623" t="s">
        <v>180</v>
      </c>
      <c r="E167" s="624" t="s">
        <v>621</v>
      </c>
      <c r="F167" s="625" t="s">
        <v>938</v>
      </c>
      <c r="G167" s="626" t="s">
        <v>939</v>
      </c>
      <c r="H167" s="625" t="s">
        <v>19</v>
      </c>
      <c r="I167" s="627">
        <v>36</v>
      </c>
    </row>
    <row r="168" spans="1:9" ht="13.5">
      <c r="A168" s="621">
        <v>102</v>
      </c>
      <c r="B168" s="153" t="s">
        <v>849</v>
      </c>
      <c r="C168" s="622"/>
      <c r="D168" s="623" t="s">
        <v>180</v>
      </c>
      <c r="E168" s="624" t="s">
        <v>621</v>
      </c>
      <c r="F168" s="625" t="s">
        <v>940</v>
      </c>
      <c r="G168" s="626" t="s">
        <v>941</v>
      </c>
      <c r="H168" s="625"/>
      <c r="I168" s="627">
        <v>49</v>
      </c>
    </row>
    <row r="169" spans="1:9" ht="13.5">
      <c r="A169" s="621">
        <v>102</v>
      </c>
      <c r="B169" s="153" t="s">
        <v>849</v>
      </c>
      <c r="C169" s="622"/>
      <c r="D169" s="623" t="s">
        <v>180</v>
      </c>
      <c r="E169" s="624" t="s">
        <v>621</v>
      </c>
      <c r="F169" s="625" t="s">
        <v>597</v>
      </c>
      <c r="G169" s="626" t="s">
        <v>839</v>
      </c>
      <c r="H169" s="625" t="s">
        <v>109</v>
      </c>
      <c r="I169" s="627">
        <v>29.900000000000002</v>
      </c>
    </row>
    <row r="170" spans="1:9" ht="13.5">
      <c r="A170" s="621">
        <v>102</v>
      </c>
      <c r="B170" s="153" t="s">
        <v>849</v>
      </c>
      <c r="C170" s="622"/>
      <c r="D170" s="623" t="s">
        <v>180</v>
      </c>
      <c r="E170" s="624" t="s">
        <v>621</v>
      </c>
      <c r="F170" s="625" t="s">
        <v>647</v>
      </c>
      <c r="G170" s="626" t="s">
        <v>840</v>
      </c>
      <c r="H170" s="625" t="s">
        <v>19</v>
      </c>
      <c r="I170" s="627">
        <v>28</v>
      </c>
    </row>
    <row r="171" spans="1:9" ht="13.5">
      <c r="A171" s="621">
        <v>102</v>
      </c>
      <c r="B171" s="153" t="s">
        <v>849</v>
      </c>
      <c r="C171" s="622"/>
      <c r="D171" s="623" t="s">
        <v>180</v>
      </c>
      <c r="E171" s="624" t="s">
        <v>621</v>
      </c>
      <c r="F171" s="625" t="s">
        <v>597</v>
      </c>
      <c r="G171" s="626" t="s">
        <v>680</v>
      </c>
      <c r="H171" s="625" t="s">
        <v>109</v>
      </c>
      <c r="I171" s="627">
        <v>19.5</v>
      </c>
    </row>
    <row r="172" spans="1:9" ht="13.5">
      <c r="A172" s="621">
        <v>102</v>
      </c>
      <c r="B172" s="153" t="s">
        <v>849</v>
      </c>
      <c r="C172" s="622"/>
      <c r="D172" s="623" t="s">
        <v>180</v>
      </c>
      <c r="E172" s="624" t="s">
        <v>621</v>
      </c>
      <c r="F172" s="625" t="s">
        <v>942</v>
      </c>
      <c r="G172" s="626" t="s">
        <v>943</v>
      </c>
      <c r="H172" s="625" t="s">
        <v>109</v>
      </c>
      <c r="I172" s="627">
        <v>5.2</v>
      </c>
    </row>
    <row r="173" spans="1:9" ht="13.5">
      <c r="A173" s="621">
        <v>102</v>
      </c>
      <c r="B173" s="153" t="s">
        <v>849</v>
      </c>
      <c r="C173" s="622"/>
      <c r="D173" s="623" t="s">
        <v>180</v>
      </c>
      <c r="E173" s="624" t="s">
        <v>621</v>
      </c>
      <c r="F173" s="625" t="s">
        <v>647</v>
      </c>
      <c r="G173" s="626" t="s">
        <v>681</v>
      </c>
      <c r="H173" s="625" t="s">
        <v>19</v>
      </c>
      <c r="I173" s="627">
        <v>33</v>
      </c>
    </row>
    <row r="174" spans="1:9" ht="13.5">
      <c r="A174" s="621">
        <v>102</v>
      </c>
      <c r="B174" s="153" t="s">
        <v>849</v>
      </c>
      <c r="C174" s="622"/>
      <c r="D174" s="623" t="s">
        <v>180</v>
      </c>
      <c r="E174" s="624" t="s">
        <v>621</v>
      </c>
      <c r="F174" s="625" t="s">
        <v>168</v>
      </c>
      <c r="G174" s="626" t="s">
        <v>843</v>
      </c>
      <c r="H174" s="625" t="s">
        <v>109</v>
      </c>
      <c r="I174" s="627">
        <v>0</v>
      </c>
    </row>
    <row r="175" spans="1:9" ht="13.5">
      <c r="A175" s="621">
        <v>102</v>
      </c>
      <c r="B175" s="153" t="s">
        <v>849</v>
      </c>
      <c r="C175" s="622"/>
      <c r="D175" s="623" t="s">
        <v>180</v>
      </c>
      <c r="E175" s="624" t="s">
        <v>621</v>
      </c>
      <c r="F175" s="625" t="s">
        <v>168</v>
      </c>
      <c r="G175" s="626" t="s">
        <v>944</v>
      </c>
      <c r="H175" s="625" t="s">
        <v>109</v>
      </c>
      <c r="I175" s="627">
        <v>0</v>
      </c>
    </row>
    <row r="176" spans="1:9" ht="13.5">
      <c r="A176" s="621">
        <v>102</v>
      </c>
      <c r="B176" s="153" t="s">
        <v>849</v>
      </c>
      <c r="C176" s="622"/>
      <c r="D176" s="623" t="s">
        <v>180</v>
      </c>
      <c r="E176" s="624" t="s">
        <v>621</v>
      </c>
      <c r="F176" s="625" t="s">
        <v>945</v>
      </c>
      <c r="G176" s="626" t="s">
        <v>169</v>
      </c>
      <c r="H176" s="625"/>
      <c r="I176" s="627">
        <v>19</v>
      </c>
    </row>
    <row r="177" spans="1:9" ht="13.5">
      <c r="A177" s="621">
        <v>103</v>
      </c>
      <c r="B177" s="153" t="s">
        <v>717</v>
      </c>
      <c r="C177" s="622"/>
      <c r="D177" s="623" t="s">
        <v>180</v>
      </c>
      <c r="E177" s="624" t="s">
        <v>716</v>
      </c>
      <c r="F177" s="625" t="s">
        <v>723</v>
      </c>
      <c r="G177" s="626" t="s">
        <v>724</v>
      </c>
      <c r="H177" s="625" t="s">
        <v>109</v>
      </c>
      <c r="I177" s="627">
        <v>0</v>
      </c>
    </row>
    <row r="178" spans="1:9" ht="13.5">
      <c r="A178" s="621">
        <v>103</v>
      </c>
      <c r="B178" s="153" t="s">
        <v>717</v>
      </c>
      <c r="C178" s="622"/>
      <c r="D178" s="623" t="s">
        <v>180</v>
      </c>
      <c r="E178" s="624" t="s">
        <v>716</v>
      </c>
      <c r="F178" s="625" t="s">
        <v>723</v>
      </c>
      <c r="G178" s="626" t="s">
        <v>725</v>
      </c>
      <c r="H178" s="625" t="s">
        <v>109</v>
      </c>
      <c r="I178" s="627">
        <v>0</v>
      </c>
    </row>
    <row r="179" spans="1:9" ht="13.5">
      <c r="A179" s="621">
        <v>103</v>
      </c>
      <c r="B179" s="153" t="s">
        <v>717</v>
      </c>
      <c r="C179" s="622"/>
      <c r="D179" s="623" t="s">
        <v>180</v>
      </c>
      <c r="E179" s="624" t="s">
        <v>327</v>
      </c>
      <c r="F179" s="625" t="s">
        <v>723</v>
      </c>
      <c r="G179" s="626" t="s">
        <v>726</v>
      </c>
      <c r="H179" s="625"/>
      <c r="I179" s="627">
        <v>0</v>
      </c>
    </row>
    <row r="180" spans="1:9" ht="13.5">
      <c r="A180" s="621">
        <v>103</v>
      </c>
      <c r="B180" s="153" t="s">
        <v>717</v>
      </c>
      <c r="C180" s="622"/>
      <c r="D180" s="623" t="s">
        <v>180</v>
      </c>
      <c r="E180" s="624" t="s">
        <v>327</v>
      </c>
      <c r="F180" s="625" t="s">
        <v>723</v>
      </c>
      <c r="G180" s="626" t="s">
        <v>727</v>
      </c>
      <c r="H180" s="625"/>
      <c r="I180" s="627">
        <v>0</v>
      </c>
    </row>
    <row r="181" spans="1:9" ht="13.5">
      <c r="A181" s="621">
        <v>103</v>
      </c>
      <c r="B181" s="153" t="s">
        <v>717</v>
      </c>
      <c r="C181" s="622"/>
      <c r="D181" s="623" t="s">
        <v>180</v>
      </c>
      <c r="E181" s="624" t="s">
        <v>357</v>
      </c>
      <c r="F181" s="625" t="s">
        <v>422</v>
      </c>
      <c r="G181" s="626" t="s">
        <v>423</v>
      </c>
      <c r="H181" s="625" t="s">
        <v>109</v>
      </c>
      <c r="I181" s="627">
        <v>45.5</v>
      </c>
    </row>
    <row r="182" spans="1:9" ht="13.5">
      <c r="A182" s="621">
        <v>103</v>
      </c>
      <c r="B182" s="153" t="s">
        <v>717</v>
      </c>
      <c r="C182" s="622"/>
      <c r="D182" s="623" t="s">
        <v>180</v>
      </c>
      <c r="E182" s="624" t="s">
        <v>357</v>
      </c>
      <c r="F182" s="625" t="s">
        <v>177</v>
      </c>
      <c r="G182" s="626" t="s">
        <v>425</v>
      </c>
      <c r="H182" s="625"/>
      <c r="I182" s="627">
        <v>0</v>
      </c>
    </row>
    <row r="183" spans="1:9" ht="13.5">
      <c r="A183" s="621">
        <v>103</v>
      </c>
      <c r="B183" s="153" t="s">
        <v>717</v>
      </c>
      <c r="C183" s="622"/>
      <c r="D183" s="623" t="s">
        <v>180</v>
      </c>
      <c r="E183" s="624" t="s">
        <v>357</v>
      </c>
      <c r="F183" s="625" t="s">
        <v>439</v>
      </c>
      <c r="G183" s="626" t="s">
        <v>740</v>
      </c>
      <c r="H183" s="625" t="s">
        <v>44</v>
      </c>
      <c r="I183" s="627">
        <v>13</v>
      </c>
    </row>
    <row r="184" spans="1:9" ht="13.5">
      <c r="A184" s="621">
        <v>103</v>
      </c>
      <c r="B184" s="153" t="s">
        <v>717</v>
      </c>
      <c r="C184" s="622"/>
      <c r="D184" s="623" t="s">
        <v>180</v>
      </c>
      <c r="E184" s="624" t="s">
        <v>357</v>
      </c>
      <c r="F184" s="625" t="s">
        <v>41</v>
      </c>
      <c r="G184" s="626" t="s">
        <v>441</v>
      </c>
      <c r="H184" s="625" t="s">
        <v>109</v>
      </c>
      <c r="I184" s="627">
        <v>23.074999999999999</v>
      </c>
    </row>
    <row r="185" spans="1:9" ht="13.5">
      <c r="A185" s="621">
        <v>103</v>
      </c>
      <c r="B185" s="153" t="s">
        <v>717</v>
      </c>
      <c r="C185" s="622"/>
      <c r="D185" s="623" t="s">
        <v>180</v>
      </c>
      <c r="E185" s="624" t="s">
        <v>357</v>
      </c>
      <c r="F185" s="625" t="s">
        <v>41</v>
      </c>
      <c r="G185" s="626" t="s">
        <v>443</v>
      </c>
      <c r="H185" s="625" t="s">
        <v>109</v>
      </c>
      <c r="I185" s="627">
        <v>9.1</v>
      </c>
    </row>
    <row r="186" spans="1:9" ht="13.5">
      <c r="A186" s="621">
        <v>103</v>
      </c>
      <c r="B186" s="153" t="s">
        <v>717</v>
      </c>
      <c r="C186" s="622"/>
      <c r="D186" s="623" t="s">
        <v>180</v>
      </c>
      <c r="E186" s="624" t="s">
        <v>357</v>
      </c>
      <c r="F186" s="625" t="s">
        <v>331</v>
      </c>
      <c r="G186" s="626" t="s">
        <v>754</v>
      </c>
      <c r="H186" s="625" t="s">
        <v>44</v>
      </c>
      <c r="I186" s="627">
        <v>41.235999999999997</v>
      </c>
    </row>
    <row r="187" spans="1:9" ht="13.5">
      <c r="A187" s="621">
        <v>103</v>
      </c>
      <c r="B187" s="153" t="s">
        <v>717</v>
      </c>
      <c r="C187" s="622"/>
      <c r="D187" s="623" t="s">
        <v>180</v>
      </c>
      <c r="E187" s="624" t="s">
        <v>357</v>
      </c>
      <c r="F187" s="625" t="s">
        <v>333</v>
      </c>
      <c r="G187" s="626" t="s">
        <v>755</v>
      </c>
      <c r="H187" s="625" t="s">
        <v>12</v>
      </c>
      <c r="I187" s="627">
        <v>44</v>
      </c>
    </row>
    <row r="188" spans="1:9" ht="13.5">
      <c r="A188" s="621">
        <v>103</v>
      </c>
      <c r="B188" s="153" t="s">
        <v>717</v>
      </c>
      <c r="C188" s="622"/>
      <c r="D188" s="623" t="s">
        <v>180</v>
      </c>
      <c r="E188" s="624" t="s">
        <v>357</v>
      </c>
      <c r="F188" s="625" t="s">
        <v>333</v>
      </c>
      <c r="G188" s="626" t="s">
        <v>756</v>
      </c>
      <c r="H188" s="625" t="s">
        <v>1314</v>
      </c>
      <c r="I188" s="627">
        <v>24</v>
      </c>
    </row>
    <row r="189" spans="1:9" ht="13.5">
      <c r="A189" s="621">
        <v>103</v>
      </c>
      <c r="B189" s="153" t="s">
        <v>717</v>
      </c>
      <c r="C189" s="622"/>
      <c r="D189" s="623" t="s">
        <v>180</v>
      </c>
      <c r="E189" s="624" t="s">
        <v>357</v>
      </c>
      <c r="F189" s="625" t="s">
        <v>168</v>
      </c>
      <c r="G189" s="626" t="s">
        <v>757</v>
      </c>
      <c r="H189" s="625"/>
      <c r="I189" s="627">
        <v>0</v>
      </c>
    </row>
    <row r="190" spans="1:9" ht="13.5">
      <c r="A190" s="621">
        <v>103</v>
      </c>
      <c r="B190" s="153" t="s">
        <v>717</v>
      </c>
      <c r="C190" s="622"/>
      <c r="D190" s="623" t="s">
        <v>180</v>
      </c>
      <c r="E190" s="624" t="s">
        <v>357</v>
      </c>
      <c r="F190" s="625" t="s">
        <v>758</v>
      </c>
      <c r="G190" s="626" t="s">
        <v>759</v>
      </c>
      <c r="H190" s="625" t="s">
        <v>44</v>
      </c>
      <c r="I190" s="627">
        <v>7.7804999999999991</v>
      </c>
    </row>
    <row r="191" spans="1:9" ht="13.5">
      <c r="A191" s="621">
        <v>103</v>
      </c>
      <c r="B191" s="153" t="s">
        <v>717</v>
      </c>
      <c r="C191" s="622"/>
      <c r="D191" s="623" t="s">
        <v>180</v>
      </c>
      <c r="E191" s="624" t="s">
        <v>357</v>
      </c>
      <c r="F191" s="625" t="s">
        <v>306</v>
      </c>
      <c r="G191" s="626" t="s">
        <v>760</v>
      </c>
      <c r="H191" s="625" t="s">
        <v>109</v>
      </c>
      <c r="I191" s="627">
        <v>13</v>
      </c>
    </row>
    <row r="192" spans="1:9" ht="13.5">
      <c r="A192" s="621">
        <v>103</v>
      </c>
      <c r="B192" s="153" t="s">
        <v>717</v>
      </c>
      <c r="C192" s="622"/>
      <c r="D192" s="623" t="s">
        <v>180</v>
      </c>
      <c r="E192" s="624" t="s">
        <v>357</v>
      </c>
      <c r="F192" s="625" t="s">
        <v>761</v>
      </c>
      <c r="G192" s="626" t="s">
        <v>762</v>
      </c>
      <c r="H192" s="625" t="s">
        <v>176</v>
      </c>
      <c r="I192" s="627">
        <v>10.4</v>
      </c>
    </row>
    <row r="193" spans="1:9" ht="13.5">
      <c r="A193" s="621">
        <v>103</v>
      </c>
      <c r="B193" s="153" t="s">
        <v>717</v>
      </c>
      <c r="C193" s="622"/>
      <c r="D193" s="623" t="s">
        <v>180</v>
      </c>
      <c r="E193" s="624" t="s">
        <v>357</v>
      </c>
      <c r="F193" s="625" t="s">
        <v>478</v>
      </c>
      <c r="G193" s="626" t="s">
        <v>763</v>
      </c>
      <c r="H193" s="625"/>
      <c r="I193" s="627">
        <v>0</v>
      </c>
    </row>
    <row r="194" spans="1:9" ht="13.5">
      <c r="A194" s="621">
        <v>103</v>
      </c>
      <c r="B194" s="153" t="s">
        <v>717</v>
      </c>
      <c r="C194" s="622"/>
      <c r="D194" s="623" t="s">
        <v>180</v>
      </c>
      <c r="E194" s="624" t="s">
        <v>357</v>
      </c>
      <c r="F194" s="625" t="s">
        <v>764</v>
      </c>
      <c r="G194" s="626" t="s">
        <v>765</v>
      </c>
      <c r="H194" s="625"/>
      <c r="I194" s="627">
        <v>0</v>
      </c>
    </row>
    <row r="195" spans="1:9" ht="13.5">
      <c r="A195" s="621">
        <v>103</v>
      </c>
      <c r="B195" s="153" t="s">
        <v>717</v>
      </c>
      <c r="C195" s="622"/>
      <c r="D195" s="623" t="s">
        <v>180</v>
      </c>
      <c r="E195" s="624" t="s">
        <v>357</v>
      </c>
      <c r="F195" s="625" t="s">
        <v>478</v>
      </c>
      <c r="G195" s="626" t="s">
        <v>481</v>
      </c>
      <c r="H195" s="625"/>
      <c r="I195" s="627">
        <v>0</v>
      </c>
    </row>
    <row r="196" spans="1:9" ht="13.5">
      <c r="A196" s="621">
        <v>103</v>
      </c>
      <c r="B196" s="153" t="s">
        <v>717</v>
      </c>
      <c r="C196" s="622"/>
      <c r="D196" s="623" t="s">
        <v>180</v>
      </c>
      <c r="E196" s="624" t="s">
        <v>357</v>
      </c>
      <c r="F196" s="625" t="s">
        <v>764</v>
      </c>
      <c r="G196" s="626" t="s">
        <v>483</v>
      </c>
      <c r="H196" s="625"/>
      <c r="I196" s="627">
        <v>0</v>
      </c>
    </row>
    <row r="197" spans="1:9" ht="13.5">
      <c r="A197" s="621">
        <v>103</v>
      </c>
      <c r="B197" s="153" t="s">
        <v>717</v>
      </c>
      <c r="C197" s="622"/>
      <c r="D197" s="623" t="s">
        <v>180</v>
      </c>
      <c r="E197" s="624" t="s">
        <v>357</v>
      </c>
      <c r="F197" s="625" t="s">
        <v>478</v>
      </c>
      <c r="G197" s="626" t="s">
        <v>486</v>
      </c>
      <c r="H197" s="625"/>
      <c r="I197" s="627">
        <v>0</v>
      </c>
    </row>
    <row r="198" spans="1:9" ht="13.5">
      <c r="A198" s="621">
        <v>103</v>
      </c>
      <c r="B198" s="153" t="s">
        <v>717</v>
      </c>
      <c r="C198" s="622"/>
      <c r="D198" s="623" t="s">
        <v>180</v>
      </c>
      <c r="E198" s="624" t="s">
        <v>357</v>
      </c>
      <c r="F198" s="625" t="s">
        <v>764</v>
      </c>
      <c r="G198" s="626" t="s">
        <v>477</v>
      </c>
      <c r="H198" s="625"/>
      <c r="I198" s="627">
        <v>0</v>
      </c>
    </row>
    <row r="199" spans="1:9" ht="13.5">
      <c r="A199" s="621">
        <v>103</v>
      </c>
      <c r="B199" s="153" t="s">
        <v>717</v>
      </c>
      <c r="C199" s="622"/>
      <c r="D199" s="623" t="s">
        <v>180</v>
      </c>
      <c r="E199" s="624" t="s">
        <v>357</v>
      </c>
      <c r="F199" s="625" t="s">
        <v>478</v>
      </c>
      <c r="G199" s="626" t="s">
        <v>480</v>
      </c>
      <c r="H199" s="625" t="s">
        <v>318</v>
      </c>
      <c r="I199" s="627">
        <v>85</v>
      </c>
    </row>
    <row r="200" spans="1:9" ht="13.5">
      <c r="A200" s="621">
        <v>103</v>
      </c>
      <c r="B200" s="153" t="s">
        <v>717</v>
      </c>
      <c r="C200" s="622"/>
      <c r="D200" s="623" t="s">
        <v>180</v>
      </c>
      <c r="E200" s="624" t="s">
        <v>357</v>
      </c>
      <c r="F200" s="625" t="s">
        <v>478</v>
      </c>
      <c r="G200" s="626" t="s">
        <v>482</v>
      </c>
      <c r="H200" s="625"/>
      <c r="I200" s="627">
        <v>0</v>
      </c>
    </row>
    <row r="201" spans="1:9" ht="13.5">
      <c r="A201" s="621">
        <v>103</v>
      </c>
      <c r="B201" s="153" t="s">
        <v>717</v>
      </c>
      <c r="C201" s="622"/>
      <c r="D201" s="623" t="s">
        <v>180</v>
      </c>
      <c r="E201" s="624" t="s">
        <v>357</v>
      </c>
      <c r="F201" s="625" t="s">
        <v>764</v>
      </c>
      <c r="G201" s="626" t="s">
        <v>484</v>
      </c>
      <c r="H201" s="625"/>
      <c r="I201" s="627">
        <v>0</v>
      </c>
    </row>
    <row r="202" spans="1:9" ht="13.5">
      <c r="A202" s="621">
        <v>103</v>
      </c>
      <c r="B202" s="153" t="s">
        <v>717</v>
      </c>
      <c r="C202" s="622"/>
      <c r="D202" s="623" t="s">
        <v>180</v>
      </c>
      <c r="E202" s="624" t="s">
        <v>357</v>
      </c>
      <c r="F202" s="625" t="s">
        <v>723</v>
      </c>
      <c r="G202" s="626" t="s">
        <v>455</v>
      </c>
      <c r="H202" s="625"/>
      <c r="I202" s="627">
        <v>0</v>
      </c>
    </row>
    <row r="203" spans="1:9" ht="13.5">
      <c r="A203" s="621">
        <v>103</v>
      </c>
      <c r="B203" s="153" t="s">
        <v>717</v>
      </c>
      <c r="C203" s="622"/>
      <c r="D203" s="623" t="s">
        <v>180</v>
      </c>
      <c r="E203" s="624" t="s">
        <v>357</v>
      </c>
      <c r="F203" s="625" t="s">
        <v>723</v>
      </c>
      <c r="G203" s="626" t="s">
        <v>459</v>
      </c>
      <c r="H203" s="625"/>
      <c r="I203" s="627">
        <v>0</v>
      </c>
    </row>
    <row r="204" spans="1:9" ht="13.5">
      <c r="A204" s="621">
        <v>103</v>
      </c>
      <c r="B204" s="153" t="s">
        <v>717</v>
      </c>
      <c r="C204" s="622"/>
      <c r="D204" s="623" t="s">
        <v>180</v>
      </c>
      <c r="E204" s="624" t="s">
        <v>357</v>
      </c>
      <c r="F204" s="625" t="s">
        <v>723</v>
      </c>
      <c r="G204" s="626" t="s">
        <v>487</v>
      </c>
      <c r="H204" s="625" t="s">
        <v>109</v>
      </c>
      <c r="I204" s="627">
        <v>17.875</v>
      </c>
    </row>
    <row r="205" spans="1:9" ht="13.5">
      <c r="A205" s="621">
        <v>103</v>
      </c>
      <c r="B205" s="153" t="s">
        <v>717</v>
      </c>
      <c r="C205" s="622"/>
      <c r="D205" s="623" t="s">
        <v>180</v>
      </c>
      <c r="E205" s="624" t="s">
        <v>357</v>
      </c>
      <c r="F205" s="625" t="s">
        <v>723</v>
      </c>
      <c r="G205" s="626" t="s">
        <v>766</v>
      </c>
      <c r="H205" s="625" t="s">
        <v>109</v>
      </c>
      <c r="I205" s="627">
        <v>5.8500000000000005</v>
      </c>
    </row>
    <row r="206" spans="1:9" ht="13.5">
      <c r="A206" s="621">
        <v>103</v>
      </c>
      <c r="B206" s="153" t="s">
        <v>717</v>
      </c>
      <c r="C206" s="622"/>
      <c r="D206" s="623" t="s">
        <v>180</v>
      </c>
      <c r="E206" s="624" t="s">
        <v>357</v>
      </c>
      <c r="F206" s="625" t="s">
        <v>723</v>
      </c>
      <c r="G206" s="626" t="s">
        <v>767</v>
      </c>
      <c r="H206" s="625" t="s">
        <v>109</v>
      </c>
      <c r="I206" s="627">
        <v>6.1749999999999998</v>
      </c>
    </row>
    <row r="207" spans="1:9" ht="13.5">
      <c r="A207" s="621">
        <v>103</v>
      </c>
      <c r="B207" s="153" t="s">
        <v>717</v>
      </c>
      <c r="C207" s="622"/>
      <c r="D207" s="623" t="s">
        <v>180</v>
      </c>
      <c r="E207" s="624" t="s">
        <v>357</v>
      </c>
      <c r="F207" s="625" t="s">
        <v>723</v>
      </c>
      <c r="G207" s="626" t="s">
        <v>769</v>
      </c>
      <c r="H207" s="625"/>
      <c r="I207" s="627">
        <v>0</v>
      </c>
    </row>
    <row r="208" spans="1:9" ht="13.5">
      <c r="A208" s="621">
        <v>103</v>
      </c>
      <c r="B208" s="153" t="s">
        <v>717</v>
      </c>
      <c r="C208" s="622"/>
      <c r="D208" s="623" t="s">
        <v>180</v>
      </c>
      <c r="E208" s="624" t="s">
        <v>357</v>
      </c>
      <c r="F208" s="625" t="s">
        <v>488</v>
      </c>
      <c r="G208" s="626" t="s">
        <v>479</v>
      </c>
      <c r="H208" s="625" t="s">
        <v>44</v>
      </c>
      <c r="I208" s="627">
        <v>10.829000000000001</v>
      </c>
    </row>
    <row r="209" spans="1:9" ht="13.5">
      <c r="A209" s="621">
        <v>103</v>
      </c>
      <c r="B209" s="153" t="s">
        <v>717</v>
      </c>
      <c r="C209" s="622"/>
      <c r="D209" s="623" t="s">
        <v>180</v>
      </c>
      <c r="E209" s="624" t="s">
        <v>357</v>
      </c>
      <c r="F209" s="625" t="s">
        <v>488</v>
      </c>
      <c r="G209" s="626" t="s">
        <v>770</v>
      </c>
      <c r="H209" s="625" t="s">
        <v>19</v>
      </c>
      <c r="I209" s="627">
        <v>9.1</v>
      </c>
    </row>
    <row r="210" spans="1:9" ht="13.5">
      <c r="A210" s="621">
        <v>103</v>
      </c>
      <c r="B210" s="153" t="s">
        <v>717</v>
      </c>
      <c r="C210" s="622"/>
      <c r="D210" s="623" t="s">
        <v>180</v>
      </c>
      <c r="E210" s="624" t="s">
        <v>357</v>
      </c>
      <c r="F210" s="625" t="s">
        <v>488</v>
      </c>
      <c r="G210" s="626" t="s">
        <v>771</v>
      </c>
      <c r="H210" s="625" t="s">
        <v>44</v>
      </c>
      <c r="I210" s="627">
        <v>4.0949999999999998</v>
      </c>
    </row>
    <row r="211" spans="1:9" ht="13.5">
      <c r="A211" s="621">
        <v>103</v>
      </c>
      <c r="B211" s="153" t="s">
        <v>717</v>
      </c>
      <c r="C211" s="622"/>
      <c r="D211" s="623" t="s">
        <v>180</v>
      </c>
      <c r="E211" s="624" t="s">
        <v>357</v>
      </c>
      <c r="F211" s="625" t="s">
        <v>488</v>
      </c>
      <c r="G211" s="626" t="s">
        <v>492</v>
      </c>
      <c r="H211" s="625" t="s">
        <v>109</v>
      </c>
      <c r="I211" s="627">
        <v>18.720000000000002</v>
      </c>
    </row>
    <row r="212" spans="1:9" ht="13.5">
      <c r="A212" s="621">
        <v>103</v>
      </c>
      <c r="B212" s="153" t="s">
        <v>717</v>
      </c>
      <c r="C212" s="622"/>
      <c r="D212" s="623" t="s">
        <v>180</v>
      </c>
      <c r="E212" s="624" t="s">
        <v>357</v>
      </c>
      <c r="F212" s="625" t="s">
        <v>488</v>
      </c>
      <c r="G212" s="626" t="s">
        <v>401</v>
      </c>
      <c r="H212" s="625" t="s">
        <v>19</v>
      </c>
      <c r="I212" s="627">
        <v>5.5120000000000005</v>
      </c>
    </row>
    <row r="213" spans="1:9" ht="13.5">
      <c r="A213" s="621">
        <v>103</v>
      </c>
      <c r="B213" s="153" t="s">
        <v>717</v>
      </c>
      <c r="C213" s="622"/>
      <c r="D213" s="623" t="s">
        <v>180</v>
      </c>
      <c r="E213" s="624" t="s">
        <v>357</v>
      </c>
      <c r="F213" s="625" t="s">
        <v>488</v>
      </c>
      <c r="G213" s="626" t="s">
        <v>494</v>
      </c>
      <c r="H213" s="625" t="s">
        <v>109</v>
      </c>
      <c r="I213" s="627">
        <v>6.8640000000000008</v>
      </c>
    </row>
    <row r="214" spans="1:9" ht="13.5">
      <c r="A214" s="621">
        <v>103</v>
      </c>
      <c r="B214" s="153" t="s">
        <v>717</v>
      </c>
      <c r="C214" s="622"/>
      <c r="D214" s="623" t="s">
        <v>180</v>
      </c>
      <c r="E214" s="624" t="s">
        <v>357</v>
      </c>
      <c r="F214" s="625" t="s">
        <v>488</v>
      </c>
      <c r="G214" s="626" t="s">
        <v>495</v>
      </c>
      <c r="H214" s="625" t="s">
        <v>109</v>
      </c>
      <c r="I214" s="627">
        <v>100.10000000000001</v>
      </c>
    </row>
    <row r="215" spans="1:9" ht="13.5">
      <c r="A215" s="621">
        <v>103</v>
      </c>
      <c r="B215" s="153" t="s">
        <v>717</v>
      </c>
      <c r="C215" s="622"/>
      <c r="D215" s="623" t="s">
        <v>180</v>
      </c>
      <c r="E215" s="624" t="s">
        <v>327</v>
      </c>
      <c r="F215" s="625" t="s">
        <v>776</v>
      </c>
      <c r="G215" s="626" t="s">
        <v>384</v>
      </c>
      <c r="H215" s="625"/>
      <c r="I215" s="627">
        <v>0</v>
      </c>
    </row>
    <row r="216" spans="1:9" ht="13.5">
      <c r="A216" s="621">
        <v>103</v>
      </c>
      <c r="B216" s="153" t="s">
        <v>717</v>
      </c>
      <c r="C216" s="622"/>
      <c r="D216" s="623" t="s">
        <v>180</v>
      </c>
      <c r="E216" s="624" t="s">
        <v>327</v>
      </c>
      <c r="F216" s="625" t="s">
        <v>427</v>
      </c>
      <c r="G216" s="626" t="s">
        <v>779</v>
      </c>
      <c r="H216" s="625" t="s">
        <v>44</v>
      </c>
      <c r="I216" s="627">
        <v>7.8000000000000007</v>
      </c>
    </row>
    <row r="217" spans="1:9" ht="13.5">
      <c r="A217" s="621">
        <v>103</v>
      </c>
      <c r="B217" s="153" t="s">
        <v>717</v>
      </c>
      <c r="C217" s="622"/>
      <c r="D217" s="623" t="s">
        <v>180</v>
      </c>
      <c r="E217" s="624" t="s">
        <v>327</v>
      </c>
      <c r="F217" s="625" t="s">
        <v>429</v>
      </c>
      <c r="G217" s="626" t="s">
        <v>780</v>
      </c>
      <c r="H217" s="625" t="s">
        <v>44</v>
      </c>
      <c r="I217" s="627">
        <v>3.9000000000000004</v>
      </c>
    </row>
    <row r="218" spans="1:9" ht="13.5">
      <c r="A218" s="621">
        <v>103</v>
      </c>
      <c r="B218" s="153" t="s">
        <v>717</v>
      </c>
      <c r="C218" s="622"/>
      <c r="D218" s="623" t="s">
        <v>180</v>
      </c>
      <c r="E218" s="624" t="s">
        <v>327</v>
      </c>
      <c r="F218" s="625" t="s">
        <v>427</v>
      </c>
      <c r="G218" s="626" t="s">
        <v>781</v>
      </c>
      <c r="H218" s="625" t="s">
        <v>44</v>
      </c>
      <c r="I218" s="627">
        <v>10.4</v>
      </c>
    </row>
    <row r="219" spans="1:9" ht="13.5">
      <c r="A219" s="621">
        <v>103</v>
      </c>
      <c r="B219" s="153" t="s">
        <v>717</v>
      </c>
      <c r="C219" s="622"/>
      <c r="D219" s="623" t="s">
        <v>180</v>
      </c>
      <c r="E219" s="624" t="s">
        <v>327</v>
      </c>
      <c r="F219" s="625" t="s">
        <v>429</v>
      </c>
      <c r="G219" s="626" t="s">
        <v>782</v>
      </c>
      <c r="H219" s="625" t="s">
        <v>44</v>
      </c>
      <c r="I219" s="627">
        <v>5.2</v>
      </c>
    </row>
    <row r="220" spans="1:9" ht="13.5">
      <c r="A220" s="621">
        <v>103</v>
      </c>
      <c r="B220" s="153" t="s">
        <v>717</v>
      </c>
      <c r="C220" s="622"/>
      <c r="D220" s="623" t="s">
        <v>180</v>
      </c>
      <c r="E220" s="624" t="s">
        <v>327</v>
      </c>
      <c r="F220" s="625" t="s">
        <v>333</v>
      </c>
      <c r="G220" s="626" t="s">
        <v>783</v>
      </c>
      <c r="H220" s="625" t="s">
        <v>19</v>
      </c>
      <c r="I220" s="627">
        <v>13</v>
      </c>
    </row>
    <row r="221" spans="1:9" ht="13.5">
      <c r="A221" s="621">
        <v>103</v>
      </c>
      <c r="B221" s="153" t="s">
        <v>717</v>
      </c>
      <c r="C221" s="622"/>
      <c r="D221" s="623" t="s">
        <v>180</v>
      </c>
      <c r="E221" s="624" t="s">
        <v>327</v>
      </c>
      <c r="F221" s="625" t="s">
        <v>333</v>
      </c>
      <c r="G221" s="626" t="s">
        <v>784</v>
      </c>
      <c r="H221" s="625" t="s">
        <v>19</v>
      </c>
      <c r="I221" s="627">
        <v>77.284999999999997</v>
      </c>
    </row>
    <row r="222" spans="1:9" ht="13.5">
      <c r="A222" s="621">
        <v>103</v>
      </c>
      <c r="B222" s="153" t="s">
        <v>717</v>
      </c>
      <c r="C222" s="622"/>
      <c r="D222" s="623" t="s">
        <v>180</v>
      </c>
      <c r="E222" s="624" t="s">
        <v>327</v>
      </c>
      <c r="F222" s="625" t="s">
        <v>331</v>
      </c>
      <c r="G222" s="626" t="s">
        <v>785</v>
      </c>
      <c r="H222" s="625" t="s">
        <v>44</v>
      </c>
      <c r="I222" s="627">
        <v>28.860000000000003</v>
      </c>
    </row>
    <row r="223" spans="1:9" ht="13.5">
      <c r="A223" s="621">
        <v>103</v>
      </c>
      <c r="B223" s="153" t="s">
        <v>717</v>
      </c>
      <c r="C223" s="622"/>
      <c r="D223" s="623" t="s">
        <v>180</v>
      </c>
      <c r="E223" s="624" t="s">
        <v>327</v>
      </c>
      <c r="F223" s="625" t="s">
        <v>168</v>
      </c>
      <c r="G223" s="626" t="s">
        <v>786</v>
      </c>
      <c r="H223" s="625" t="s">
        <v>109</v>
      </c>
      <c r="I223" s="627">
        <v>105.3</v>
      </c>
    </row>
    <row r="224" spans="1:9" ht="13.5">
      <c r="A224" s="621">
        <v>103</v>
      </c>
      <c r="B224" s="153" t="s">
        <v>717</v>
      </c>
      <c r="C224" s="622"/>
      <c r="D224" s="623" t="s">
        <v>180</v>
      </c>
      <c r="E224" s="624" t="s">
        <v>327</v>
      </c>
      <c r="F224" s="625" t="s">
        <v>168</v>
      </c>
      <c r="G224" s="626" t="s">
        <v>787</v>
      </c>
      <c r="H224" s="625" t="s">
        <v>109</v>
      </c>
      <c r="I224" s="627">
        <v>96.2</v>
      </c>
    </row>
    <row r="225" spans="1:9" ht="13.5">
      <c r="A225" s="621">
        <v>103</v>
      </c>
      <c r="B225" s="153" t="s">
        <v>717</v>
      </c>
      <c r="C225" s="622"/>
      <c r="D225" s="623" t="s">
        <v>180</v>
      </c>
      <c r="E225" s="624" t="s">
        <v>327</v>
      </c>
      <c r="F225" s="625" t="s">
        <v>168</v>
      </c>
      <c r="G225" s="626" t="s">
        <v>601</v>
      </c>
      <c r="H225" s="625" t="s">
        <v>109</v>
      </c>
      <c r="I225" s="627">
        <v>80.808000000000007</v>
      </c>
    </row>
    <row r="226" spans="1:9" ht="13.5">
      <c r="A226" s="621">
        <v>103</v>
      </c>
      <c r="B226" s="153" t="s">
        <v>717</v>
      </c>
      <c r="C226" s="622"/>
      <c r="D226" s="623" t="s">
        <v>180</v>
      </c>
      <c r="E226" s="624" t="s">
        <v>327</v>
      </c>
      <c r="F226" s="625" t="s">
        <v>123</v>
      </c>
      <c r="G226" s="626" t="s">
        <v>788</v>
      </c>
      <c r="H226" s="625" t="s">
        <v>109</v>
      </c>
      <c r="I226" s="627">
        <v>10.4</v>
      </c>
    </row>
    <row r="227" spans="1:9" ht="13.5">
      <c r="A227" s="621">
        <v>103</v>
      </c>
      <c r="B227" s="153" t="s">
        <v>717</v>
      </c>
      <c r="C227" s="622"/>
      <c r="D227" s="623" t="s">
        <v>180</v>
      </c>
      <c r="E227" s="624" t="s">
        <v>54</v>
      </c>
      <c r="F227" s="625" t="s">
        <v>422</v>
      </c>
      <c r="G227" s="626" t="s">
        <v>804</v>
      </c>
      <c r="H227" s="625" t="s">
        <v>176</v>
      </c>
      <c r="I227" s="627">
        <v>21.762000000000004</v>
      </c>
    </row>
    <row r="228" spans="1:9" ht="13.5">
      <c r="A228" s="621">
        <v>103</v>
      </c>
      <c r="B228" s="153" t="s">
        <v>717</v>
      </c>
      <c r="C228" s="622"/>
      <c r="D228" s="623" t="s">
        <v>180</v>
      </c>
      <c r="E228" s="624" t="s">
        <v>54</v>
      </c>
      <c r="F228" s="625" t="s">
        <v>36</v>
      </c>
      <c r="G228" s="626" t="s">
        <v>805</v>
      </c>
      <c r="H228" s="625" t="s">
        <v>176</v>
      </c>
      <c r="I228" s="627">
        <v>42.510000000000005</v>
      </c>
    </row>
    <row r="229" spans="1:9" ht="13.5">
      <c r="A229" s="621">
        <v>103</v>
      </c>
      <c r="B229" s="153" t="s">
        <v>717</v>
      </c>
      <c r="C229" s="622"/>
      <c r="D229" s="623" t="s">
        <v>180</v>
      </c>
      <c r="E229" s="624" t="s">
        <v>54</v>
      </c>
      <c r="F229" s="625" t="s">
        <v>36</v>
      </c>
      <c r="G229" s="626" t="s">
        <v>806</v>
      </c>
      <c r="H229" s="625" t="s">
        <v>176</v>
      </c>
      <c r="I229" s="627">
        <v>21.196500000000004</v>
      </c>
    </row>
    <row r="230" spans="1:9" ht="13.5">
      <c r="A230" s="621">
        <v>103</v>
      </c>
      <c r="B230" s="153" t="s">
        <v>717</v>
      </c>
      <c r="C230" s="622"/>
      <c r="D230" s="623" t="s">
        <v>180</v>
      </c>
      <c r="E230" s="624" t="s">
        <v>54</v>
      </c>
      <c r="F230" s="625" t="s">
        <v>435</v>
      </c>
      <c r="G230" s="626" t="s">
        <v>807</v>
      </c>
      <c r="H230" s="625" t="s">
        <v>44</v>
      </c>
      <c r="I230" s="627">
        <v>10.725</v>
      </c>
    </row>
    <row r="231" spans="1:9" ht="13.5">
      <c r="A231" s="621">
        <v>103</v>
      </c>
      <c r="B231" s="153" t="s">
        <v>717</v>
      </c>
      <c r="C231" s="622"/>
      <c r="D231" s="623" t="s">
        <v>180</v>
      </c>
      <c r="E231" s="624" t="s">
        <v>54</v>
      </c>
      <c r="F231" s="625" t="s">
        <v>437</v>
      </c>
      <c r="G231" s="626" t="s">
        <v>808</v>
      </c>
      <c r="H231" s="625" t="s">
        <v>44</v>
      </c>
      <c r="I231" s="627">
        <v>10.887500000000001</v>
      </c>
    </row>
    <row r="232" spans="1:9" ht="13.5">
      <c r="A232" s="621">
        <v>103</v>
      </c>
      <c r="B232" s="153" t="s">
        <v>717</v>
      </c>
      <c r="C232" s="622"/>
      <c r="D232" s="623" t="s">
        <v>180</v>
      </c>
      <c r="E232" s="624" t="s">
        <v>54</v>
      </c>
      <c r="F232" s="625" t="s">
        <v>809</v>
      </c>
      <c r="G232" s="626" t="s">
        <v>810</v>
      </c>
      <c r="H232" s="625"/>
      <c r="I232" s="627">
        <v>0</v>
      </c>
    </row>
    <row r="233" spans="1:9" ht="13.5">
      <c r="A233" s="621">
        <v>103</v>
      </c>
      <c r="B233" s="153" t="s">
        <v>717</v>
      </c>
      <c r="C233" s="622"/>
      <c r="D233" s="623" t="s">
        <v>180</v>
      </c>
      <c r="E233" s="624" t="s">
        <v>54</v>
      </c>
      <c r="F233" s="625" t="s">
        <v>439</v>
      </c>
      <c r="G233" s="626" t="s">
        <v>811</v>
      </c>
      <c r="H233" s="625" t="s">
        <v>176</v>
      </c>
      <c r="I233" s="627">
        <v>13.065000000000001</v>
      </c>
    </row>
    <row r="234" spans="1:9" ht="13.5">
      <c r="A234" s="621">
        <v>103</v>
      </c>
      <c r="B234" s="153" t="s">
        <v>717</v>
      </c>
      <c r="C234" s="622"/>
      <c r="D234" s="623" t="s">
        <v>180</v>
      </c>
      <c r="E234" s="624" t="s">
        <v>54</v>
      </c>
      <c r="F234" s="625" t="s">
        <v>597</v>
      </c>
      <c r="G234" s="626" t="s">
        <v>812</v>
      </c>
      <c r="H234" s="625"/>
      <c r="I234" s="627">
        <v>0</v>
      </c>
    </row>
    <row r="235" spans="1:9" ht="13.5">
      <c r="A235" s="621">
        <v>103</v>
      </c>
      <c r="B235" s="153" t="s">
        <v>717</v>
      </c>
      <c r="C235" s="622"/>
      <c r="D235" s="623" t="s">
        <v>180</v>
      </c>
      <c r="E235" s="624" t="s">
        <v>54</v>
      </c>
      <c r="F235" s="625" t="s">
        <v>461</v>
      </c>
      <c r="G235" s="626" t="s">
        <v>813</v>
      </c>
      <c r="H235" s="625" t="s">
        <v>44</v>
      </c>
      <c r="I235" s="627">
        <v>17.907500000000002</v>
      </c>
    </row>
    <row r="236" spans="1:9" ht="13.5">
      <c r="A236" s="621">
        <v>103</v>
      </c>
      <c r="B236" s="153" t="s">
        <v>717</v>
      </c>
      <c r="C236" s="622"/>
      <c r="D236" s="623" t="s">
        <v>180</v>
      </c>
      <c r="E236" s="624" t="s">
        <v>54</v>
      </c>
      <c r="F236" s="625" t="s">
        <v>461</v>
      </c>
      <c r="G236" s="626" t="s">
        <v>814</v>
      </c>
      <c r="H236" s="625" t="s">
        <v>176</v>
      </c>
      <c r="I236" s="627">
        <v>14.758250000000002</v>
      </c>
    </row>
    <row r="237" spans="1:9" ht="13.5">
      <c r="A237" s="621">
        <v>103</v>
      </c>
      <c r="B237" s="153" t="s">
        <v>717</v>
      </c>
      <c r="C237" s="622"/>
      <c r="D237" s="623" t="s">
        <v>180</v>
      </c>
      <c r="E237" s="624" t="s">
        <v>54</v>
      </c>
      <c r="F237" s="625" t="s">
        <v>168</v>
      </c>
      <c r="G237" s="626" t="s">
        <v>815</v>
      </c>
      <c r="H237" s="625" t="s">
        <v>109</v>
      </c>
      <c r="I237" s="627">
        <v>61.425000000000004</v>
      </c>
    </row>
    <row r="238" spans="1:9" ht="13.5">
      <c r="A238" s="621">
        <v>103</v>
      </c>
      <c r="B238" s="153" t="s">
        <v>717</v>
      </c>
      <c r="C238" s="622"/>
      <c r="D238" s="623" t="s">
        <v>180</v>
      </c>
      <c r="E238" s="624" t="s">
        <v>54</v>
      </c>
      <c r="F238" s="625" t="s">
        <v>168</v>
      </c>
      <c r="G238" s="626" t="s">
        <v>657</v>
      </c>
      <c r="H238" s="625" t="s">
        <v>109</v>
      </c>
      <c r="I238" s="627">
        <v>44.856500000000004</v>
      </c>
    </row>
    <row r="239" spans="1:9" ht="13.5">
      <c r="A239" s="621">
        <v>103</v>
      </c>
      <c r="B239" s="153" t="s">
        <v>717</v>
      </c>
      <c r="C239" s="622"/>
      <c r="D239" s="623" t="s">
        <v>180</v>
      </c>
      <c r="E239" s="624" t="s">
        <v>54</v>
      </c>
      <c r="F239" s="625" t="s">
        <v>123</v>
      </c>
      <c r="G239" s="626" t="s">
        <v>816</v>
      </c>
      <c r="H239" s="625" t="s">
        <v>109</v>
      </c>
      <c r="I239" s="627">
        <v>7.8000000000000007</v>
      </c>
    </row>
    <row r="240" spans="1:9" ht="13.5">
      <c r="A240" s="621">
        <v>103</v>
      </c>
      <c r="B240" s="153" t="s">
        <v>717</v>
      </c>
      <c r="C240" s="622"/>
      <c r="D240" s="623" t="s">
        <v>180</v>
      </c>
      <c r="E240" s="624" t="s">
        <v>54</v>
      </c>
      <c r="F240" s="625" t="s">
        <v>488</v>
      </c>
      <c r="G240" s="626" t="s">
        <v>817</v>
      </c>
      <c r="H240" s="625" t="s">
        <v>109</v>
      </c>
      <c r="I240" s="627">
        <v>5.9279999999999999</v>
      </c>
    </row>
    <row r="241" spans="1:9" ht="13.5">
      <c r="A241" s="621">
        <v>103</v>
      </c>
      <c r="B241" s="153" t="s">
        <v>717</v>
      </c>
      <c r="C241" s="622"/>
      <c r="D241" s="623" t="s">
        <v>180</v>
      </c>
      <c r="E241" s="624" t="s">
        <v>54</v>
      </c>
      <c r="F241" s="625" t="s">
        <v>488</v>
      </c>
      <c r="G241" s="626" t="s">
        <v>818</v>
      </c>
      <c r="H241" s="625" t="s">
        <v>176</v>
      </c>
      <c r="I241" s="627">
        <v>3.7569999999999997</v>
      </c>
    </row>
    <row r="242" spans="1:9" ht="13.5">
      <c r="A242" s="621">
        <v>103</v>
      </c>
      <c r="B242" s="153" t="s">
        <v>717</v>
      </c>
      <c r="C242" s="622"/>
      <c r="D242" s="623" t="s">
        <v>180</v>
      </c>
      <c r="E242" s="624" t="s">
        <v>54</v>
      </c>
      <c r="F242" s="625" t="s">
        <v>488</v>
      </c>
      <c r="G242" s="626" t="s">
        <v>819</v>
      </c>
      <c r="H242" s="625" t="s">
        <v>174</v>
      </c>
      <c r="I242" s="627">
        <v>8.0080000000000009</v>
      </c>
    </row>
    <row r="243" spans="1:9" ht="13.5">
      <c r="A243" s="621">
        <v>103</v>
      </c>
      <c r="B243" s="153" t="s">
        <v>717</v>
      </c>
      <c r="C243" s="622"/>
      <c r="D243" s="623" t="s">
        <v>180</v>
      </c>
      <c r="E243" s="624" t="s">
        <v>621</v>
      </c>
      <c r="F243" s="625" t="s">
        <v>622</v>
      </c>
      <c r="G243" s="626" t="s">
        <v>297</v>
      </c>
      <c r="H243" s="625"/>
      <c r="I243" s="627">
        <v>0</v>
      </c>
    </row>
    <row r="244" spans="1:9" ht="13.5">
      <c r="A244" s="621">
        <v>103</v>
      </c>
      <c r="B244" s="153" t="s">
        <v>717</v>
      </c>
      <c r="C244" s="622"/>
      <c r="D244" s="623" t="s">
        <v>180</v>
      </c>
      <c r="E244" s="624" t="s">
        <v>621</v>
      </c>
      <c r="F244" s="625" t="s">
        <v>630</v>
      </c>
      <c r="G244" s="626" t="s">
        <v>828</v>
      </c>
      <c r="H244" s="625" t="s">
        <v>19</v>
      </c>
      <c r="I244" s="627">
        <v>73</v>
      </c>
    </row>
    <row r="245" spans="1:9" ht="13.5">
      <c r="A245" s="621">
        <v>103</v>
      </c>
      <c r="B245" s="153" t="s">
        <v>717</v>
      </c>
      <c r="C245" s="622"/>
      <c r="D245" s="623" t="s">
        <v>180</v>
      </c>
      <c r="E245" s="624" t="s">
        <v>621</v>
      </c>
      <c r="F245" s="625" t="s">
        <v>630</v>
      </c>
      <c r="G245" s="626" t="s">
        <v>829</v>
      </c>
      <c r="H245" s="625" t="s">
        <v>19</v>
      </c>
      <c r="I245" s="627">
        <v>1123</v>
      </c>
    </row>
    <row r="246" spans="1:9" ht="13.5">
      <c r="A246" s="621">
        <v>103</v>
      </c>
      <c r="B246" s="153" t="s">
        <v>717</v>
      </c>
      <c r="C246" s="622"/>
      <c r="D246" s="623" t="s">
        <v>180</v>
      </c>
      <c r="E246" s="624" t="s">
        <v>621</v>
      </c>
      <c r="F246" s="625" t="s">
        <v>833</v>
      </c>
      <c r="G246" s="626" t="s">
        <v>834</v>
      </c>
      <c r="H246" s="625" t="s">
        <v>19</v>
      </c>
      <c r="I246" s="627">
        <v>17</v>
      </c>
    </row>
    <row r="247" spans="1:9" ht="13.5">
      <c r="A247" s="621">
        <v>103</v>
      </c>
      <c r="B247" s="153" t="s">
        <v>717</v>
      </c>
      <c r="C247" s="622"/>
      <c r="D247" s="623" t="s">
        <v>180</v>
      </c>
      <c r="E247" s="624" t="s">
        <v>621</v>
      </c>
      <c r="F247" s="625" t="s">
        <v>835</v>
      </c>
      <c r="G247" s="626" t="s">
        <v>836</v>
      </c>
      <c r="H247" s="625" t="s">
        <v>19</v>
      </c>
      <c r="I247" s="627">
        <v>16</v>
      </c>
    </row>
    <row r="248" spans="1:9" ht="13.5">
      <c r="A248" s="621">
        <v>103</v>
      </c>
      <c r="B248" s="153" t="s">
        <v>717</v>
      </c>
      <c r="C248" s="622"/>
      <c r="D248" s="623" t="s">
        <v>180</v>
      </c>
      <c r="E248" s="624" t="s">
        <v>621</v>
      </c>
      <c r="F248" s="625" t="s">
        <v>837</v>
      </c>
      <c r="G248" s="626" t="s">
        <v>838</v>
      </c>
      <c r="H248" s="625" t="s">
        <v>19</v>
      </c>
      <c r="I248" s="627">
        <v>19</v>
      </c>
    </row>
    <row r="249" spans="1:9" ht="13.5">
      <c r="A249" s="621">
        <v>103</v>
      </c>
      <c r="B249" s="153" t="s">
        <v>717</v>
      </c>
      <c r="C249" s="622"/>
      <c r="D249" s="623" t="s">
        <v>180</v>
      </c>
      <c r="E249" s="624" t="s">
        <v>621</v>
      </c>
      <c r="F249" s="625" t="s">
        <v>597</v>
      </c>
      <c r="G249" s="626" t="s">
        <v>839</v>
      </c>
      <c r="H249" s="625" t="s">
        <v>109</v>
      </c>
      <c r="I249" s="627">
        <v>34.580000000000005</v>
      </c>
    </row>
    <row r="250" spans="1:9" ht="13.5">
      <c r="A250" s="621">
        <v>103</v>
      </c>
      <c r="B250" s="153" t="s">
        <v>717</v>
      </c>
      <c r="C250" s="622"/>
      <c r="D250" s="623" t="s">
        <v>180</v>
      </c>
      <c r="E250" s="624" t="s">
        <v>621</v>
      </c>
      <c r="F250" s="625" t="s">
        <v>647</v>
      </c>
      <c r="G250" s="626" t="s">
        <v>840</v>
      </c>
      <c r="H250" s="625" t="s">
        <v>19</v>
      </c>
      <c r="I250" s="627">
        <v>22</v>
      </c>
    </row>
    <row r="251" spans="1:9" ht="13.5">
      <c r="A251" s="621">
        <v>103</v>
      </c>
      <c r="B251" s="153" t="s">
        <v>717</v>
      </c>
      <c r="C251" s="622"/>
      <c r="D251" s="623" t="s">
        <v>180</v>
      </c>
      <c r="E251" s="624" t="s">
        <v>621</v>
      </c>
      <c r="F251" s="625" t="s">
        <v>597</v>
      </c>
      <c r="G251" s="626" t="s">
        <v>680</v>
      </c>
      <c r="H251" s="625" t="s">
        <v>109</v>
      </c>
      <c r="I251" s="627">
        <v>20.332000000000001</v>
      </c>
    </row>
    <row r="252" spans="1:9" ht="13.5">
      <c r="A252" s="621">
        <v>103</v>
      </c>
      <c r="B252" s="153" t="s">
        <v>717</v>
      </c>
      <c r="C252" s="622"/>
      <c r="D252" s="623" t="s">
        <v>180</v>
      </c>
      <c r="E252" s="624" t="s">
        <v>621</v>
      </c>
      <c r="F252" s="625" t="s">
        <v>647</v>
      </c>
      <c r="G252" s="626" t="s">
        <v>681</v>
      </c>
      <c r="H252" s="625" t="s">
        <v>19</v>
      </c>
      <c r="I252" s="627">
        <v>22</v>
      </c>
    </row>
    <row r="253" spans="1:9" ht="13.5">
      <c r="A253" s="621">
        <v>103</v>
      </c>
      <c r="B253" s="153" t="s">
        <v>717</v>
      </c>
      <c r="C253" s="622"/>
      <c r="D253" s="623" t="s">
        <v>180</v>
      </c>
      <c r="E253" s="624" t="s">
        <v>621</v>
      </c>
      <c r="F253" s="625" t="s">
        <v>841</v>
      </c>
      <c r="G253" s="626" t="s">
        <v>842</v>
      </c>
      <c r="H253" s="625" t="s">
        <v>19</v>
      </c>
      <c r="I253" s="627">
        <v>15</v>
      </c>
    </row>
    <row r="254" spans="1:9" ht="13.5">
      <c r="A254" s="621">
        <v>103</v>
      </c>
      <c r="B254" s="153" t="s">
        <v>717</v>
      </c>
      <c r="C254" s="622"/>
      <c r="D254" s="623" t="s">
        <v>180</v>
      </c>
      <c r="E254" s="624" t="s">
        <v>621</v>
      </c>
      <c r="F254" s="625" t="s">
        <v>168</v>
      </c>
      <c r="G254" s="626" t="s">
        <v>843</v>
      </c>
      <c r="H254" s="625"/>
      <c r="I254" s="627">
        <v>0</v>
      </c>
    </row>
    <row r="255" spans="1:9" ht="13.5">
      <c r="A255" s="621">
        <v>103</v>
      </c>
      <c r="B255" s="153" t="s">
        <v>717</v>
      </c>
      <c r="C255" s="622"/>
      <c r="D255" s="623" t="s">
        <v>180</v>
      </c>
      <c r="E255" s="624" t="s">
        <v>621</v>
      </c>
      <c r="F255" s="625" t="s">
        <v>168</v>
      </c>
      <c r="G255" s="626" t="s">
        <v>844</v>
      </c>
      <c r="H255" s="625"/>
      <c r="I255" s="627">
        <v>0</v>
      </c>
    </row>
    <row r="256" spans="1:9" ht="13.5">
      <c r="A256" s="621">
        <v>104</v>
      </c>
      <c r="B256" s="153" t="s">
        <v>165</v>
      </c>
      <c r="C256" s="622"/>
      <c r="D256" s="623" t="s">
        <v>180</v>
      </c>
      <c r="E256" s="624" t="s">
        <v>327</v>
      </c>
      <c r="F256" s="625" t="s">
        <v>328</v>
      </c>
      <c r="G256" s="626" t="s">
        <v>338</v>
      </c>
      <c r="H256" s="625" t="s">
        <v>166</v>
      </c>
      <c r="I256" s="627">
        <v>6.5</v>
      </c>
    </row>
    <row r="257" spans="1:9" ht="13.5">
      <c r="A257" s="621">
        <v>104</v>
      </c>
      <c r="B257" s="153" t="s">
        <v>165</v>
      </c>
      <c r="C257" s="622"/>
      <c r="D257" s="623" t="s">
        <v>180</v>
      </c>
      <c r="E257" s="624" t="s">
        <v>327</v>
      </c>
      <c r="F257" s="625" t="s">
        <v>167</v>
      </c>
      <c r="G257" s="626" t="s">
        <v>339</v>
      </c>
      <c r="H257" s="625" t="s">
        <v>19</v>
      </c>
      <c r="I257" s="627">
        <v>48</v>
      </c>
    </row>
    <row r="258" spans="1:9" ht="13.5">
      <c r="A258" s="621">
        <v>104</v>
      </c>
      <c r="B258" s="153" t="s">
        <v>165</v>
      </c>
      <c r="C258" s="622"/>
      <c r="D258" s="623" t="s">
        <v>180</v>
      </c>
      <c r="E258" s="624" t="s">
        <v>327</v>
      </c>
      <c r="F258" s="625" t="s">
        <v>329</v>
      </c>
      <c r="G258" s="626" t="s">
        <v>340</v>
      </c>
      <c r="H258" s="625" t="s">
        <v>166</v>
      </c>
      <c r="I258" s="627">
        <v>14</v>
      </c>
    </row>
    <row r="259" spans="1:9" ht="13.5">
      <c r="A259" s="621">
        <v>104</v>
      </c>
      <c r="B259" s="153" t="s">
        <v>165</v>
      </c>
      <c r="C259" s="622"/>
      <c r="D259" s="623" t="s">
        <v>180</v>
      </c>
      <c r="E259" s="624" t="s">
        <v>327</v>
      </c>
      <c r="F259" s="625" t="s">
        <v>330</v>
      </c>
      <c r="G259" s="626" t="s">
        <v>341</v>
      </c>
      <c r="H259" s="625" t="s">
        <v>166</v>
      </c>
      <c r="I259" s="627">
        <v>5.8</v>
      </c>
    </row>
    <row r="260" spans="1:9" ht="13.5">
      <c r="A260" s="621">
        <v>104</v>
      </c>
      <c r="B260" s="153" t="s">
        <v>165</v>
      </c>
      <c r="C260" s="622"/>
      <c r="D260" s="623" t="s">
        <v>180</v>
      </c>
      <c r="E260" s="624" t="s">
        <v>327</v>
      </c>
      <c r="F260" s="625" t="s">
        <v>331</v>
      </c>
      <c r="G260" s="626" t="s">
        <v>342</v>
      </c>
      <c r="H260" s="625" t="s">
        <v>19</v>
      </c>
      <c r="I260" s="627">
        <v>5.2</v>
      </c>
    </row>
    <row r="261" spans="1:9" ht="13.5">
      <c r="A261" s="621">
        <v>104</v>
      </c>
      <c r="B261" s="153" t="s">
        <v>165</v>
      </c>
      <c r="C261" s="622"/>
      <c r="D261" s="623" t="s">
        <v>180</v>
      </c>
      <c r="E261" s="624" t="s">
        <v>327</v>
      </c>
      <c r="F261" s="625" t="s">
        <v>332</v>
      </c>
      <c r="G261" s="626" t="s">
        <v>343</v>
      </c>
      <c r="H261" s="625" t="s">
        <v>19</v>
      </c>
      <c r="I261" s="627">
        <v>10.199999999999999</v>
      </c>
    </row>
    <row r="262" spans="1:9" ht="13.5">
      <c r="A262" s="621">
        <v>104</v>
      </c>
      <c r="B262" s="153" t="s">
        <v>165</v>
      </c>
      <c r="C262" s="622"/>
      <c r="D262" s="623" t="s">
        <v>180</v>
      </c>
      <c r="E262" s="624" t="s">
        <v>327</v>
      </c>
      <c r="F262" s="625" t="s">
        <v>331</v>
      </c>
      <c r="G262" s="626" t="s">
        <v>344</v>
      </c>
      <c r="H262" s="625" t="s">
        <v>19</v>
      </c>
      <c r="I262" s="627">
        <v>4.2250000000000005</v>
      </c>
    </row>
    <row r="263" spans="1:9" ht="13.5">
      <c r="A263" s="621">
        <v>104</v>
      </c>
      <c r="B263" s="153" t="s">
        <v>165</v>
      </c>
      <c r="C263" s="622"/>
      <c r="D263" s="623" t="s">
        <v>180</v>
      </c>
      <c r="E263" s="624" t="s">
        <v>327</v>
      </c>
      <c r="F263" s="625" t="s">
        <v>333</v>
      </c>
      <c r="G263" s="626" t="s">
        <v>345</v>
      </c>
      <c r="H263" s="625" t="s">
        <v>19</v>
      </c>
      <c r="I263" s="627">
        <v>7.5</v>
      </c>
    </row>
    <row r="264" spans="1:9" ht="13.5">
      <c r="A264" s="621">
        <v>104</v>
      </c>
      <c r="B264" s="153" t="s">
        <v>165</v>
      </c>
      <c r="C264" s="622"/>
      <c r="D264" s="623" t="s">
        <v>180</v>
      </c>
      <c r="E264" s="624" t="s">
        <v>327</v>
      </c>
      <c r="F264" s="625" t="s">
        <v>333</v>
      </c>
      <c r="G264" s="626" t="s">
        <v>346</v>
      </c>
      <c r="H264" s="625" t="s">
        <v>19</v>
      </c>
      <c r="I264" s="627">
        <v>30</v>
      </c>
    </row>
    <row r="265" spans="1:9" ht="13.5">
      <c r="A265" s="621">
        <v>104</v>
      </c>
      <c r="B265" s="153" t="s">
        <v>165</v>
      </c>
      <c r="C265" s="622"/>
      <c r="D265" s="623" t="s">
        <v>180</v>
      </c>
      <c r="E265" s="624" t="s">
        <v>327</v>
      </c>
      <c r="F265" s="625" t="s">
        <v>168</v>
      </c>
      <c r="G265" s="626" t="s">
        <v>347</v>
      </c>
      <c r="H265" s="625" t="s">
        <v>44</v>
      </c>
      <c r="I265" s="627">
        <v>52</v>
      </c>
    </row>
    <row r="266" spans="1:9" ht="13.5">
      <c r="A266" s="621">
        <v>104</v>
      </c>
      <c r="B266" s="153" t="s">
        <v>165</v>
      </c>
      <c r="C266" s="622"/>
      <c r="D266" s="623" t="s">
        <v>180</v>
      </c>
      <c r="E266" s="624" t="s">
        <v>327</v>
      </c>
      <c r="F266" s="625" t="s">
        <v>334</v>
      </c>
      <c r="G266" s="626" t="s">
        <v>348</v>
      </c>
      <c r="H266" s="625" t="s">
        <v>109</v>
      </c>
      <c r="I266" s="627">
        <v>94</v>
      </c>
    </row>
    <row r="267" spans="1:9" ht="13.5">
      <c r="A267" s="621">
        <v>104</v>
      </c>
      <c r="B267" s="153" t="s">
        <v>165</v>
      </c>
      <c r="C267" s="622"/>
      <c r="D267" s="623" t="s">
        <v>180</v>
      </c>
      <c r="E267" s="624" t="s">
        <v>327</v>
      </c>
      <c r="F267" s="625" t="s">
        <v>334</v>
      </c>
      <c r="G267" s="626" t="s">
        <v>349</v>
      </c>
      <c r="H267" s="625" t="s">
        <v>109</v>
      </c>
      <c r="I267" s="627">
        <v>71</v>
      </c>
    </row>
    <row r="268" spans="1:9" ht="13.5">
      <c r="A268" s="621">
        <v>104</v>
      </c>
      <c r="B268" s="153" t="s">
        <v>165</v>
      </c>
      <c r="C268" s="622"/>
      <c r="D268" s="623" t="s">
        <v>180</v>
      </c>
      <c r="E268" s="624" t="s">
        <v>327</v>
      </c>
      <c r="F268" s="625" t="s">
        <v>334</v>
      </c>
      <c r="G268" s="626" t="s">
        <v>350</v>
      </c>
      <c r="H268" s="625" t="s">
        <v>109</v>
      </c>
      <c r="I268" s="627">
        <v>143</v>
      </c>
    </row>
    <row r="269" spans="1:9" ht="13.5">
      <c r="A269" s="621">
        <v>104</v>
      </c>
      <c r="B269" s="153" t="s">
        <v>165</v>
      </c>
      <c r="C269" s="622"/>
      <c r="D269" s="623" t="s">
        <v>180</v>
      </c>
      <c r="E269" s="624" t="s">
        <v>327</v>
      </c>
      <c r="F269" s="625" t="s">
        <v>334</v>
      </c>
      <c r="G269" s="626" t="s">
        <v>351</v>
      </c>
      <c r="H269" s="625" t="s">
        <v>109</v>
      </c>
      <c r="I269" s="627">
        <v>54</v>
      </c>
    </row>
    <row r="270" spans="1:9" ht="13.5">
      <c r="A270" s="621">
        <v>104</v>
      </c>
      <c r="B270" s="153" t="s">
        <v>165</v>
      </c>
      <c r="C270" s="622"/>
      <c r="D270" s="623" t="s">
        <v>180</v>
      </c>
      <c r="E270" s="624" t="s">
        <v>327</v>
      </c>
      <c r="F270" s="625" t="s">
        <v>334</v>
      </c>
      <c r="G270" s="626" t="s">
        <v>352</v>
      </c>
      <c r="H270" s="625" t="s">
        <v>109</v>
      </c>
      <c r="I270" s="627">
        <v>22.119999999999997</v>
      </c>
    </row>
    <row r="271" spans="1:9" ht="13.5">
      <c r="A271" s="621">
        <v>104</v>
      </c>
      <c r="B271" s="153" t="s">
        <v>165</v>
      </c>
      <c r="C271" s="622"/>
      <c r="D271" s="623" t="s">
        <v>180</v>
      </c>
      <c r="E271" s="624" t="s">
        <v>327</v>
      </c>
      <c r="F271" s="625" t="s">
        <v>335</v>
      </c>
      <c r="G271" s="626" t="s">
        <v>353</v>
      </c>
      <c r="H271" s="625" t="s">
        <v>19</v>
      </c>
      <c r="I271" s="627">
        <v>21.9</v>
      </c>
    </row>
    <row r="272" spans="1:9" ht="13.5">
      <c r="A272" s="621">
        <v>104</v>
      </c>
      <c r="B272" s="153" t="s">
        <v>165</v>
      </c>
      <c r="C272" s="622"/>
      <c r="D272" s="623" t="s">
        <v>180</v>
      </c>
      <c r="E272" s="624" t="s">
        <v>327</v>
      </c>
      <c r="F272" s="625" t="s">
        <v>336</v>
      </c>
      <c r="G272" s="626" t="s">
        <v>170</v>
      </c>
      <c r="H272" s="625" t="s">
        <v>318</v>
      </c>
      <c r="I272" s="627">
        <v>5.0999999999999996</v>
      </c>
    </row>
    <row r="273" spans="1:9" ht="13.5">
      <c r="A273" s="621">
        <v>104</v>
      </c>
      <c r="B273" s="153" t="s">
        <v>165</v>
      </c>
      <c r="C273" s="622"/>
      <c r="D273" s="623" t="s">
        <v>180</v>
      </c>
      <c r="E273" s="624" t="s">
        <v>327</v>
      </c>
      <c r="F273" s="625" t="s">
        <v>336</v>
      </c>
      <c r="G273" s="626" t="s">
        <v>171</v>
      </c>
      <c r="H273" s="625" t="s">
        <v>1315</v>
      </c>
      <c r="I273" s="627">
        <v>176.25</v>
      </c>
    </row>
    <row r="274" spans="1:9" ht="13.5">
      <c r="A274" s="621">
        <v>104</v>
      </c>
      <c r="B274" s="153" t="s">
        <v>165</v>
      </c>
      <c r="C274" s="622"/>
      <c r="D274" s="623" t="s">
        <v>180</v>
      </c>
      <c r="E274" s="624" t="s">
        <v>327</v>
      </c>
      <c r="F274" s="625" t="s">
        <v>336</v>
      </c>
      <c r="G274" s="626" t="s">
        <v>172</v>
      </c>
      <c r="H274" s="625" t="s">
        <v>44</v>
      </c>
      <c r="I274" s="627">
        <v>17.899999999999999</v>
      </c>
    </row>
    <row r="275" spans="1:9" ht="13.5">
      <c r="A275" s="621">
        <v>104</v>
      </c>
      <c r="B275" s="153" t="s">
        <v>165</v>
      </c>
      <c r="C275" s="622"/>
      <c r="D275" s="623" t="s">
        <v>180</v>
      </c>
      <c r="E275" s="624" t="s">
        <v>327</v>
      </c>
      <c r="F275" s="625" t="s">
        <v>336</v>
      </c>
      <c r="G275" s="626" t="s">
        <v>173</v>
      </c>
      <c r="H275" s="625" t="s">
        <v>44</v>
      </c>
      <c r="I275" s="627">
        <v>10.964999999999998</v>
      </c>
    </row>
    <row r="276" spans="1:9" ht="13.5">
      <c r="A276" s="621">
        <v>104</v>
      </c>
      <c r="B276" s="153" t="s">
        <v>165</v>
      </c>
      <c r="C276" s="622"/>
      <c r="D276" s="623" t="s">
        <v>180</v>
      </c>
      <c r="E276" s="624" t="s">
        <v>357</v>
      </c>
      <c r="F276" s="625" t="s">
        <v>377</v>
      </c>
      <c r="G276" s="626" t="s">
        <v>378</v>
      </c>
      <c r="H276" s="625" t="s">
        <v>166</v>
      </c>
      <c r="I276" s="627">
        <v>91</v>
      </c>
    </row>
    <row r="277" spans="1:9" ht="13.5">
      <c r="A277" s="621">
        <v>104</v>
      </c>
      <c r="B277" s="153" t="s">
        <v>165</v>
      </c>
      <c r="C277" s="622"/>
      <c r="D277" s="623" t="s">
        <v>180</v>
      </c>
      <c r="E277" s="624" t="s">
        <v>357</v>
      </c>
      <c r="F277" s="625" t="s">
        <v>377</v>
      </c>
      <c r="G277" s="626" t="s">
        <v>382</v>
      </c>
      <c r="H277" s="625" t="s">
        <v>166</v>
      </c>
      <c r="I277" s="627">
        <v>52</v>
      </c>
    </row>
    <row r="278" spans="1:9" ht="13.5">
      <c r="A278" s="621">
        <v>104</v>
      </c>
      <c r="B278" s="153" t="s">
        <v>165</v>
      </c>
      <c r="C278" s="622"/>
      <c r="D278" s="623" t="s">
        <v>180</v>
      </c>
      <c r="E278" s="624" t="s">
        <v>357</v>
      </c>
      <c r="F278" s="625" t="s">
        <v>395</v>
      </c>
      <c r="G278" s="626" t="s">
        <v>396</v>
      </c>
      <c r="H278" s="625" t="s">
        <v>166</v>
      </c>
      <c r="I278" s="627">
        <v>8.0274999999999999</v>
      </c>
    </row>
    <row r="279" spans="1:9" ht="13.5">
      <c r="A279" s="621">
        <v>104</v>
      </c>
      <c r="B279" s="153" t="s">
        <v>165</v>
      </c>
      <c r="C279" s="622"/>
      <c r="D279" s="623" t="s">
        <v>180</v>
      </c>
      <c r="E279" s="624" t="s">
        <v>357</v>
      </c>
      <c r="F279" s="625" t="s">
        <v>167</v>
      </c>
      <c r="G279" s="626" t="s">
        <v>402</v>
      </c>
      <c r="H279" s="625" t="s">
        <v>166</v>
      </c>
      <c r="I279" s="627">
        <v>44.2</v>
      </c>
    </row>
    <row r="280" spans="1:9" ht="13.5">
      <c r="A280" s="621">
        <v>104</v>
      </c>
      <c r="B280" s="153" t="s">
        <v>165</v>
      </c>
      <c r="C280" s="622"/>
      <c r="D280" s="623" t="s">
        <v>180</v>
      </c>
      <c r="E280" s="624" t="s">
        <v>357</v>
      </c>
      <c r="F280" s="625" t="s">
        <v>403</v>
      </c>
      <c r="G280" s="626" t="s">
        <v>404</v>
      </c>
      <c r="H280" s="625" t="s">
        <v>166</v>
      </c>
      <c r="I280" s="627">
        <v>29.302</v>
      </c>
    </row>
    <row r="281" spans="1:9" ht="13.5">
      <c r="A281" s="621">
        <v>104</v>
      </c>
      <c r="B281" s="153" t="s">
        <v>165</v>
      </c>
      <c r="C281" s="622"/>
      <c r="D281" s="623" t="s">
        <v>180</v>
      </c>
      <c r="E281" s="624" t="s">
        <v>357</v>
      </c>
      <c r="F281" s="625" t="s">
        <v>403</v>
      </c>
      <c r="G281" s="626" t="s">
        <v>405</v>
      </c>
      <c r="H281" s="625" t="s">
        <v>166</v>
      </c>
      <c r="I281" s="627">
        <v>29.302</v>
      </c>
    </row>
    <row r="282" spans="1:9" ht="13.5">
      <c r="A282" s="621">
        <v>104</v>
      </c>
      <c r="B282" s="153" t="s">
        <v>165</v>
      </c>
      <c r="C282" s="622"/>
      <c r="D282" s="623" t="s">
        <v>180</v>
      </c>
      <c r="E282" s="624" t="s">
        <v>357</v>
      </c>
      <c r="F282" s="625" t="s">
        <v>167</v>
      </c>
      <c r="G282" s="626" t="s">
        <v>406</v>
      </c>
      <c r="H282" s="625" t="s">
        <v>166</v>
      </c>
      <c r="I282" s="627">
        <v>11.700000000000001</v>
      </c>
    </row>
    <row r="283" spans="1:9" ht="13.5">
      <c r="A283" s="621">
        <v>104</v>
      </c>
      <c r="B283" s="153" t="s">
        <v>165</v>
      </c>
      <c r="C283" s="622"/>
      <c r="D283" s="623" t="s">
        <v>180</v>
      </c>
      <c r="E283" s="624" t="s">
        <v>357</v>
      </c>
      <c r="F283" s="625" t="s">
        <v>407</v>
      </c>
      <c r="G283" s="626" t="s">
        <v>408</v>
      </c>
      <c r="H283" s="625" t="s">
        <v>166</v>
      </c>
      <c r="I283" s="627">
        <v>8.06</v>
      </c>
    </row>
    <row r="284" spans="1:9" ht="13.5">
      <c r="A284" s="621">
        <v>104</v>
      </c>
      <c r="B284" s="153" t="s">
        <v>165</v>
      </c>
      <c r="C284" s="622"/>
      <c r="D284" s="623" t="s">
        <v>180</v>
      </c>
      <c r="E284" s="624" t="s">
        <v>357</v>
      </c>
      <c r="F284" s="625" t="s">
        <v>412</v>
      </c>
      <c r="G284" s="626" t="s">
        <v>413</v>
      </c>
      <c r="H284" s="625" t="s">
        <v>166</v>
      </c>
      <c r="I284" s="627">
        <v>6.9550000000000001</v>
      </c>
    </row>
    <row r="285" spans="1:9" ht="13.5">
      <c r="A285" s="621">
        <v>104</v>
      </c>
      <c r="B285" s="153" t="s">
        <v>165</v>
      </c>
      <c r="C285" s="622"/>
      <c r="D285" s="623" t="s">
        <v>180</v>
      </c>
      <c r="E285" s="624" t="s">
        <v>357</v>
      </c>
      <c r="F285" s="625" t="s">
        <v>330</v>
      </c>
      <c r="G285" s="626" t="s">
        <v>415</v>
      </c>
      <c r="H285" s="625" t="s">
        <v>166</v>
      </c>
      <c r="I285" s="627">
        <v>0</v>
      </c>
    </row>
    <row r="286" spans="1:9" ht="13.5">
      <c r="A286" s="621">
        <v>104</v>
      </c>
      <c r="B286" s="153" t="s">
        <v>165</v>
      </c>
      <c r="C286" s="622"/>
      <c r="D286" s="623" t="s">
        <v>180</v>
      </c>
      <c r="E286" s="624" t="s">
        <v>357</v>
      </c>
      <c r="F286" s="625" t="s">
        <v>330</v>
      </c>
      <c r="G286" s="626" t="s">
        <v>416</v>
      </c>
      <c r="H286" s="625" t="s">
        <v>166</v>
      </c>
      <c r="I286" s="627">
        <v>0</v>
      </c>
    </row>
    <row r="287" spans="1:9" ht="13.5">
      <c r="A287" s="621">
        <v>104</v>
      </c>
      <c r="B287" s="153" t="s">
        <v>165</v>
      </c>
      <c r="C287" s="622"/>
      <c r="D287" s="623" t="s">
        <v>180</v>
      </c>
      <c r="E287" s="624" t="s">
        <v>357</v>
      </c>
      <c r="F287" s="625" t="s">
        <v>412</v>
      </c>
      <c r="G287" s="626" t="s">
        <v>418</v>
      </c>
      <c r="H287" s="625" t="s">
        <v>166</v>
      </c>
      <c r="I287" s="627">
        <v>7.8000000000000007</v>
      </c>
    </row>
    <row r="288" spans="1:9" ht="13.5">
      <c r="A288" s="621">
        <v>104</v>
      </c>
      <c r="B288" s="153" t="s">
        <v>165</v>
      </c>
      <c r="C288" s="622"/>
      <c r="D288" s="623" t="s">
        <v>180</v>
      </c>
      <c r="E288" s="624" t="s">
        <v>357</v>
      </c>
      <c r="F288" s="625" t="s">
        <v>419</v>
      </c>
      <c r="G288" s="626" t="s">
        <v>420</v>
      </c>
      <c r="H288" s="625" t="s">
        <v>1313</v>
      </c>
      <c r="I288" s="627">
        <v>23.322000000000003</v>
      </c>
    </row>
    <row r="289" spans="1:9" ht="13.5">
      <c r="A289" s="621">
        <v>104</v>
      </c>
      <c r="B289" s="153" t="s">
        <v>165</v>
      </c>
      <c r="C289" s="622"/>
      <c r="D289" s="623" t="s">
        <v>180</v>
      </c>
      <c r="E289" s="624" t="s">
        <v>357</v>
      </c>
      <c r="F289" s="625" t="s">
        <v>156</v>
      </c>
      <c r="G289" s="626" t="s">
        <v>421</v>
      </c>
      <c r="H289" s="625" t="s">
        <v>176</v>
      </c>
      <c r="I289" s="627">
        <v>46.045999999999992</v>
      </c>
    </row>
    <row r="290" spans="1:9" ht="13.5">
      <c r="A290" s="621">
        <v>104</v>
      </c>
      <c r="B290" s="153" t="s">
        <v>165</v>
      </c>
      <c r="C290" s="622"/>
      <c r="D290" s="623" t="s">
        <v>180</v>
      </c>
      <c r="E290" s="624" t="s">
        <v>357</v>
      </c>
      <c r="F290" s="625" t="s">
        <v>422</v>
      </c>
      <c r="G290" s="626" t="s">
        <v>423</v>
      </c>
      <c r="H290" s="625" t="s">
        <v>176</v>
      </c>
      <c r="I290" s="627">
        <v>8.4500000000000011</v>
      </c>
    </row>
    <row r="291" spans="1:9" ht="13.5">
      <c r="A291" s="621">
        <v>104</v>
      </c>
      <c r="B291" s="153" t="s">
        <v>165</v>
      </c>
      <c r="C291" s="622"/>
      <c r="D291" s="623" t="s">
        <v>180</v>
      </c>
      <c r="E291" s="624" t="s">
        <v>357</v>
      </c>
      <c r="F291" s="625" t="s">
        <v>424</v>
      </c>
      <c r="G291" s="626" t="s">
        <v>425</v>
      </c>
      <c r="H291" s="625" t="s">
        <v>1313</v>
      </c>
      <c r="I291" s="627">
        <v>74.490000000000009</v>
      </c>
    </row>
    <row r="292" spans="1:9" ht="13.5">
      <c r="A292" s="621">
        <v>104</v>
      </c>
      <c r="B292" s="153" t="s">
        <v>165</v>
      </c>
      <c r="C292" s="622"/>
      <c r="D292" s="623" t="s">
        <v>180</v>
      </c>
      <c r="E292" s="624" t="s">
        <v>357</v>
      </c>
      <c r="F292" s="625" t="s">
        <v>177</v>
      </c>
      <c r="G292" s="626" t="s">
        <v>426</v>
      </c>
      <c r="H292" s="625" t="s">
        <v>176</v>
      </c>
      <c r="I292" s="627">
        <v>15.46025</v>
      </c>
    </row>
    <row r="293" spans="1:9" ht="13.5">
      <c r="A293" s="621">
        <v>104</v>
      </c>
      <c r="B293" s="153" t="s">
        <v>165</v>
      </c>
      <c r="C293" s="622"/>
      <c r="D293" s="623" t="s">
        <v>180</v>
      </c>
      <c r="E293" s="624" t="s">
        <v>357</v>
      </c>
      <c r="F293" s="625" t="s">
        <v>427</v>
      </c>
      <c r="G293" s="626" t="s">
        <v>428</v>
      </c>
      <c r="H293" s="625" t="s">
        <v>19</v>
      </c>
      <c r="I293" s="627">
        <v>9.6427500000000013</v>
      </c>
    </row>
    <row r="294" spans="1:9" ht="13.5">
      <c r="A294" s="621">
        <v>104</v>
      </c>
      <c r="B294" s="153" t="s">
        <v>165</v>
      </c>
      <c r="C294" s="622"/>
      <c r="D294" s="623" t="s">
        <v>180</v>
      </c>
      <c r="E294" s="624" t="s">
        <v>357</v>
      </c>
      <c r="F294" s="625" t="s">
        <v>429</v>
      </c>
      <c r="G294" s="626" t="s">
        <v>430</v>
      </c>
      <c r="H294" s="625" t="s">
        <v>19</v>
      </c>
      <c r="I294" s="627">
        <v>4.4850000000000003</v>
      </c>
    </row>
    <row r="295" spans="1:9" ht="13.5">
      <c r="A295" s="621">
        <v>104</v>
      </c>
      <c r="B295" s="153" t="s">
        <v>165</v>
      </c>
      <c r="C295" s="622"/>
      <c r="D295" s="623" t="s">
        <v>180</v>
      </c>
      <c r="E295" s="624" t="s">
        <v>357</v>
      </c>
      <c r="F295" s="625" t="s">
        <v>427</v>
      </c>
      <c r="G295" s="626" t="s">
        <v>431</v>
      </c>
      <c r="H295" s="625" t="s">
        <v>19</v>
      </c>
      <c r="I295" s="627">
        <v>7.6862499999999994</v>
      </c>
    </row>
    <row r="296" spans="1:9" ht="13.5">
      <c r="A296" s="621">
        <v>104</v>
      </c>
      <c r="B296" s="153" t="s">
        <v>165</v>
      </c>
      <c r="C296" s="622"/>
      <c r="D296" s="623" t="s">
        <v>180</v>
      </c>
      <c r="E296" s="624" t="s">
        <v>357</v>
      </c>
      <c r="F296" s="625" t="s">
        <v>429</v>
      </c>
      <c r="G296" s="626" t="s">
        <v>432</v>
      </c>
      <c r="H296" s="625" t="s">
        <v>19</v>
      </c>
      <c r="I296" s="627">
        <v>3.5750000000000002</v>
      </c>
    </row>
    <row r="297" spans="1:9" ht="13.5">
      <c r="A297" s="621">
        <v>104</v>
      </c>
      <c r="B297" s="153" t="s">
        <v>165</v>
      </c>
      <c r="C297" s="622"/>
      <c r="D297" s="623" t="s">
        <v>180</v>
      </c>
      <c r="E297" s="624" t="s">
        <v>357</v>
      </c>
      <c r="F297" s="625" t="s">
        <v>433</v>
      </c>
      <c r="G297" s="626" t="s">
        <v>434</v>
      </c>
      <c r="H297" s="625" t="s">
        <v>19</v>
      </c>
      <c r="I297" s="627">
        <v>5.2650000000000015</v>
      </c>
    </row>
    <row r="298" spans="1:9" ht="13.5">
      <c r="A298" s="621">
        <v>104</v>
      </c>
      <c r="B298" s="153" t="s">
        <v>165</v>
      </c>
      <c r="C298" s="622"/>
      <c r="D298" s="623" t="s">
        <v>180</v>
      </c>
      <c r="E298" s="624" t="s">
        <v>357</v>
      </c>
      <c r="F298" s="625" t="s">
        <v>435</v>
      </c>
      <c r="G298" s="626" t="s">
        <v>436</v>
      </c>
      <c r="H298" s="625" t="s">
        <v>19</v>
      </c>
      <c r="I298" s="627">
        <v>9.4770000000000021</v>
      </c>
    </row>
    <row r="299" spans="1:9" ht="13.5">
      <c r="A299" s="621">
        <v>104</v>
      </c>
      <c r="B299" s="153" t="s">
        <v>165</v>
      </c>
      <c r="C299" s="622"/>
      <c r="D299" s="623" t="s">
        <v>180</v>
      </c>
      <c r="E299" s="624" t="s">
        <v>357</v>
      </c>
      <c r="F299" s="625" t="s">
        <v>437</v>
      </c>
      <c r="G299" s="626" t="s">
        <v>438</v>
      </c>
      <c r="H299" s="625" t="s">
        <v>19</v>
      </c>
      <c r="I299" s="627">
        <v>12.791999999999998</v>
      </c>
    </row>
    <row r="300" spans="1:9" ht="13.5">
      <c r="A300" s="621">
        <v>104</v>
      </c>
      <c r="B300" s="153" t="s">
        <v>165</v>
      </c>
      <c r="C300" s="622"/>
      <c r="D300" s="623" t="s">
        <v>180</v>
      </c>
      <c r="E300" s="624" t="s">
        <v>357</v>
      </c>
      <c r="F300" s="625" t="s">
        <v>439</v>
      </c>
      <c r="G300" s="626" t="s">
        <v>440</v>
      </c>
      <c r="H300" s="625" t="s">
        <v>176</v>
      </c>
      <c r="I300" s="627">
        <v>10.4</v>
      </c>
    </row>
    <row r="301" spans="1:9" ht="13.5">
      <c r="A301" s="621">
        <v>104</v>
      </c>
      <c r="B301" s="153" t="s">
        <v>165</v>
      </c>
      <c r="C301" s="622"/>
      <c r="D301" s="623" t="s">
        <v>180</v>
      </c>
      <c r="E301" s="624" t="s">
        <v>357</v>
      </c>
      <c r="F301" s="625" t="s">
        <v>41</v>
      </c>
      <c r="G301" s="626" t="s">
        <v>441</v>
      </c>
      <c r="H301" s="625" t="s">
        <v>519</v>
      </c>
      <c r="I301" s="627">
        <v>7.7350000000000003</v>
      </c>
    </row>
    <row r="302" spans="1:9" ht="13.5">
      <c r="A302" s="621">
        <v>104</v>
      </c>
      <c r="B302" s="153" t="s">
        <v>165</v>
      </c>
      <c r="C302" s="622"/>
      <c r="D302" s="623" t="s">
        <v>180</v>
      </c>
      <c r="E302" s="624" t="s">
        <v>357</v>
      </c>
      <c r="F302" s="625" t="s">
        <v>41</v>
      </c>
      <c r="G302" s="626" t="s">
        <v>443</v>
      </c>
      <c r="H302" s="625" t="s">
        <v>519</v>
      </c>
      <c r="I302" s="627">
        <v>40.3065</v>
      </c>
    </row>
    <row r="303" spans="1:9" ht="13.5">
      <c r="A303" s="621">
        <v>104</v>
      </c>
      <c r="B303" s="153" t="s">
        <v>165</v>
      </c>
      <c r="C303" s="622"/>
      <c r="D303" s="623" t="s">
        <v>180</v>
      </c>
      <c r="E303" s="624" t="s">
        <v>357</v>
      </c>
      <c r="F303" s="625" t="s">
        <v>41</v>
      </c>
      <c r="G303" s="626" t="s">
        <v>442</v>
      </c>
      <c r="H303" s="625" t="s">
        <v>519</v>
      </c>
      <c r="I303" s="627">
        <v>100.55500000000002</v>
      </c>
    </row>
    <row r="304" spans="1:9" ht="13.5">
      <c r="A304" s="621">
        <v>104</v>
      </c>
      <c r="B304" s="153" t="s">
        <v>165</v>
      </c>
      <c r="C304" s="622"/>
      <c r="D304" s="623" t="s">
        <v>180</v>
      </c>
      <c r="E304" s="624" t="s">
        <v>357</v>
      </c>
      <c r="F304" s="625" t="s">
        <v>41</v>
      </c>
      <c r="G304" s="626" t="s">
        <v>444</v>
      </c>
      <c r="H304" s="625" t="s">
        <v>19</v>
      </c>
      <c r="I304" s="627">
        <v>16.867499999999996</v>
      </c>
    </row>
    <row r="305" spans="1:9" ht="13.5">
      <c r="A305" s="621">
        <v>104</v>
      </c>
      <c r="B305" s="153" t="s">
        <v>165</v>
      </c>
      <c r="C305" s="622"/>
      <c r="D305" s="623" t="s">
        <v>180</v>
      </c>
      <c r="E305" s="624" t="s">
        <v>357</v>
      </c>
      <c r="F305" s="625" t="s">
        <v>461</v>
      </c>
      <c r="G305" s="626" t="s">
        <v>462</v>
      </c>
      <c r="H305" s="625" t="s">
        <v>19</v>
      </c>
      <c r="I305" s="627">
        <v>12.080250000000001</v>
      </c>
    </row>
    <row r="306" spans="1:9" ht="13.5">
      <c r="A306" s="621">
        <v>104</v>
      </c>
      <c r="B306" s="153" t="s">
        <v>165</v>
      </c>
      <c r="C306" s="622"/>
      <c r="D306" s="623" t="s">
        <v>180</v>
      </c>
      <c r="E306" s="624" t="s">
        <v>357</v>
      </c>
      <c r="F306" s="625" t="s">
        <v>463</v>
      </c>
      <c r="G306" s="626" t="s">
        <v>464</v>
      </c>
      <c r="H306" s="625" t="s">
        <v>19</v>
      </c>
      <c r="I306" s="627">
        <v>87.730499999999978</v>
      </c>
    </row>
    <row r="307" spans="1:9" ht="13.5">
      <c r="A307" s="621">
        <v>104</v>
      </c>
      <c r="B307" s="153" t="s">
        <v>165</v>
      </c>
      <c r="C307" s="622"/>
      <c r="D307" s="623" t="s">
        <v>180</v>
      </c>
      <c r="E307" s="624" t="s">
        <v>357</v>
      </c>
      <c r="F307" s="625" t="s">
        <v>463</v>
      </c>
      <c r="G307" s="626" t="s">
        <v>465</v>
      </c>
      <c r="H307" s="625" t="s">
        <v>19</v>
      </c>
      <c r="I307" s="627">
        <v>55.314999999999998</v>
      </c>
    </row>
    <row r="308" spans="1:9" ht="13.5">
      <c r="A308" s="621">
        <v>104</v>
      </c>
      <c r="B308" s="153" t="s">
        <v>165</v>
      </c>
      <c r="C308" s="622"/>
      <c r="D308" s="623" t="s">
        <v>180</v>
      </c>
      <c r="E308" s="624" t="s">
        <v>357</v>
      </c>
      <c r="F308" s="625" t="s">
        <v>333</v>
      </c>
      <c r="G308" s="626" t="s">
        <v>466</v>
      </c>
      <c r="H308" s="625" t="s">
        <v>166</v>
      </c>
      <c r="I308" s="627">
        <v>19.5</v>
      </c>
    </row>
    <row r="309" spans="1:9" ht="13.5">
      <c r="A309" s="621">
        <v>104</v>
      </c>
      <c r="B309" s="153" t="s">
        <v>165</v>
      </c>
      <c r="C309" s="622"/>
      <c r="D309" s="623" t="s">
        <v>180</v>
      </c>
      <c r="E309" s="624" t="s">
        <v>357</v>
      </c>
      <c r="F309" s="625" t="s">
        <v>333</v>
      </c>
      <c r="G309" s="626" t="s">
        <v>467</v>
      </c>
      <c r="H309" s="625" t="s">
        <v>166</v>
      </c>
      <c r="I309" s="627">
        <v>5.2</v>
      </c>
    </row>
    <row r="310" spans="1:9" ht="13.5">
      <c r="A310" s="621">
        <v>104</v>
      </c>
      <c r="B310" s="153" t="s">
        <v>165</v>
      </c>
      <c r="C310" s="622"/>
      <c r="D310" s="623" t="s">
        <v>180</v>
      </c>
      <c r="E310" s="624" t="s">
        <v>357</v>
      </c>
      <c r="F310" s="625" t="s">
        <v>168</v>
      </c>
      <c r="G310" s="626" t="s">
        <v>468</v>
      </c>
      <c r="H310" s="625" t="s">
        <v>519</v>
      </c>
      <c r="I310" s="627">
        <v>47.931000000000004</v>
      </c>
    </row>
    <row r="311" spans="1:9" ht="13.5">
      <c r="A311" s="621">
        <v>104</v>
      </c>
      <c r="B311" s="153" t="s">
        <v>165</v>
      </c>
      <c r="C311" s="622"/>
      <c r="D311" s="623" t="s">
        <v>180</v>
      </c>
      <c r="E311" s="624" t="s">
        <v>357</v>
      </c>
      <c r="F311" s="625" t="s">
        <v>168</v>
      </c>
      <c r="G311" s="626" t="s">
        <v>470</v>
      </c>
      <c r="H311" s="625" t="s">
        <v>519</v>
      </c>
      <c r="I311" s="627">
        <v>104.89830000000001</v>
      </c>
    </row>
    <row r="312" spans="1:9" ht="13.5">
      <c r="A312" s="621">
        <v>104</v>
      </c>
      <c r="B312" s="153" t="s">
        <v>165</v>
      </c>
      <c r="C312" s="622"/>
      <c r="D312" s="623" t="s">
        <v>180</v>
      </c>
      <c r="E312" s="624" t="s">
        <v>357</v>
      </c>
      <c r="F312" s="625" t="s">
        <v>123</v>
      </c>
      <c r="G312" s="626" t="s">
        <v>471</v>
      </c>
      <c r="H312" s="625" t="s">
        <v>109</v>
      </c>
      <c r="I312" s="627">
        <v>9.2365000000000013</v>
      </c>
    </row>
    <row r="313" spans="1:9" ht="13.5">
      <c r="A313" s="621">
        <v>104</v>
      </c>
      <c r="B313" s="153" t="s">
        <v>165</v>
      </c>
      <c r="C313" s="622"/>
      <c r="D313" s="623" t="s">
        <v>180</v>
      </c>
      <c r="E313" s="624" t="s">
        <v>357</v>
      </c>
      <c r="F313" s="625" t="s">
        <v>123</v>
      </c>
      <c r="G313" s="626" t="s">
        <v>473</v>
      </c>
      <c r="H313" s="625" t="s">
        <v>19</v>
      </c>
      <c r="I313" s="627">
        <v>7.93</v>
      </c>
    </row>
    <row r="314" spans="1:9" ht="13.5">
      <c r="A314" s="621">
        <v>104</v>
      </c>
      <c r="B314" s="153" t="s">
        <v>165</v>
      </c>
      <c r="C314" s="622"/>
      <c r="D314" s="623" t="s">
        <v>180</v>
      </c>
      <c r="E314" s="624" t="s">
        <v>357</v>
      </c>
      <c r="F314" s="625" t="s">
        <v>474</v>
      </c>
      <c r="G314" s="626" t="s">
        <v>475</v>
      </c>
      <c r="H314" s="625" t="s">
        <v>519</v>
      </c>
      <c r="I314" s="627">
        <v>5.9474999999999989</v>
      </c>
    </row>
    <row r="315" spans="1:9" ht="13.5">
      <c r="A315" s="621">
        <v>104</v>
      </c>
      <c r="B315" s="153" t="s">
        <v>165</v>
      </c>
      <c r="C315" s="622"/>
      <c r="D315" s="623" t="s">
        <v>180</v>
      </c>
      <c r="E315" s="624" t="s">
        <v>357</v>
      </c>
      <c r="F315" s="625" t="s">
        <v>476</v>
      </c>
      <c r="G315" s="626" t="s">
        <v>477</v>
      </c>
      <c r="H315" s="625" t="s">
        <v>518</v>
      </c>
      <c r="I315" s="627">
        <v>0</v>
      </c>
    </row>
    <row r="316" spans="1:9" ht="13.5">
      <c r="A316" s="621">
        <v>104</v>
      </c>
      <c r="B316" s="153" t="s">
        <v>165</v>
      </c>
      <c r="C316" s="622"/>
      <c r="D316" s="623" t="s">
        <v>180</v>
      </c>
      <c r="E316" s="624" t="s">
        <v>357</v>
      </c>
      <c r="F316" s="625" t="s">
        <v>478</v>
      </c>
      <c r="G316" s="626" t="s">
        <v>480</v>
      </c>
      <c r="H316" s="625" t="s">
        <v>520</v>
      </c>
      <c r="I316" s="627">
        <v>7.8000000000000007</v>
      </c>
    </row>
    <row r="317" spans="1:9" ht="13.5">
      <c r="A317" s="621">
        <v>104</v>
      </c>
      <c r="B317" s="153" t="s">
        <v>165</v>
      </c>
      <c r="C317" s="622"/>
      <c r="D317" s="623" t="s">
        <v>180</v>
      </c>
      <c r="E317" s="624" t="s">
        <v>357</v>
      </c>
      <c r="F317" s="625" t="s">
        <v>478</v>
      </c>
      <c r="G317" s="626" t="s">
        <v>482</v>
      </c>
      <c r="H317" s="625" t="s">
        <v>109</v>
      </c>
      <c r="I317" s="627">
        <v>43.436250000000001</v>
      </c>
    </row>
    <row r="318" spans="1:9" ht="13.5">
      <c r="A318" s="621">
        <v>104</v>
      </c>
      <c r="B318" s="153" t="s">
        <v>165</v>
      </c>
      <c r="C318" s="622"/>
      <c r="D318" s="623" t="s">
        <v>180</v>
      </c>
      <c r="E318" s="624" t="s">
        <v>357</v>
      </c>
      <c r="F318" s="625" t="s">
        <v>478</v>
      </c>
      <c r="G318" s="626" t="s">
        <v>484</v>
      </c>
      <c r="H318" s="625" t="s">
        <v>109</v>
      </c>
      <c r="I318" s="627">
        <v>114.4</v>
      </c>
    </row>
    <row r="319" spans="1:9" ht="13.5">
      <c r="A319" s="621">
        <v>104</v>
      </c>
      <c r="B319" s="153" t="s">
        <v>165</v>
      </c>
      <c r="C319" s="622"/>
      <c r="D319" s="623" t="s">
        <v>180</v>
      </c>
      <c r="E319" s="624" t="s">
        <v>357</v>
      </c>
      <c r="F319" s="625" t="s">
        <v>478</v>
      </c>
      <c r="G319" s="626" t="s">
        <v>485</v>
      </c>
      <c r="H319" s="625" t="s">
        <v>109</v>
      </c>
      <c r="I319" s="627">
        <v>28.6</v>
      </c>
    </row>
    <row r="320" spans="1:9" ht="13.5">
      <c r="A320" s="621">
        <v>104</v>
      </c>
      <c r="B320" s="153" t="s">
        <v>165</v>
      </c>
      <c r="C320" s="622"/>
      <c r="D320" s="623" t="s">
        <v>180</v>
      </c>
      <c r="E320" s="624" t="s">
        <v>357</v>
      </c>
      <c r="F320" s="625" t="s">
        <v>478</v>
      </c>
      <c r="G320" s="626" t="s">
        <v>455</v>
      </c>
      <c r="H320" s="625" t="s">
        <v>109</v>
      </c>
      <c r="I320" s="627">
        <v>9.1</v>
      </c>
    </row>
    <row r="321" spans="1:9" ht="13.5">
      <c r="A321" s="621">
        <v>104</v>
      </c>
      <c r="B321" s="153" t="s">
        <v>165</v>
      </c>
      <c r="C321" s="622"/>
      <c r="D321" s="623" t="s">
        <v>180</v>
      </c>
      <c r="E321" s="624" t="s">
        <v>357</v>
      </c>
      <c r="F321" s="625" t="s">
        <v>478</v>
      </c>
      <c r="G321" s="626" t="s">
        <v>457</v>
      </c>
      <c r="H321" s="625" t="s">
        <v>519</v>
      </c>
      <c r="I321" s="627">
        <v>19.802249999999997</v>
      </c>
    </row>
    <row r="322" spans="1:9" ht="13.5">
      <c r="A322" s="621">
        <v>104</v>
      </c>
      <c r="B322" s="153" t="s">
        <v>165</v>
      </c>
      <c r="C322" s="622"/>
      <c r="D322" s="623" t="s">
        <v>180</v>
      </c>
      <c r="E322" s="624" t="s">
        <v>357</v>
      </c>
      <c r="F322" s="625" t="s">
        <v>478</v>
      </c>
      <c r="G322" s="626" t="s">
        <v>459</v>
      </c>
      <c r="H322" s="625" t="s">
        <v>519</v>
      </c>
      <c r="I322" s="627">
        <v>27.134249999999998</v>
      </c>
    </row>
    <row r="323" spans="1:9" ht="13.5">
      <c r="A323" s="621">
        <v>104</v>
      </c>
      <c r="B323" s="153" t="s">
        <v>165</v>
      </c>
      <c r="C323" s="622"/>
      <c r="D323" s="623" t="s">
        <v>180</v>
      </c>
      <c r="E323" s="624" t="s">
        <v>357</v>
      </c>
      <c r="F323" s="625" t="s">
        <v>478</v>
      </c>
      <c r="G323" s="626" t="s">
        <v>487</v>
      </c>
      <c r="H323" s="625" t="s">
        <v>519</v>
      </c>
      <c r="I323" s="627">
        <v>27.134249999999998</v>
      </c>
    </row>
    <row r="324" spans="1:9" ht="13.5">
      <c r="A324" s="621">
        <v>104</v>
      </c>
      <c r="B324" s="153" t="s">
        <v>165</v>
      </c>
      <c r="C324" s="622"/>
      <c r="D324" s="623" t="s">
        <v>180</v>
      </c>
      <c r="E324" s="624" t="s">
        <v>357</v>
      </c>
      <c r="F324" s="625" t="s">
        <v>488</v>
      </c>
      <c r="G324" s="626" t="s">
        <v>489</v>
      </c>
      <c r="H324" s="625" t="s">
        <v>19</v>
      </c>
      <c r="I324" s="627">
        <v>1.3</v>
      </c>
    </row>
    <row r="325" spans="1:9" ht="13.5">
      <c r="A325" s="621">
        <v>104</v>
      </c>
      <c r="B325" s="153" t="s">
        <v>165</v>
      </c>
      <c r="C325" s="622"/>
      <c r="D325" s="623" t="s">
        <v>180</v>
      </c>
      <c r="E325" s="624" t="s">
        <v>357</v>
      </c>
      <c r="F325" s="625" t="s">
        <v>488</v>
      </c>
      <c r="G325" s="626" t="s">
        <v>491</v>
      </c>
      <c r="H325" s="625" t="s">
        <v>109</v>
      </c>
      <c r="I325" s="627">
        <v>71.850999999999999</v>
      </c>
    </row>
    <row r="326" spans="1:9" ht="13.5">
      <c r="A326" s="621">
        <v>104</v>
      </c>
      <c r="B326" s="153" t="s">
        <v>165</v>
      </c>
      <c r="C326" s="622"/>
      <c r="D326" s="623" t="s">
        <v>180</v>
      </c>
      <c r="E326" s="624" t="s">
        <v>357</v>
      </c>
      <c r="F326" s="625" t="s">
        <v>488</v>
      </c>
      <c r="G326" s="626" t="s">
        <v>492</v>
      </c>
      <c r="H326" s="625" t="s">
        <v>19</v>
      </c>
      <c r="I326" s="627">
        <v>1.3</v>
      </c>
    </row>
    <row r="327" spans="1:9" ht="13.5">
      <c r="A327" s="621">
        <v>104</v>
      </c>
      <c r="B327" s="153" t="s">
        <v>165</v>
      </c>
      <c r="C327" s="622"/>
      <c r="D327" s="623" t="s">
        <v>180</v>
      </c>
      <c r="E327" s="624" t="s">
        <v>357</v>
      </c>
      <c r="F327" s="625" t="s">
        <v>488</v>
      </c>
      <c r="G327" s="626" t="s">
        <v>401</v>
      </c>
      <c r="H327" s="625" t="s">
        <v>109</v>
      </c>
      <c r="I327" s="627">
        <v>18.362500000000001</v>
      </c>
    </row>
    <row r="328" spans="1:9" ht="13.5">
      <c r="A328" s="621">
        <v>104</v>
      </c>
      <c r="B328" s="153" t="s">
        <v>165</v>
      </c>
      <c r="C328" s="622"/>
      <c r="D328" s="623" t="s">
        <v>180</v>
      </c>
      <c r="E328" s="624" t="s">
        <v>357</v>
      </c>
      <c r="F328" s="625" t="s">
        <v>488</v>
      </c>
      <c r="G328" s="626" t="s">
        <v>494</v>
      </c>
      <c r="H328" s="625" t="s">
        <v>176</v>
      </c>
      <c r="I328" s="627">
        <v>6.9615</v>
      </c>
    </row>
    <row r="329" spans="1:9" ht="13.5">
      <c r="A329" s="621">
        <v>104</v>
      </c>
      <c r="B329" s="153" t="s">
        <v>165</v>
      </c>
      <c r="C329" s="622"/>
      <c r="D329" s="623" t="s">
        <v>180</v>
      </c>
      <c r="E329" s="624" t="s">
        <v>357</v>
      </c>
      <c r="F329" s="625" t="s">
        <v>488</v>
      </c>
      <c r="G329" s="626" t="s">
        <v>495</v>
      </c>
      <c r="H329" s="625" t="s">
        <v>19</v>
      </c>
      <c r="I329" s="627">
        <v>2.665</v>
      </c>
    </row>
    <row r="330" spans="1:9" ht="13.5">
      <c r="A330" s="621">
        <v>104</v>
      </c>
      <c r="B330" s="153" t="s">
        <v>165</v>
      </c>
      <c r="C330" s="622"/>
      <c r="D330" s="623" t="s">
        <v>180</v>
      </c>
      <c r="E330" s="624" t="s">
        <v>357</v>
      </c>
      <c r="F330" s="625" t="s">
        <v>488</v>
      </c>
      <c r="G330" s="626" t="s">
        <v>496</v>
      </c>
      <c r="H330" s="625" t="s">
        <v>19</v>
      </c>
      <c r="I330" s="627">
        <v>7.6244999999999994</v>
      </c>
    </row>
    <row r="331" spans="1:9" ht="13.5">
      <c r="A331" s="621">
        <v>104</v>
      </c>
      <c r="B331" s="153" t="s">
        <v>165</v>
      </c>
      <c r="C331" s="622"/>
      <c r="D331" s="623" t="s">
        <v>180</v>
      </c>
      <c r="E331" s="624" t="s">
        <v>357</v>
      </c>
      <c r="F331" s="625" t="s">
        <v>488</v>
      </c>
      <c r="G331" s="626" t="s">
        <v>497</v>
      </c>
      <c r="H331" s="625" t="s">
        <v>19</v>
      </c>
      <c r="I331" s="627">
        <v>13.65</v>
      </c>
    </row>
    <row r="332" spans="1:9" ht="13.5">
      <c r="A332" s="621">
        <v>104</v>
      </c>
      <c r="B332" s="153" t="s">
        <v>165</v>
      </c>
      <c r="C332" s="622"/>
      <c r="D332" s="623" t="s">
        <v>180</v>
      </c>
      <c r="E332" s="624" t="s">
        <v>357</v>
      </c>
      <c r="F332" s="625" t="s">
        <v>488</v>
      </c>
      <c r="G332" s="626" t="s">
        <v>498</v>
      </c>
      <c r="H332" s="625" t="s">
        <v>19</v>
      </c>
      <c r="I332" s="627">
        <v>86.23875000000001</v>
      </c>
    </row>
    <row r="333" spans="1:9" ht="13.5">
      <c r="A333" s="621">
        <v>104</v>
      </c>
      <c r="B333" s="153" t="s">
        <v>165</v>
      </c>
      <c r="C333" s="622"/>
      <c r="D333" s="623" t="s">
        <v>180</v>
      </c>
      <c r="E333" s="624" t="s">
        <v>357</v>
      </c>
      <c r="F333" s="625" t="s">
        <v>488</v>
      </c>
      <c r="G333" s="626" t="s">
        <v>499</v>
      </c>
      <c r="H333" s="625" t="s">
        <v>19</v>
      </c>
      <c r="I333" s="627">
        <v>6.24</v>
      </c>
    </row>
    <row r="334" spans="1:9" ht="13.5">
      <c r="A334" s="621">
        <v>104</v>
      </c>
      <c r="B334" s="153" t="s">
        <v>165</v>
      </c>
      <c r="C334" s="622"/>
      <c r="D334" s="623" t="s">
        <v>180</v>
      </c>
      <c r="E334" s="624" t="s">
        <v>357</v>
      </c>
      <c r="F334" s="625" t="s">
        <v>488</v>
      </c>
      <c r="G334" s="626" t="s">
        <v>500</v>
      </c>
      <c r="H334" s="625" t="s">
        <v>19</v>
      </c>
      <c r="I334" s="627">
        <v>48.021999999999991</v>
      </c>
    </row>
    <row r="335" spans="1:9" ht="13.5">
      <c r="A335" s="621">
        <v>104</v>
      </c>
      <c r="B335" s="153" t="s">
        <v>165</v>
      </c>
      <c r="C335" s="622"/>
      <c r="D335" s="623" t="s">
        <v>180</v>
      </c>
      <c r="E335" s="624" t="s">
        <v>357</v>
      </c>
      <c r="F335" s="625" t="s">
        <v>488</v>
      </c>
      <c r="G335" s="626" t="s">
        <v>501</v>
      </c>
      <c r="H335" s="625" t="s">
        <v>19</v>
      </c>
      <c r="I335" s="627">
        <v>13.258374999999999</v>
      </c>
    </row>
    <row r="336" spans="1:9" ht="13.5">
      <c r="A336" s="621">
        <v>104</v>
      </c>
      <c r="B336" s="153" t="s">
        <v>165</v>
      </c>
      <c r="C336" s="622"/>
      <c r="D336" s="623" t="s">
        <v>180</v>
      </c>
      <c r="E336" s="624" t="s">
        <v>357</v>
      </c>
      <c r="F336" s="625" t="s">
        <v>488</v>
      </c>
      <c r="G336" s="626" t="s">
        <v>502</v>
      </c>
      <c r="H336" s="625" t="s">
        <v>109</v>
      </c>
      <c r="I336" s="627">
        <v>52.591499999999996</v>
      </c>
    </row>
    <row r="337" spans="1:9" ht="13.5">
      <c r="A337" s="621">
        <v>104</v>
      </c>
      <c r="B337" s="153" t="s">
        <v>165</v>
      </c>
      <c r="C337" s="622"/>
      <c r="D337" s="623" t="s">
        <v>180</v>
      </c>
      <c r="E337" s="624" t="s">
        <v>357</v>
      </c>
      <c r="F337" s="625" t="s">
        <v>488</v>
      </c>
      <c r="G337" s="626" t="s">
        <v>503</v>
      </c>
      <c r="H337" s="625" t="s">
        <v>19</v>
      </c>
      <c r="I337" s="627">
        <v>5.2</v>
      </c>
    </row>
    <row r="338" spans="1:9" ht="13.5">
      <c r="A338" s="621">
        <v>104</v>
      </c>
      <c r="B338" s="153" t="s">
        <v>165</v>
      </c>
      <c r="C338" s="622"/>
      <c r="D338" s="623" t="s">
        <v>180</v>
      </c>
      <c r="E338" s="624" t="s">
        <v>357</v>
      </c>
      <c r="F338" s="625" t="s">
        <v>488</v>
      </c>
      <c r="G338" s="626" t="s">
        <v>504</v>
      </c>
      <c r="H338" s="625" t="s">
        <v>19</v>
      </c>
      <c r="I338" s="627">
        <v>9.1</v>
      </c>
    </row>
    <row r="339" spans="1:9" ht="13.5">
      <c r="A339" s="621">
        <v>104</v>
      </c>
      <c r="B339" s="153" t="s">
        <v>165</v>
      </c>
      <c r="C339" s="622"/>
      <c r="D339" s="623" t="s">
        <v>180</v>
      </c>
      <c r="E339" s="624" t="s">
        <v>357</v>
      </c>
      <c r="F339" s="625" t="s">
        <v>488</v>
      </c>
      <c r="G339" s="626" t="s">
        <v>505</v>
      </c>
      <c r="H339" s="625" t="s">
        <v>19</v>
      </c>
      <c r="I339" s="627">
        <v>61.1</v>
      </c>
    </row>
    <row r="340" spans="1:9" ht="13.5">
      <c r="A340" s="621">
        <v>104</v>
      </c>
      <c r="B340" s="153" t="s">
        <v>165</v>
      </c>
      <c r="C340" s="622"/>
      <c r="D340" s="623" t="s">
        <v>180</v>
      </c>
      <c r="E340" s="624" t="s">
        <v>357</v>
      </c>
      <c r="F340" s="625" t="s">
        <v>488</v>
      </c>
      <c r="G340" s="626" t="s">
        <v>506</v>
      </c>
      <c r="H340" s="625" t="s">
        <v>19</v>
      </c>
      <c r="I340" s="627">
        <v>14.170000000000002</v>
      </c>
    </row>
    <row r="341" spans="1:9" ht="13.5">
      <c r="A341" s="621">
        <v>104</v>
      </c>
      <c r="B341" s="153" t="s">
        <v>165</v>
      </c>
      <c r="C341" s="622"/>
      <c r="D341" s="623" t="s">
        <v>180</v>
      </c>
      <c r="E341" s="624" t="s">
        <v>357</v>
      </c>
      <c r="F341" s="625" t="s">
        <v>488</v>
      </c>
      <c r="G341" s="626" t="s">
        <v>507</v>
      </c>
      <c r="H341" s="625" t="s">
        <v>19</v>
      </c>
      <c r="I341" s="627">
        <v>10.27</v>
      </c>
    </row>
    <row r="342" spans="1:9" ht="13.5">
      <c r="A342" s="621">
        <v>104</v>
      </c>
      <c r="B342" s="153" t="s">
        <v>165</v>
      </c>
      <c r="C342" s="622"/>
      <c r="D342" s="623" t="s">
        <v>180</v>
      </c>
      <c r="E342" s="624" t="s">
        <v>357</v>
      </c>
      <c r="F342" s="625" t="s">
        <v>488</v>
      </c>
      <c r="G342" s="626" t="s">
        <v>508</v>
      </c>
      <c r="H342" s="625" t="s">
        <v>19</v>
      </c>
      <c r="I342" s="627">
        <v>1.7289999999999999</v>
      </c>
    </row>
    <row r="343" spans="1:9" ht="13.5">
      <c r="A343" s="621">
        <v>104</v>
      </c>
      <c r="B343" s="153" t="s">
        <v>165</v>
      </c>
      <c r="C343" s="622"/>
      <c r="D343" s="623" t="s">
        <v>180</v>
      </c>
      <c r="E343" s="624" t="s">
        <v>357</v>
      </c>
      <c r="F343" s="625" t="s">
        <v>488</v>
      </c>
      <c r="G343" s="626" t="s">
        <v>509</v>
      </c>
      <c r="H343" s="625" t="s">
        <v>19</v>
      </c>
      <c r="I343" s="627">
        <v>22.477</v>
      </c>
    </row>
    <row r="344" spans="1:9" ht="13.5">
      <c r="A344" s="621">
        <v>104</v>
      </c>
      <c r="B344" s="153" t="s">
        <v>165</v>
      </c>
      <c r="C344" s="622"/>
      <c r="D344" s="623" t="s">
        <v>180</v>
      </c>
      <c r="E344" s="624" t="s">
        <v>357</v>
      </c>
      <c r="F344" s="625" t="s">
        <v>488</v>
      </c>
      <c r="G344" s="626" t="s">
        <v>510</v>
      </c>
      <c r="H344" s="625" t="s">
        <v>19</v>
      </c>
      <c r="I344" s="627">
        <v>35.606999999999999</v>
      </c>
    </row>
    <row r="345" spans="1:9" ht="13.5">
      <c r="A345" s="621">
        <v>104</v>
      </c>
      <c r="B345" s="153" t="s">
        <v>165</v>
      </c>
      <c r="C345" s="622"/>
      <c r="D345" s="623" t="s">
        <v>180</v>
      </c>
      <c r="E345" s="624" t="s">
        <v>357</v>
      </c>
      <c r="F345" s="625" t="s">
        <v>488</v>
      </c>
      <c r="G345" s="626" t="s">
        <v>511</v>
      </c>
      <c r="H345" s="625" t="s">
        <v>19</v>
      </c>
      <c r="I345" s="627">
        <v>14.577159999999999</v>
      </c>
    </row>
    <row r="346" spans="1:9" ht="13.5">
      <c r="A346" s="621">
        <v>104</v>
      </c>
      <c r="B346" s="153" t="s">
        <v>165</v>
      </c>
      <c r="C346" s="622"/>
      <c r="D346" s="623" t="s">
        <v>180</v>
      </c>
      <c r="E346" s="624" t="s">
        <v>357</v>
      </c>
      <c r="F346" s="625" t="s">
        <v>488</v>
      </c>
      <c r="G346" s="626" t="s">
        <v>513</v>
      </c>
      <c r="H346" s="625" t="s">
        <v>519</v>
      </c>
      <c r="I346" s="627">
        <v>11.60575</v>
      </c>
    </row>
    <row r="347" spans="1:9" ht="13.5">
      <c r="A347" s="621">
        <v>104</v>
      </c>
      <c r="B347" s="153" t="s">
        <v>165</v>
      </c>
      <c r="C347" s="622"/>
      <c r="D347" s="623" t="s">
        <v>180</v>
      </c>
      <c r="E347" s="624" t="s">
        <v>357</v>
      </c>
      <c r="F347" s="625" t="s">
        <v>488</v>
      </c>
      <c r="G347" s="626" t="s">
        <v>514</v>
      </c>
      <c r="H347" s="625" t="s">
        <v>19</v>
      </c>
      <c r="I347" s="627">
        <v>126.10000000000001</v>
      </c>
    </row>
    <row r="348" spans="1:9" ht="13.5">
      <c r="A348" s="621">
        <v>104</v>
      </c>
      <c r="B348" s="153" t="s">
        <v>165</v>
      </c>
      <c r="C348" s="622"/>
      <c r="D348" s="623" t="s">
        <v>180</v>
      </c>
      <c r="E348" s="624" t="s">
        <v>357</v>
      </c>
      <c r="F348" s="625" t="s">
        <v>488</v>
      </c>
      <c r="G348" s="626" t="s">
        <v>515</v>
      </c>
      <c r="H348" s="625" t="s">
        <v>19</v>
      </c>
      <c r="I348" s="627">
        <v>7.4555000000000007</v>
      </c>
    </row>
    <row r="349" spans="1:9" ht="13.5">
      <c r="A349" s="621">
        <v>104</v>
      </c>
      <c r="B349" s="153" t="s">
        <v>165</v>
      </c>
      <c r="C349" s="622"/>
      <c r="D349" s="623" t="s">
        <v>180</v>
      </c>
      <c r="E349" s="624" t="s">
        <v>357</v>
      </c>
      <c r="F349" s="625" t="s">
        <v>488</v>
      </c>
      <c r="G349" s="626" t="s">
        <v>169</v>
      </c>
      <c r="H349" s="625" t="s">
        <v>19</v>
      </c>
      <c r="I349" s="627">
        <v>2.5025000000000004</v>
      </c>
    </row>
    <row r="350" spans="1:9" ht="13.5">
      <c r="A350" s="621">
        <v>104</v>
      </c>
      <c r="B350" s="153" t="s">
        <v>165</v>
      </c>
      <c r="C350" s="622"/>
      <c r="D350" s="623" t="s">
        <v>180</v>
      </c>
      <c r="E350" s="624" t="s">
        <v>357</v>
      </c>
      <c r="F350" s="625" t="s">
        <v>488</v>
      </c>
      <c r="G350" s="626" t="s">
        <v>169</v>
      </c>
      <c r="H350" s="625" t="s">
        <v>19</v>
      </c>
      <c r="I350" s="627">
        <v>0.65</v>
      </c>
    </row>
    <row r="351" spans="1:9" ht="13.5">
      <c r="A351" s="621">
        <v>104</v>
      </c>
      <c r="B351" s="153" t="s">
        <v>165</v>
      </c>
      <c r="C351" s="622"/>
      <c r="D351" s="623" t="s">
        <v>180</v>
      </c>
      <c r="E351" s="624" t="s">
        <v>357</v>
      </c>
      <c r="F351" s="625" t="s">
        <v>516</v>
      </c>
      <c r="G351" s="626" t="s">
        <v>169</v>
      </c>
      <c r="H351" s="625" t="s">
        <v>19</v>
      </c>
      <c r="I351" s="627">
        <v>2.6455000000000002</v>
      </c>
    </row>
    <row r="352" spans="1:9" ht="13.5">
      <c r="A352" s="621">
        <v>104</v>
      </c>
      <c r="B352" s="153" t="s">
        <v>165</v>
      </c>
      <c r="C352" s="622"/>
      <c r="D352" s="623" t="s">
        <v>180</v>
      </c>
      <c r="E352" s="624" t="s">
        <v>357</v>
      </c>
      <c r="F352" s="625" t="s">
        <v>517</v>
      </c>
      <c r="G352" s="626" t="s">
        <v>169</v>
      </c>
      <c r="H352" s="625" t="s">
        <v>19</v>
      </c>
      <c r="I352" s="627">
        <v>17.556500000000003</v>
      </c>
    </row>
    <row r="353" spans="1:9" ht="13.5">
      <c r="A353" s="621">
        <v>104</v>
      </c>
      <c r="B353" s="153" t="s">
        <v>165</v>
      </c>
      <c r="C353" s="622"/>
      <c r="D353" s="623" t="s">
        <v>180</v>
      </c>
      <c r="E353" s="624" t="s">
        <v>54</v>
      </c>
      <c r="F353" s="625" t="s">
        <v>377</v>
      </c>
      <c r="G353" s="626" t="s">
        <v>535</v>
      </c>
      <c r="H353" s="625" t="s">
        <v>166</v>
      </c>
      <c r="I353" s="627">
        <v>0</v>
      </c>
    </row>
    <row r="354" spans="1:9" ht="13.5">
      <c r="A354" s="621">
        <v>104</v>
      </c>
      <c r="B354" s="153" t="s">
        <v>165</v>
      </c>
      <c r="C354" s="622"/>
      <c r="D354" s="623" t="s">
        <v>180</v>
      </c>
      <c r="E354" s="624" t="s">
        <v>54</v>
      </c>
      <c r="F354" s="625" t="s">
        <v>377</v>
      </c>
      <c r="G354" s="626" t="s">
        <v>539</v>
      </c>
      <c r="H354" s="625" t="s">
        <v>166</v>
      </c>
      <c r="I354" s="627">
        <v>0</v>
      </c>
    </row>
    <row r="355" spans="1:9" ht="13.5">
      <c r="A355" s="621">
        <v>104</v>
      </c>
      <c r="B355" s="153" t="s">
        <v>165</v>
      </c>
      <c r="C355" s="622"/>
      <c r="D355" s="623" t="s">
        <v>180</v>
      </c>
      <c r="E355" s="624" t="s">
        <v>54</v>
      </c>
      <c r="F355" s="625" t="s">
        <v>167</v>
      </c>
      <c r="G355" s="626" t="s">
        <v>548</v>
      </c>
      <c r="H355" s="625" t="s">
        <v>44</v>
      </c>
      <c r="I355" s="627">
        <v>31.138250000000003</v>
      </c>
    </row>
    <row r="356" spans="1:9" ht="13.5">
      <c r="A356" s="621">
        <v>104</v>
      </c>
      <c r="B356" s="153" t="s">
        <v>165</v>
      </c>
      <c r="C356" s="622"/>
      <c r="D356" s="623" t="s">
        <v>180</v>
      </c>
      <c r="E356" s="624" t="s">
        <v>54</v>
      </c>
      <c r="F356" s="625" t="s">
        <v>167</v>
      </c>
      <c r="G356" s="626" t="s">
        <v>550</v>
      </c>
      <c r="H356" s="625" t="s">
        <v>607</v>
      </c>
      <c r="I356" s="627">
        <v>119.39200000000001</v>
      </c>
    </row>
    <row r="357" spans="1:9" ht="13.5">
      <c r="A357" s="621">
        <v>104</v>
      </c>
      <c r="B357" s="153" t="s">
        <v>165</v>
      </c>
      <c r="C357" s="622"/>
      <c r="D357" s="623" t="s">
        <v>180</v>
      </c>
      <c r="E357" s="624" t="s">
        <v>54</v>
      </c>
      <c r="F357" s="625" t="s">
        <v>552</v>
      </c>
      <c r="G357" s="626" t="s">
        <v>553</v>
      </c>
      <c r="H357" s="625" t="s">
        <v>166</v>
      </c>
      <c r="I357" s="627">
        <v>0</v>
      </c>
    </row>
    <row r="358" spans="1:9" ht="13.5">
      <c r="A358" s="621">
        <v>104</v>
      </c>
      <c r="B358" s="153" t="s">
        <v>165</v>
      </c>
      <c r="C358" s="622"/>
      <c r="D358" s="623" t="s">
        <v>180</v>
      </c>
      <c r="E358" s="624" t="s">
        <v>54</v>
      </c>
      <c r="F358" s="625" t="s">
        <v>552</v>
      </c>
      <c r="G358" s="626" t="s">
        <v>554</v>
      </c>
      <c r="H358" s="625" t="s">
        <v>166</v>
      </c>
      <c r="I358" s="627">
        <v>0</v>
      </c>
    </row>
    <row r="359" spans="1:9" ht="13.5">
      <c r="A359" s="621">
        <v>104</v>
      </c>
      <c r="B359" s="153" t="s">
        <v>165</v>
      </c>
      <c r="C359" s="622"/>
      <c r="D359" s="623" t="s">
        <v>180</v>
      </c>
      <c r="E359" s="624" t="s">
        <v>54</v>
      </c>
      <c r="F359" s="625" t="s">
        <v>555</v>
      </c>
      <c r="G359" s="626" t="s">
        <v>556</v>
      </c>
      <c r="H359" s="625" t="s">
        <v>166</v>
      </c>
      <c r="I359" s="627">
        <v>2.6</v>
      </c>
    </row>
    <row r="360" spans="1:9" ht="13.5">
      <c r="A360" s="621">
        <v>104</v>
      </c>
      <c r="B360" s="153" t="s">
        <v>165</v>
      </c>
      <c r="C360" s="622"/>
      <c r="D360" s="623" t="s">
        <v>180</v>
      </c>
      <c r="E360" s="624" t="s">
        <v>54</v>
      </c>
      <c r="F360" s="625" t="s">
        <v>167</v>
      </c>
      <c r="G360" s="626" t="s">
        <v>557</v>
      </c>
      <c r="H360" s="625" t="s">
        <v>19</v>
      </c>
      <c r="I360" s="627">
        <v>13</v>
      </c>
    </row>
    <row r="361" spans="1:9" ht="13.5">
      <c r="A361" s="621">
        <v>104</v>
      </c>
      <c r="B361" s="153" t="s">
        <v>165</v>
      </c>
      <c r="C361" s="622"/>
      <c r="D361" s="623" t="s">
        <v>180</v>
      </c>
      <c r="E361" s="624" t="s">
        <v>54</v>
      </c>
      <c r="F361" s="625" t="s">
        <v>167</v>
      </c>
      <c r="G361" s="626" t="s">
        <v>558</v>
      </c>
      <c r="H361" s="625" t="s">
        <v>44</v>
      </c>
      <c r="I361" s="627">
        <v>32.5</v>
      </c>
    </row>
    <row r="362" spans="1:9" ht="13.5">
      <c r="A362" s="621">
        <v>104</v>
      </c>
      <c r="B362" s="153" t="s">
        <v>165</v>
      </c>
      <c r="C362" s="622"/>
      <c r="D362" s="623" t="s">
        <v>180</v>
      </c>
      <c r="E362" s="624" t="s">
        <v>54</v>
      </c>
      <c r="F362" s="625" t="s">
        <v>167</v>
      </c>
      <c r="G362" s="626" t="s">
        <v>563</v>
      </c>
      <c r="H362" s="625" t="s">
        <v>519</v>
      </c>
      <c r="I362" s="627">
        <v>74.100000000000009</v>
      </c>
    </row>
    <row r="363" spans="1:9" ht="13.5">
      <c r="A363" s="621">
        <v>104</v>
      </c>
      <c r="B363" s="153" t="s">
        <v>165</v>
      </c>
      <c r="C363" s="622"/>
      <c r="D363" s="623" t="s">
        <v>180</v>
      </c>
      <c r="E363" s="624" t="s">
        <v>54</v>
      </c>
      <c r="F363" s="625" t="s">
        <v>167</v>
      </c>
      <c r="G363" s="626" t="s">
        <v>569</v>
      </c>
      <c r="H363" s="625" t="s">
        <v>44</v>
      </c>
      <c r="I363" s="627">
        <v>21.079499999999999</v>
      </c>
    </row>
    <row r="364" spans="1:9" ht="13.5">
      <c r="A364" s="621">
        <v>104</v>
      </c>
      <c r="B364" s="153" t="s">
        <v>165</v>
      </c>
      <c r="C364" s="622"/>
      <c r="D364" s="623" t="s">
        <v>180</v>
      </c>
      <c r="E364" s="624" t="s">
        <v>54</v>
      </c>
      <c r="F364" s="625" t="s">
        <v>167</v>
      </c>
      <c r="G364" s="626" t="s">
        <v>570</v>
      </c>
      <c r="H364" s="625" t="s">
        <v>44</v>
      </c>
      <c r="I364" s="627">
        <v>3.25</v>
      </c>
    </row>
    <row r="365" spans="1:9" ht="13.5">
      <c r="A365" s="621">
        <v>104</v>
      </c>
      <c r="B365" s="153" t="s">
        <v>165</v>
      </c>
      <c r="C365" s="622"/>
      <c r="D365" s="623" t="s">
        <v>180</v>
      </c>
      <c r="E365" s="624" t="s">
        <v>54</v>
      </c>
      <c r="F365" s="625" t="s">
        <v>412</v>
      </c>
      <c r="G365" s="626" t="s">
        <v>571</v>
      </c>
      <c r="H365" s="625" t="s">
        <v>166</v>
      </c>
      <c r="I365" s="627">
        <v>0</v>
      </c>
    </row>
    <row r="366" spans="1:9" ht="13.5">
      <c r="A366" s="621">
        <v>104</v>
      </c>
      <c r="B366" s="153" t="s">
        <v>165</v>
      </c>
      <c r="C366" s="622"/>
      <c r="D366" s="623" t="s">
        <v>180</v>
      </c>
      <c r="E366" s="624" t="s">
        <v>54</v>
      </c>
      <c r="F366" s="625" t="s">
        <v>412</v>
      </c>
      <c r="G366" s="626" t="s">
        <v>572</v>
      </c>
      <c r="H366" s="625" t="s">
        <v>166</v>
      </c>
      <c r="I366" s="627">
        <v>0</v>
      </c>
    </row>
    <row r="367" spans="1:9" ht="13.5">
      <c r="A367" s="621">
        <v>104</v>
      </c>
      <c r="B367" s="153" t="s">
        <v>165</v>
      </c>
      <c r="C367" s="622"/>
      <c r="D367" s="623" t="s">
        <v>180</v>
      </c>
      <c r="E367" s="624" t="s">
        <v>54</v>
      </c>
      <c r="F367" s="625" t="s">
        <v>167</v>
      </c>
      <c r="G367" s="626" t="s">
        <v>573</v>
      </c>
      <c r="H367" s="625" t="s">
        <v>44</v>
      </c>
      <c r="I367" s="627">
        <v>2.6</v>
      </c>
    </row>
    <row r="368" spans="1:9" ht="13.5">
      <c r="A368" s="621">
        <v>104</v>
      </c>
      <c r="B368" s="153" t="s">
        <v>165</v>
      </c>
      <c r="C368" s="622"/>
      <c r="D368" s="623" t="s">
        <v>180</v>
      </c>
      <c r="E368" s="624" t="s">
        <v>54</v>
      </c>
      <c r="F368" s="625" t="s">
        <v>167</v>
      </c>
      <c r="G368" s="626" t="s">
        <v>574</v>
      </c>
      <c r="H368" s="625" t="s">
        <v>44</v>
      </c>
      <c r="I368" s="627">
        <v>20.032999999999998</v>
      </c>
    </row>
    <row r="369" spans="1:9" ht="13.5">
      <c r="A369" s="621">
        <v>104</v>
      </c>
      <c r="B369" s="153" t="s">
        <v>165</v>
      </c>
      <c r="C369" s="622"/>
      <c r="D369" s="623" t="s">
        <v>180</v>
      </c>
      <c r="E369" s="624" t="s">
        <v>54</v>
      </c>
      <c r="F369" s="625" t="s">
        <v>576</v>
      </c>
      <c r="G369" s="626" t="s">
        <v>577</v>
      </c>
      <c r="H369" s="625" t="s">
        <v>608</v>
      </c>
      <c r="I369" s="627">
        <v>17.556500000000003</v>
      </c>
    </row>
    <row r="370" spans="1:9" ht="13.5">
      <c r="A370" s="621">
        <v>104</v>
      </c>
      <c r="B370" s="153" t="s">
        <v>165</v>
      </c>
      <c r="C370" s="622"/>
      <c r="D370" s="623" t="s">
        <v>180</v>
      </c>
      <c r="E370" s="624" t="s">
        <v>54</v>
      </c>
      <c r="F370" s="625" t="s">
        <v>177</v>
      </c>
      <c r="G370" s="626" t="s">
        <v>578</v>
      </c>
      <c r="H370" s="625" t="s">
        <v>19</v>
      </c>
      <c r="I370" s="627">
        <v>2.6</v>
      </c>
    </row>
    <row r="371" spans="1:9" ht="13.5">
      <c r="A371" s="621">
        <v>104</v>
      </c>
      <c r="B371" s="153" t="s">
        <v>165</v>
      </c>
      <c r="C371" s="622"/>
      <c r="D371" s="623" t="s">
        <v>180</v>
      </c>
      <c r="E371" s="624" t="s">
        <v>54</v>
      </c>
      <c r="F371" s="625" t="s">
        <v>177</v>
      </c>
      <c r="G371" s="626" t="s">
        <v>579</v>
      </c>
      <c r="H371" s="625" t="s">
        <v>109</v>
      </c>
      <c r="I371" s="627">
        <v>11.700000000000001</v>
      </c>
    </row>
    <row r="372" spans="1:9" ht="13.5">
      <c r="A372" s="621">
        <v>104</v>
      </c>
      <c r="B372" s="153" t="s">
        <v>165</v>
      </c>
      <c r="C372" s="622"/>
      <c r="D372" s="623" t="s">
        <v>180</v>
      </c>
      <c r="E372" s="624" t="s">
        <v>54</v>
      </c>
      <c r="F372" s="625" t="s">
        <v>177</v>
      </c>
      <c r="G372" s="626" t="s">
        <v>580</v>
      </c>
      <c r="H372" s="625" t="s">
        <v>44</v>
      </c>
      <c r="I372" s="627">
        <v>13.820625</v>
      </c>
    </row>
    <row r="373" spans="1:9" ht="13.5">
      <c r="A373" s="621">
        <v>104</v>
      </c>
      <c r="B373" s="153" t="s">
        <v>165</v>
      </c>
      <c r="C373" s="622"/>
      <c r="D373" s="623" t="s">
        <v>180</v>
      </c>
      <c r="E373" s="624" t="s">
        <v>54</v>
      </c>
      <c r="F373" s="625" t="s">
        <v>177</v>
      </c>
      <c r="G373" s="626" t="s">
        <v>581</v>
      </c>
      <c r="H373" s="625" t="s">
        <v>44</v>
      </c>
      <c r="I373" s="627">
        <v>20.242625</v>
      </c>
    </row>
    <row r="374" spans="1:9" ht="13.5">
      <c r="A374" s="621">
        <v>104</v>
      </c>
      <c r="B374" s="153" t="s">
        <v>165</v>
      </c>
      <c r="C374" s="622"/>
      <c r="D374" s="623" t="s">
        <v>180</v>
      </c>
      <c r="E374" s="624" t="s">
        <v>54</v>
      </c>
      <c r="F374" s="625" t="s">
        <v>177</v>
      </c>
      <c r="G374" s="626" t="s">
        <v>582</v>
      </c>
      <c r="H374" s="625" t="s">
        <v>44</v>
      </c>
      <c r="I374" s="627">
        <v>11.87875</v>
      </c>
    </row>
    <row r="375" spans="1:9" ht="13.5">
      <c r="A375" s="621">
        <v>104</v>
      </c>
      <c r="B375" s="153" t="s">
        <v>165</v>
      </c>
      <c r="C375" s="622"/>
      <c r="D375" s="623" t="s">
        <v>180</v>
      </c>
      <c r="E375" s="624" t="s">
        <v>54</v>
      </c>
      <c r="F375" s="625" t="s">
        <v>583</v>
      </c>
      <c r="G375" s="626" t="s">
        <v>584</v>
      </c>
      <c r="H375" s="625" t="s">
        <v>176</v>
      </c>
      <c r="I375" s="627">
        <v>30.673500000000001</v>
      </c>
    </row>
    <row r="376" spans="1:9" ht="13.5">
      <c r="A376" s="621">
        <v>104</v>
      </c>
      <c r="B376" s="153" t="s">
        <v>165</v>
      </c>
      <c r="C376" s="622"/>
      <c r="D376" s="623" t="s">
        <v>180</v>
      </c>
      <c r="E376" s="624" t="s">
        <v>54</v>
      </c>
      <c r="F376" s="625" t="s">
        <v>178</v>
      </c>
      <c r="G376" s="626" t="s">
        <v>585</v>
      </c>
      <c r="H376" s="625" t="s">
        <v>176</v>
      </c>
      <c r="I376" s="627">
        <v>82.923749999999998</v>
      </c>
    </row>
    <row r="377" spans="1:9" ht="13.5">
      <c r="A377" s="621">
        <v>104</v>
      </c>
      <c r="B377" s="153" t="s">
        <v>165</v>
      </c>
      <c r="C377" s="622"/>
      <c r="D377" s="623" t="s">
        <v>180</v>
      </c>
      <c r="E377" s="624" t="s">
        <v>54</v>
      </c>
      <c r="F377" s="625" t="s">
        <v>586</v>
      </c>
      <c r="G377" s="626" t="s">
        <v>587</v>
      </c>
      <c r="H377" s="625" t="s">
        <v>19</v>
      </c>
      <c r="I377" s="627">
        <v>14.3</v>
      </c>
    </row>
    <row r="378" spans="1:9" ht="13.5">
      <c r="A378" s="621">
        <v>104</v>
      </c>
      <c r="B378" s="153" t="s">
        <v>165</v>
      </c>
      <c r="C378" s="622"/>
      <c r="D378" s="623" t="s">
        <v>180</v>
      </c>
      <c r="E378" s="624" t="s">
        <v>54</v>
      </c>
      <c r="F378" s="625" t="s">
        <v>588</v>
      </c>
      <c r="G378" s="626" t="s">
        <v>589</v>
      </c>
      <c r="H378" s="625" t="s">
        <v>19</v>
      </c>
      <c r="I378" s="627">
        <v>13</v>
      </c>
    </row>
    <row r="379" spans="1:9" ht="13.5">
      <c r="A379" s="621">
        <v>104</v>
      </c>
      <c r="B379" s="153" t="s">
        <v>165</v>
      </c>
      <c r="C379" s="622"/>
      <c r="D379" s="623" t="s">
        <v>180</v>
      </c>
      <c r="E379" s="624" t="s">
        <v>54</v>
      </c>
      <c r="F379" s="625" t="s">
        <v>590</v>
      </c>
      <c r="G379" s="626" t="s">
        <v>591</v>
      </c>
      <c r="H379" s="625" t="s">
        <v>19</v>
      </c>
      <c r="I379" s="627">
        <v>11.700000000000001</v>
      </c>
    </row>
    <row r="380" spans="1:9" ht="13.5">
      <c r="A380" s="621">
        <v>104</v>
      </c>
      <c r="B380" s="153" t="s">
        <v>165</v>
      </c>
      <c r="C380" s="622"/>
      <c r="D380" s="623" t="s">
        <v>180</v>
      </c>
      <c r="E380" s="624" t="s">
        <v>54</v>
      </c>
      <c r="F380" s="625" t="s">
        <v>592</v>
      </c>
      <c r="G380" s="626" t="s">
        <v>593</v>
      </c>
      <c r="H380" s="625" t="s">
        <v>176</v>
      </c>
      <c r="I380" s="627">
        <v>24.960000000000004</v>
      </c>
    </row>
    <row r="381" spans="1:9" ht="13.5">
      <c r="A381" s="621">
        <v>104</v>
      </c>
      <c r="B381" s="153" t="s">
        <v>165</v>
      </c>
      <c r="C381" s="622"/>
      <c r="D381" s="623" t="s">
        <v>180</v>
      </c>
      <c r="E381" s="624" t="s">
        <v>54</v>
      </c>
      <c r="F381" s="625" t="s">
        <v>594</v>
      </c>
      <c r="G381" s="626" t="s">
        <v>595</v>
      </c>
      <c r="H381" s="625" t="s">
        <v>19</v>
      </c>
      <c r="I381" s="627">
        <v>11.309999999999999</v>
      </c>
    </row>
    <row r="382" spans="1:9" ht="13.5">
      <c r="A382" s="621">
        <v>104</v>
      </c>
      <c r="B382" s="153" t="s">
        <v>165</v>
      </c>
      <c r="C382" s="622"/>
      <c r="D382" s="623" t="s">
        <v>180</v>
      </c>
      <c r="E382" s="624" t="s">
        <v>54</v>
      </c>
      <c r="F382" s="625" t="s">
        <v>439</v>
      </c>
      <c r="G382" s="626" t="s">
        <v>596</v>
      </c>
      <c r="H382" s="625" t="s">
        <v>176</v>
      </c>
      <c r="I382" s="627">
        <v>10.4</v>
      </c>
    </row>
    <row r="383" spans="1:9" ht="13.5">
      <c r="A383" s="621">
        <v>104</v>
      </c>
      <c r="B383" s="153" t="s">
        <v>165</v>
      </c>
      <c r="C383" s="622"/>
      <c r="D383" s="623" t="s">
        <v>180</v>
      </c>
      <c r="E383" s="624" t="s">
        <v>54</v>
      </c>
      <c r="F383" s="625" t="s">
        <v>597</v>
      </c>
      <c r="G383" s="626" t="s">
        <v>598</v>
      </c>
      <c r="H383" s="625" t="s">
        <v>19</v>
      </c>
      <c r="I383" s="627">
        <v>15.781999999999998</v>
      </c>
    </row>
    <row r="384" spans="1:9" ht="13.5">
      <c r="A384" s="621">
        <v>104</v>
      </c>
      <c r="B384" s="153" t="s">
        <v>165</v>
      </c>
      <c r="C384" s="622"/>
      <c r="D384" s="623" t="s">
        <v>180</v>
      </c>
      <c r="E384" s="624" t="s">
        <v>54</v>
      </c>
      <c r="F384" s="625" t="s">
        <v>461</v>
      </c>
      <c r="G384" s="626" t="s">
        <v>599</v>
      </c>
      <c r="H384" s="625" t="s">
        <v>176</v>
      </c>
      <c r="I384" s="627">
        <v>17.29</v>
      </c>
    </row>
    <row r="385" spans="1:9" ht="13.5">
      <c r="A385" s="621">
        <v>104</v>
      </c>
      <c r="B385" s="153" t="s">
        <v>165</v>
      </c>
      <c r="C385" s="622"/>
      <c r="D385" s="623" t="s">
        <v>180</v>
      </c>
      <c r="E385" s="624" t="s">
        <v>54</v>
      </c>
      <c r="F385" s="625" t="s">
        <v>461</v>
      </c>
      <c r="G385" s="626" t="s">
        <v>600</v>
      </c>
      <c r="H385" s="625" t="s">
        <v>19</v>
      </c>
      <c r="I385" s="627">
        <v>12.743250000000003</v>
      </c>
    </row>
    <row r="386" spans="1:9" ht="13.5">
      <c r="A386" s="621">
        <v>104</v>
      </c>
      <c r="B386" s="153" t="s">
        <v>165</v>
      </c>
      <c r="C386" s="622"/>
      <c r="D386" s="623" t="s">
        <v>180</v>
      </c>
      <c r="E386" s="624" t="s">
        <v>54</v>
      </c>
      <c r="F386" s="625" t="s">
        <v>168</v>
      </c>
      <c r="G386" s="626" t="s">
        <v>601</v>
      </c>
      <c r="H386" s="625" t="s">
        <v>607</v>
      </c>
      <c r="I386" s="627">
        <v>104.23400000000001</v>
      </c>
    </row>
    <row r="387" spans="1:9" ht="13.5">
      <c r="A387" s="621">
        <v>104</v>
      </c>
      <c r="B387" s="153" t="s">
        <v>165</v>
      </c>
      <c r="C387" s="622"/>
      <c r="D387" s="623" t="s">
        <v>180</v>
      </c>
      <c r="E387" s="624" t="s">
        <v>54</v>
      </c>
      <c r="F387" s="625" t="s">
        <v>168</v>
      </c>
      <c r="G387" s="626" t="s">
        <v>602</v>
      </c>
      <c r="H387" s="625" t="s">
        <v>607</v>
      </c>
      <c r="I387" s="627">
        <v>98.111000000000004</v>
      </c>
    </row>
    <row r="388" spans="1:9" ht="13.5">
      <c r="A388" s="621">
        <v>104</v>
      </c>
      <c r="B388" s="153" t="s">
        <v>165</v>
      </c>
      <c r="C388" s="622"/>
      <c r="D388" s="623" t="s">
        <v>180</v>
      </c>
      <c r="E388" s="624" t="s">
        <v>54</v>
      </c>
      <c r="F388" s="625" t="s">
        <v>488</v>
      </c>
      <c r="G388" s="626" t="s">
        <v>604</v>
      </c>
      <c r="H388" s="625" t="s">
        <v>19</v>
      </c>
      <c r="I388" s="627">
        <v>9.1</v>
      </c>
    </row>
    <row r="389" spans="1:9" ht="13.5">
      <c r="A389" s="621">
        <v>104</v>
      </c>
      <c r="B389" s="153" t="s">
        <v>165</v>
      </c>
      <c r="C389" s="622"/>
      <c r="D389" s="623" t="s">
        <v>180</v>
      </c>
      <c r="E389" s="624" t="s">
        <v>54</v>
      </c>
      <c r="F389" s="625" t="s">
        <v>488</v>
      </c>
      <c r="G389" s="626" t="s">
        <v>606</v>
      </c>
      <c r="H389" s="625" t="s">
        <v>19</v>
      </c>
      <c r="I389" s="627">
        <v>9.1</v>
      </c>
    </row>
    <row r="390" spans="1:9" ht="13.5">
      <c r="A390" s="621">
        <v>104</v>
      </c>
      <c r="B390" s="153" t="s">
        <v>165</v>
      </c>
      <c r="C390" s="622"/>
      <c r="D390" s="623" t="s">
        <v>180</v>
      </c>
      <c r="E390" s="624" t="s">
        <v>621</v>
      </c>
      <c r="F390" s="625" t="s">
        <v>622</v>
      </c>
      <c r="G390" s="626" t="s">
        <v>386</v>
      </c>
      <c r="H390" s="625" t="s">
        <v>298</v>
      </c>
      <c r="I390" s="627">
        <v>0</v>
      </c>
    </row>
    <row r="391" spans="1:9" ht="13.5">
      <c r="A391" s="621">
        <v>104</v>
      </c>
      <c r="B391" s="153" t="s">
        <v>165</v>
      </c>
      <c r="C391" s="622"/>
      <c r="D391" s="623" t="s">
        <v>180</v>
      </c>
      <c r="E391" s="624" t="s">
        <v>621</v>
      </c>
      <c r="F391" s="625" t="s">
        <v>623</v>
      </c>
      <c r="G391" s="626" t="s">
        <v>388</v>
      </c>
      <c r="H391" s="625" t="s">
        <v>298</v>
      </c>
      <c r="I391" s="627">
        <v>0</v>
      </c>
    </row>
    <row r="392" spans="1:9" ht="13.5">
      <c r="A392" s="621">
        <v>104</v>
      </c>
      <c r="B392" s="153" t="s">
        <v>165</v>
      </c>
      <c r="C392" s="622"/>
      <c r="D392" s="623" t="s">
        <v>180</v>
      </c>
      <c r="E392" s="624" t="s">
        <v>621</v>
      </c>
      <c r="F392" s="625" t="s">
        <v>627</v>
      </c>
      <c r="G392" s="626" t="s">
        <v>628</v>
      </c>
      <c r="H392" s="625" t="s">
        <v>19</v>
      </c>
      <c r="I392" s="627">
        <v>94</v>
      </c>
    </row>
    <row r="393" spans="1:9" ht="13.5">
      <c r="A393" s="621">
        <v>104</v>
      </c>
      <c r="B393" s="153" t="s">
        <v>165</v>
      </c>
      <c r="C393" s="622"/>
      <c r="D393" s="623" t="s">
        <v>180</v>
      </c>
      <c r="E393" s="624" t="s">
        <v>621</v>
      </c>
      <c r="F393" s="625" t="s">
        <v>627</v>
      </c>
      <c r="G393" s="626" t="s">
        <v>629</v>
      </c>
      <c r="H393" s="625" t="s">
        <v>19</v>
      </c>
      <c r="I393" s="627">
        <v>9</v>
      </c>
    </row>
    <row r="394" spans="1:9" ht="13.5">
      <c r="A394" s="621">
        <v>104</v>
      </c>
      <c r="B394" s="153" t="s">
        <v>165</v>
      </c>
      <c r="C394" s="622"/>
      <c r="D394" s="623" t="s">
        <v>180</v>
      </c>
      <c r="E394" s="624" t="s">
        <v>621</v>
      </c>
      <c r="F394" s="625" t="s">
        <v>630</v>
      </c>
      <c r="G394" s="626" t="s">
        <v>631</v>
      </c>
      <c r="H394" s="625" t="s">
        <v>19</v>
      </c>
      <c r="I394" s="627">
        <v>237</v>
      </c>
    </row>
    <row r="395" spans="1:9" ht="13.5">
      <c r="A395" s="621">
        <v>104</v>
      </c>
      <c r="B395" s="153" t="s">
        <v>165</v>
      </c>
      <c r="C395" s="622"/>
      <c r="D395" s="623" t="s">
        <v>180</v>
      </c>
      <c r="E395" s="624" t="s">
        <v>621</v>
      </c>
      <c r="F395" s="625" t="s">
        <v>627</v>
      </c>
      <c r="G395" s="626" t="s">
        <v>636</v>
      </c>
      <c r="H395" s="625" t="s">
        <v>19</v>
      </c>
      <c r="I395" s="627">
        <v>11</v>
      </c>
    </row>
    <row r="396" spans="1:9" ht="13.5">
      <c r="A396" s="621">
        <v>104</v>
      </c>
      <c r="B396" s="153" t="s">
        <v>165</v>
      </c>
      <c r="C396" s="622"/>
      <c r="D396" s="623" t="s">
        <v>180</v>
      </c>
      <c r="E396" s="624" t="s">
        <v>621</v>
      </c>
      <c r="F396" s="625" t="s">
        <v>627</v>
      </c>
      <c r="G396" s="626" t="s">
        <v>637</v>
      </c>
      <c r="H396" s="625" t="s">
        <v>19</v>
      </c>
      <c r="I396" s="627">
        <v>115</v>
      </c>
    </row>
    <row r="397" spans="1:9" ht="13.5">
      <c r="A397" s="621">
        <v>104</v>
      </c>
      <c r="B397" s="153" t="s">
        <v>165</v>
      </c>
      <c r="C397" s="622"/>
      <c r="D397" s="623" t="s">
        <v>180</v>
      </c>
      <c r="E397" s="624" t="s">
        <v>621</v>
      </c>
      <c r="F397" s="625" t="s">
        <v>627</v>
      </c>
      <c r="G397" s="626" t="s">
        <v>641</v>
      </c>
      <c r="H397" s="625" t="s">
        <v>19</v>
      </c>
      <c r="I397" s="627">
        <v>68.900000000000006</v>
      </c>
    </row>
    <row r="398" spans="1:9" ht="13.5">
      <c r="A398" s="621">
        <v>104</v>
      </c>
      <c r="B398" s="153" t="s">
        <v>165</v>
      </c>
      <c r="C398" s="622"/>
      <c r="D398" s="623" t="s">
        <v>180</v>
      </c>
      <c r="E398" s="624" t="s">
        <v>621</v>
      </c>
      <c r="F398" s="625" t="s">
        <v>627</v>
      </c>
      <c r="G398" s="626" t="s">
        <v>642</v>
      </c>
      <c r="H398" s="625" t="s">
        <v>19</v>
      </c>
      <c r="I398" s="627">
        <v>55.9</v>
      </c>
    </row>
    <row r="399" spans="1:9" ht="13.5">
      <c r="A399" s="621">
        <v>104</v>
      </c>
      <c r="B399" s="153" t="s">
        <v>165</v>
      </c>
      <c r="C399" s="622"/>
      <c r="D399" s="623" t="s">
        <v>180</v>
      </c>
      <c r="E399" s="624" t="s">
        <v>621</v>
      </c>
      <c r="F399" s="625" t="s">
        <v>177</v>
      </c>
      <c r="G399" s="626" t="s">
        <v>643</v>
      </c>
      <c r="H399" s="625" t="s">
        <v>19</v>
      </c>
      <c r="I399" s="627">
        <v>0</v>
      </c>
    </row>
    <row r="400" spans="1:9" ht="13.5">
      <c r="A400" s="621">
        <v>104</v>
      </c>
      <c r="B400" s="153" t="s">
        <v>165</v>
      </c>
      <c r="C400" s="622"/>
      <c r="D400" s="623" t="s">
        <v>180</v>
      </c>
      <c r="E400" s="624" t="s">
        <v>621</v>
      </c>
      <c r="F400" s="625" t="s">
        <v>644</v>
      </c>
      <c r="G400" s="626" t="s">
        <v>645</v>
      </c>
      <c r="H400" s="625" t="s">
        <v>19</v>
      </c>
      <c r="I400" s="627">
        <v>63</v>
      </c>
    </row>
    <row r="401" spans="1:9" ht="13.5">
      <c r="A401" s="621">
        <v>104</v>
      </c>
      <c r="B401" s="153" t="s">
        <v>165</v>
      </c>
      <c r="C401" s="622"/>
      <c r="D401" s="623" t="s">
        <v>180</v>
      </c>
      <c r="E401" s="624" t="s">
        <v>621</v>
      </c>
      <c r="F401" s="625" t="s">
        <v>597</v>
      </c>
      <c r="G401" s="626" t="s">
        <v>646</v>
      </c>
      <c r="H401" s="625" t="s">
        <v>44</v>
      </c>
      <c r="I401" s="627">
        <v>0</v>
      </c>
    </row>
    <row r="402" spans="1:9" ht="13.5">
      <c r="A402" s="621">
        <v>104</v>
      </c>
      <c r="B402" s="153" t="s">
        <v>165</v>
      </c>
      <c r="C402" s="622"/>
      <c r="D402" s="623" t="s">
        <v>180</v>
      </c>
      <c r="E402" s="624" t="s">
        <v>621</v>
      </c>
      <c r="F402" s="625" t="s">
        <v>647</v>
      </c>
      <c r="G402" s="626" t="s">
        <v>648</v>
      </c>
      <c r="H402" s="625" t="s">
        <v>19</v>
      </c>
      <c r="I402" s="627">
        <v>7</v>
      </c>
    </row>
    <row r="403" spans="1:9" ht="13.5">
      <c r="A403" s="621">
        <v>104</v>
      </c>
      <c r="B403" s="153" t="s">
        <v>165</v>
      </c>
      <c r="C403" s="622"/>
      <c r="D403" s="623" t="s">
        <v>180</v>
      </c>
      <c r="E403" s="624" t="s">
        <v>621</v>
      </c>
      <c r="F403" s="625" t="s">
        <v>461</v>
      </c>
      <c r="G403" s="626" t="s">
        <v>649</v>
      </c>
      <c r="H403" s="625" t="s">
        <v>19</v>
      </c>
      <c r="I403" s="627">
        <v>0</v>
      </c>
    </row>
    <row r="404" spans="1:9" ht="13.5">
      <c r="A404" s="621">
        <v>104</v>
      </c>
      <c r="B404" s="153" t="s">
        <v>165</v>
      </c>
      <c r="C404" s="622"/>
      <c r="D404" s="623" t="s">
        <v>180</v>
      </c>
      <c r="E404" s="624" t="s">
        <v>621</v>
      </c>
      <c r="F404" s="625" t="s">
        <v>650</v>
      </c>
      <c r="G404" s="626" t="s">
        <v>651</v>
      </c>
      <c r="H404" s="625" t="s">
        <v>19</v>
      </c>
      <c r="I404" s="627">
        <v>72.8</v>
      </c>
    </row>
    <row r="405" spans="1:9" ht="13.5">
      <c r="A405" s="621">
        <v>104</v>
      </c>
      <c r="B405" s="153" t="s">
        <v>165</v>
      </c>
      <c r="C405" s="622"/>
      <c r="D405" s="623" t="s">
        <v>180</v>
      </c>
      <c r="E405" s="624" t="s">
        <v>621</v>
      </c>
      <c r="F405" s="625" t="s">
        <v>650</v>
      </c>
      <c r="G405" s="626" t="s">
        <v>652</v>
      </c>
      <c r="H405" s="625" t="s">
        <v>19</v>
      </c>
      <c r="I405" s="627">
        <v>115.7</v>
      </c>
    </row>
    <row r="406" spans="1:9" ht="13.5">
      <c r="A406" s="621">
        <v>104</v>
      </c>
      <c r="B406" s="153" t="s">
        <v>165</v>
      </c>
      <c r="C406" s="622"/>
      <c r="D406" s="623" t="s">
        <v>180</v>
      </c>
      <c r="E406" s="624" t="s">
        <v>621</v>
      </c>
      <c r="F406" s="625" t="s">
        <v>650</v>
      </c>
      <c r="G406" s="626" t="s">
        <v>653</v>
      </c>
      <c r="H406" s="625" t="s">
        <v>19</v>
      </c>
      <c r="I406" s="627">
        <v>0</v>
      </c>
    </row>
    <row r="407" spans="1:9" ht="13.5">
      <c r="A407" s="621">
        <v>104</v>
      </c>
      <c r="B407" s="153" t="s">
        <v>165</v>
      </c>
      <c r="C407" s="622"/>
      <c r="D407" s="623" t="s">
        <v>180</v>
      </c>
      <c r="E407" s="624" t="s">
        <v>621</v>
      </c>
      <c r="F407" s="625" t="s">
        <v>650</v>
      </c>
      <c r="G407" s="626" t="s">
        <v>654</v>
      </c>
      <c r="H407" s="625" t="s">
        <v>19</v>
      </c>
      <c r="I407" s="627">
        <v>0</v>
      </c>
    </row>
    <row r="408" spans="1:9" ht="13.5">
      <c r="A408" s="621">
        <v>104</v>
      </c>
      <c r="B408" s="153" t="s">
        <v>165</v>
      </c>
      <c r="C408" s="622"/>
      <c r="D408" s="623" t="s">
        <v>180</v>
      </c>
      <c r="E408" s="624" t="s">
        <v>621</v>
      </c>
      <c r="F408" s="625" t="s">
        <v>650</v>
      </c>
      <c r="G408" s="626" t="s">
        <v>655</v>
      </c>
      <c r="H408" s="625" t="s">
        <v>19</v>
      </c>
      <c r="I408" s="627">
        <v>105.3</v>
      </c>
    </row>
    <row r="409" spans="1:9" ht="13.5">
      <c r="A409" s="621">
        <v>104</v>
      </c>
      <c r="B409" s="153" t="s">
        <v>165</v>
      </c>
      <c r="C409" s="622"/>
      <c r="D409" s="623" t="s">
        <v>180</v>
      </c>
      <c r="E409" s="624" t="s">
        <v>621</v>
      </c>
      <c r="F409" s="625" t="s">
        <v>650</v>
      </c>
      <c r="G409" s="626" t="s">
        <v>656</v>
      </c>
      <c r="H409" s="625" t="s">
        <v>19</v>
      </c>
      <c r="I409" s="627">
        <v>0</v>
      </c>
    </row>
    <row r="410" spans="1:9" ht="13.5">
      <c r="A410" s="621">
        <v>104</v>
      </c>
      <c r="B410" s="153" t="s">
        <v>165</v>
      </c>
      <c r="C410" s="622"/>
      <c r="D410" s="623" t="s">
        <v>180</v>
      </c>
      <c r="E410" s="624" t="s">
        <v>621</v>
      </c>
      <c r="F410" s="625" t="s">
        <v>168</v>
      </c>
      <c r="G410" s="626" t="s">
        <v>657</v>
      </c>
      <c r="H410" s="625" t="s">
        <v>44</v>
      </c>
      <c r="I410" s="627">
        <v>0</v>
      </c>
    </row>
    <row r="411" spans="1:9" ht="13.5">
      <c r="A411" s="621">
        <v>104</v>
      </c>
      <c r="B411" s="153" t="s">
        <v>165</v>
      </c>
      <c r="C411" s="622"/>
      <c r="D411" s="623" t="s">
        <v>180</v>
      </c>
      <c r="E411" s="624" t="s">
        <v>621</v>
      </c>
      <c r="F411" s="625" t="s">
        <v>168</v>
      </c>
      <c r="G411" s="626" t="s">
        <v>658</v>
      </c>
      <c r="H411" s="625" t="s">
        <v>44</v>
      </c>
      <c r="I411" s="627">
        <v>0</v>
      </c>
    </row>
    <row r="412" spans="1:9" ht="13.5">
      <c r="A412" s="621">
        <v>104</v>
      </c>
      <c r="B412" s="153" t="s">
        <v>165</v>
      </c>
      <c r="C412" s="622"/>
      <c r="D412" s="623" t="s">
        <v>180</v>
      </c>
      <c r="E412" s="624" t="s">
        <v>621</v>
      </c>
      <c r="F412" s="625" t="s">
        <v>659</v>
      </c>
      <c r="G412" s="626" t="s">
        <v>660</v>
      </c>
      <c r="H412" s="625" t="s">
        <v>19</v>
      </c>
      <c r="I412" s="627">
        <v>11.544000000000002</v>
      </c>
    </row>
    <row r="413" spans="1:9" ht="13.5">
      <c r="A413" s="621">
        <v>104</v>
      </c>
      <c r="B413" s="153" t="s">
        <v>165</v>
      </c>
      <c r="C413" s="622"/>
      <c r="D413" s="623" t="s">
        <v>180</v>
      </c>
      <c r="E413" s="624" t="s">
        <v>621</v>
      </c>
      <c r="F413" s="625" t="s">
        <v>659</v>
      </c>
      <c r="G413" s="626" t="s">
        <v>661</v>
      </c>
      <c r="H413" s="625" t="s">
        <v>19</v>
      </c>
      <c r="I413" s="627">
        <v>9.84</v>
      </c>
    </row>
    <row r="414" spans="1:9" ht="13.5">
      <c r="A414" s="621">
        <v>104</v>
      </c>
      <c r="B414" s="153" t="s">
        <v>165</v>
      </c>
      <c r="C414" s="622"/>
      <c r="D414" s="623" t="s">
        <v>180</v>
      </c>
      <c r="E414" s="624" t="s">
        <v>621</v>
      </c>
      <c r="F414" s="625" t="s">
        <v>488</v>
      </c>
      <c r="G414" s="626" t="s">
        <v>662</v>
      </c>
      <c r="H414" s="625" t="s">
        <v>19</v>
      </c>
      <c r="I414" s="627">
        <v>0</v>
      </c>
    </row>
    <row r="415" spans="1:9" ht="13.5">
      <c r="A415" s="621">
        <v>104</v>
      </c>
      <c r="B415" s="153" t="s">
        <v>165</v>
      </c>
      <c r="C415" s="622"/>
      <c r="D415" s="623" t="s">
        <v>180</v>
      </c>
      <c r="E415" s="624" t="s">
        <v>621</v>
      </c>
      <c r="F415" s="625" t="s">
        <v>488</v>
      </c>
      <c r="G415" s="626" t="s">
        <v>663</v>
      </c>
      <c r="H415" s="625" t="s">
        <v>19</v>
      </c>
      <c r="I415" s="627">
        <v>317</v>
      </c>
    </row>
    <row r="416" spans="1:9" ht="13.5">
      <c r="A416" s="621">
        <v>104</v>
      </c>
      <c r="B416" s="153" t="s">
        <v>165</v>
      </c>
      <c r="C416" s="622"/>
      <c r="D416" s="623" t="s">
        <v>180</v>
      </c>
      <c r="E416" s="624" t="s">
        <v>621</v>
      </c>
      <c r="F416" s="625" t="s">
        <v>488</v>
      </c>
      <c r="G416" s="626" t="s">
        <v>664</v>
      </c>
      <c r="H416" s="625" t="s">
        <v>19</v>
      </c>
      <c r="I416" s="627">
        <v>309</v>
      </c>
    </row>
    <row r="417" spans="1:9" ht="13.5">
      <c r="A417" s="621">
        <v>104</v>
      </c>
      <c r="B417" s="153" t="s">
        <v>165</v>
      </c>
      <c r="C417" s="622"/>
      <c r="D417" s="623" t="s">
        <v>180</v>
      </c>
      <c r="E417" s="624" t="s">
        <v>621</v>
      </c>
      <c r="F417" s="625" t="s">
        <v>488</v>
      </c>
      <c r="G417" s="626" t="s">
        <v>665</v>
      </c>
      <c r="H417" s="625" t="s">
        <v>19</v>
      </c>
      <c r="I417" s="627">
        <v>12.24</v>
      </c>
    </row>
    <row r="418" spans="1:9" ht="13.5">
      <c r="A418" s="621">
        <v>104</v>
      </c>
      <c r="B418" s="153" t="s">
        <v>165</v>
      </c>
      <c r="C418" s="622"/>
      <c r="D418" s="623" t="s">
        <v>180</v>
      </c>
      <c r="E418" s="624" t="s">
        <v>621</v>
      </c>
      <c r="F418" s="625" t="s">
        <v>488</v>
      </c>
      <c r="G418" s="626" t="s">
        <v>666</v>
      </c>
      <c r="H418" s="625" t="s">
        <v>19</v>
      </c>
      <c r="I418" s="627">
        <v>7</v>
      </c>
    </row>
    <row r="419" spans="1:9" ht="13.5">
      <c r="A419" s="621">
        <v>104</v>
      </c>
      <c r="B419" s="153" t="s">
        <v>165</v>
      </c>
      <c r="C419" s="622"/>
      <c r="D419" s="623" t="s">
        <v>180</v>
      </c>
      <c r="E419" s="624" t="s">
        <v>621</v>
      </c>
      <c r="F419" s="625" t="s">
        <v>488</v>
      </c>
      <c r="G419" s="626" t="s">
        <v>667</v>
      </c>
      <c r="H419" s="625" t="s">
        <v>19</v>
      </c>
      <c r="I419" s="627">
        <v>7</v>
      </c>
    </row>
    <row r="420" spans="1:9" ht="13.5">
      <c r="A420" s="621">
        <v>104</v>
      </c>
      <c r="B420" s="153" t="s">
        <v>165</v>
      </c>
      <c r="C420" s="622"/>
      <c r="D420" s="623" t="s">
        <v>180</v>
      </c>
      <c r="E420" s="624" t="s">
        <v>672</v>
      </c>
      <c r="F420" s="625" t="s">
        <v>597</v>
      </c>
      <c r="G420" s="626" t="s">
        <v>680</v>
      </c>
      <c r="H420" s="625" t="s">
        <v>44</v>
      </c>
      <c r="I420" s="627">
        <v>33.15</v>
      </c>
    </row>
    <row r="421" spans="1:9" ht="13.5">
      <c r="A421" s="621">
        <v>104</v>
      </c>
      <c r="B421" s="153" t="s">
        <v>165</v>
      </c>
      <c r="C421" s="622"/>
      <c r="D421" s="623" t="s">
        <v>180</v>
      </c>
      <c r="E421" s="624" t="s">
        <v>672</v>
      </c>
      <c r="F421" s="625" t="s">
        <v>597</v>
      </c>
      <c r="G421" s="626" t="s">
        <v>681</v>
      </c>
      <c r="H421" s="625" t="s">
        <v>44</v>
      </c>
      <c r="I421" s="627">
        <v>20.8</v>
      </c>
    </row>
    <row r="422" spans="1:9" ht="13.5">
      <c r="A422" s="621">
        <v>104</v>
      </c>
      <c r="B422" s="153" t="s">
        <v>165</v>
      </c>
      <c r="C422" s="622"/>
      <c r="D422" s="623" t="s">
        <v>180</v>
      </c>
      <c r="E422" s="624" t="s">
        <v>672</v>
      </c>
      <c r="F422" s="625" t="s">
        <v>333</v>
      </c>
      <c r="G422" s="626" t="s">
        <v>682</v>
      </c>
      <c r="H422" s="625" t="s">
        <v>44</v>
      </c>
      <c r="I422" s="627">
        <v>347.1</v>
      </c>
    </row>
    <row r="423" spans="1:9" ht="13.5">
      <c r="A423" s="621">
        <v>104</v>
      </c>
      <c r="B423" s="153" t="s">
        <v>165</v>
      </c>
      <c r="C423" s="622"/>
      <c r="D423" s="623" t="s">
        <v>180</v>
      </c>
      <c r="E423" s="624" t="s">
        <v>672</v>
      </c>
      <c r="F423" s="625" t="s">
        <v>333</v>
      </c>
      <c r="G423" s="626" t="s">
        <v>683</v>
      </c>
      <c r="H423" s="625" t="s">
        <v>44</v>
      </c>
      <c r="I423" s="627">
        <v>7.8000000000000007</v>
      </c>
    </row>
    <row r="424" spans="1:9" ht="13.5">
      <c r="A424" s="621">
        <v>104</v>
      </c>
      <c r="B424" s="153" t="s">
        <v>165</v>
      </c>
      <c r="C424" s="622"/>
      <c r="D424" s="623" t="s">
        <v>180</v>
      </c>
      <c r="E424" s="624" t="s">
        <v>672</v>
      </c>
      <c r="F424" s="625" t="s">
        <v>331</v>
      </c>
      <c r="G424" s="626" t="s">
        <v>684</v>
      </c>
      <c r="H424" s="625" t="s">
        <v>44</v>
      </c>
      <c r="I424" s="627">
        <v>16.900000000000002</v>
      </c>
    </row>
    <row r="425" spans="1:9" ht="13.5">
      <c r="A425" s="621">
        <v>104</v>
      </c>
      <c r="B425" s="153" t="s">
        <v>165</v>
      </c>
      <c r="C425" s="622"/>
      <c r="D425" s="623" t="s">
        <v>180</v>
      </c>
      <c r="E425" s="624" t="s">
        <v>672</v>
      </c>
      <c r="F425" s="625" t="s">
        <v>333</v>
      </c>
      <c r="G425" s="626" t="s">
        <v>685</v>
      </c>
      <c r="H425" s="625" t="s">
        <v>44</v>
      </c>
      <c r="I425" s="627">
        <v>16.900000000000002</v>
      </c>
    </row>
    <row r="426" spans="1:9" ht="13.5">
      <c r="A426" s="621">
        <v>104</v>
      </c>
      <c r="B426" s="153" t="s">
        <v>165</v>
      </c>
      <c r="C426" s="622"/>
      <c r="D426" s="623" t="s">
        <v>180</v>
      </c>
      <c r="E426" s="624" t="s">
        <v>672</v>
      </c>
      <c r="F426" s="625" t="s">
        <v>331</v>
      </c>
      <c r="G426" s="626" t="s">
        <v>686</v>
      </c>
      <c r="H426" s="625" t="s">
        <v>44</v>
      </c>
      <c r="I426" s="627">
        <v>41.6</v>
      </c>
    </row>
    <row r="427" spans="1:9" ht="13.5">
      <c r="A427" s="621">
        <v>104</v>
      </c>
      <c r="B427" s="153" t="s">
        <v>165</v>
      </c>
      <c r="C427" s="622"/>
      <c r="D427" s="623" t="s">
        <v>180</v>
      </c>
      <c r="E427" s="624" t="s">
        <v>672</v>
      </c>
      <c r="F427" s="625" t="s">
        <v>333</v>
      </c>
      <c r="G427" s="626" t="s">
        <v>687</v>
      </c>
      <c r="H427" s="625" t="s">
        <v>44</v>
      </c>
      <c r="I427" s="627">
        <v>13</v>
      </c>
    </row>
    <row r="428" spans="1:9" ht="13.5">
      <c r="A428" s="621">
        <v>104</v>
      </c>
      <c r="B428" s="153" t="s">
        <v>165</v>
      </c>
      <c r="C428" s="622"/>
      <c r="D428" s="623" t="s">
        <v>180</v>
      </c>
      <c r="E428" s="624" t="s">
        <v>672</v>
      </c>
      <c r="F428" s="625" t="s">
        <v>123</v>
      </c>
      <c r="G428" s="626" t="s">
        <v>688</v>
      </c>
      <c r="H428" s="625" t="s">
        <v>44</v>
      </c>
      <c r="I428" s="627">
        <v>20.124000000000002</v>
      </c>
    </row>
    <row r="429" spans="1:9" ht="13.5">
      <c r="A429" s="621">
        <v>104</v>
      </c>
      <c r="B429" s="153" t="s">
        <v>165</v>
      </c>
      <c r="C429" s="622"/>
      <c r="D429" s="623" t="s">
        <v>180</v>
      </c>
      <c r="E429" s="624" t="s">
        <v>672</v>
      </c>
      <c r="F429" s="625" t="s">
        <v>123</v>
      </c>
      <c r="G429" s="626" t="s">
        <v>689</v>
      </c>
      <c r="H429" s="625" t="s">
        <v>44</v>
      </c>
      <c r="I429" s="627">
        <v>20.124000000000002</v>
      </c>
    </row>
    <row r="430" spans="1:9" ht="13.5">
      <c r="A430" s="621">
        <v>104</v>
      </c>
      <c r="B430" s="153" t="s">
        <v>165</v>
      </c>
      <c r="C430" s="622"/>
      <c r="D430" s="623" t="s">
        <v>180</v>
      </c>
      <c r="E430" s="624" t="s">
        <v>672</v>
      </c>
      <c r="F430" s="625" t="s">
        <v>488</v>
      </c>
      <c r="G430" s="626" t="s">
        <v>690</v>
      </c>
      <c r="H430" s="625" t="s">
        <v>19</v>
      </c>
      <c r="I430" s="627">
        <v>23.400000000000002</v>
      </c>
    </row>
    <row r="431" spans="1:9" ht="13.5">
      <c r="A431" s="621">
        <v>104</v>
      </c>
      <c r="B431" s="153" t="s">
        <v>165</v>
      </c>
      <c r="C431" s="622"/>
      <c r="D431" s="623" t="s">
        <v>180</v>
      </c>
      <c r="E431" s="624" t="s">
        <v>672</v>
      </c>
      <c r="F431" s="625" t="s">
        <v>488</v>
      </c>
      <c r="G431" s="626" t="s">
        <v>691</v>
      </c>
      <c r="H431" s="625" t="s">
        <v>44</v>
      </c>
      <c r="I431" s="627">
        <v>77.519000000000005</v>
      </c>
    </row>
    <row r="432" spans="1:9" ht="13.5">
      <c r="A432" s="621">
        <v>104</v>
      </c>
      <c r="B432" s="153" t="s">
        <v>165</v>
      </c>
      <c r="C432" s="622"/>
      <c r="D432" s="623" t="s">
        <v>180</v>
      </c>
      <c r="E432" s="624" t="s">
        <v>672</v>
      </c>
      <c r="F432" s="625" t="s">
        <v>488</v>
      </c>
      <c r="G432" s="626" t="s">
        <v>692</v>
      </c>
      <c r="H432" s="625" t="s">
        <v>19</v>
      </c>
      <c r="I432" s="627">
        <v>77.519000000000005</v>
      </c>
    </row>
    <row r="433" spans="1:9" ht="13.5">
      <c r="A433" s="621">
        <v>104</v>
      </c>
      <c r="B433" s="153" t="s">
        <v>165</v>
      </c>
      <c r="C433" s="622"/>
      <c r="D433" s="623" t="s">
        <v>180</v>
      </c>
      <c r="E433" s="624" t="s">
        <v>672</v>
      </c>
      <c r="F433" s="625" t="s">
        <v>488</v>
      </c>
      <c r="G433" s="626" t="s">
        <v>693</v>
      </c>
      <c r="H433" s="625" t="s">
        <v>19</v>
      </c>
      <c r="I433" s="627">
        <v>53.196000000000005</v>
      </c>
    </row>
    <row r="434" spans="1:9" ht="13.5">
      <c r="A434" s="621">
        <v>104</v>
      </c>
      <c r="B434" s="153" t="s">
        <v>165</v>
      </c>
      <c r="C434" s="622"/>
      <c r="D434" s="623" t="s">
        <v>180</v>
      </c>
      <c r="E434" s="624" t="s">
        <v>672</v>
      </c>
      <c r="F434" s="625" t="s">
        <v>488</v>
      </c>
      <c r="G434" s="626" t="s">
        <v>694</v>
      </c>
      <c r="H434" s="625" t="s">
        <v>19</v>
      </c>
      <c r="I434" s="627">
        <v>0</v>
      </c>
    </row>
    <row r="435" spans="1:9" ht="13.5">
      <c r="A435" s="621">
        <v>104</v>
      </c>
      <c r="B435" s="153" t="s">
        <v>165</v>
      </c>
      <c r="C435" s="622"/>
      <c r="D435" s="623" t="s">
        <v>180</v>
      </c>
      <c r="E435" s="624" t="s">
        <v>672</v>
      </c>
      <c r="F435" s="625" t="s">
        <v>488</v>
      </c>
      <c r="G435" s="626" t="s">
        <v>695</v>
      </c>
      <c r="H435" s="625" t="s">
        <v>19</v>
      </c>
      <c r="I435" s="627">
        <v>0</v>
      </c>
    </row>
    <row r="436" spans="1:9" ht="13.5">
      <c r="A436" s="621">
        <v>104</v>
      </c>
      <c r="B436" s="153" t="s">
        <v>165</v>
      </c>
      <c r="C436" s="622"/>
      <c r="D436" s="623" t="s">
        <v>180</v>
      </c>
      <c r="E436" s="624" t="s">
        <v>672</v>
      </c>
      <c r="F436" s="625" t="s">
        <v>488</v>
      </c>
      <c r="G436" s="626" t="s">
        <v>696</v>
      </c>
      <c r="H436" s="625" t="s">
        <v>19</v>
      </c>
      <c r="I436" s="627">
        <v>0</v>
      </c>
    </row>
    <row r="437" spans="1:9" ht="13.5">
      <c r="A437" s="621">
        <v>104</v>
      </c>
      <c r="B437" s="153" t="s">
        <v>165</v>
      </c>
      <c r="C437" s="622"/>
      <c r="D437" s="623" t="s">
        <v>180</v>
      </c>
      <c r="E437" s="624" t="s">
        <v>672</v>
      </c>
      <c r="F437" s="625" t="s">
        <v>488</v>
      </c>
      <c r="G437" s="626" t="s">
        <v>697</v>
      </c>
      <c r="H437" s="625" t="s">
        <v>19</v>
      </c>
      <c r="I437" s="627">
        <v>0</v>
      </c>
    </row>
    <row r="438" spans="1:9" ht="13.5">
      <c r="A438" s="621">
        <v>104</v>
      </c>
      <c r="B438" s="153" t="s">
        <v>165</v>
      </c>
      <c r="C438" s="622"/>
      <c r="D438" s="623" t="s">
        <v>180</v>
      </c>
      <c r="E438" s="624" t="s">
        <v>672</v>
      </c>
      <c r="F438" s="625" t="s">
        <v>488</v>
      </c>
      <c r="G438" s="626" t="s">
        <v>698</v>
      </c>
      <c r="H438" s="625" t="s">
        <v>19</v>
      </c>
      <c r="I438" s="627">
        <v>0</v>
      </c>
    </row>
    <row r="439" spans="1:9" ht="13.5">
      <c r="A439" s="621">
        <v>104</v>
      </c>
      <c r="B439" s="153" t="s">
        <v>165</v>
      </c>
      <c r="C439" s="622"/>
      <c r="D439" s="623" t="s">
        <v>180</v>
      </c>
      <c r="E439" s="624" t="s">
        <v>672</v>
      </c>
      <c r="F439" s="625" t="s">
        <v>488</v>
      </c>
      <c r="G439" s="626" t="s">
        <v>699</v>
      </c>
      <c r="H439" s="625" t="s">
        <v>19</v>
      </c>
      <c r="I439" s="627">
        <v>0</v>
      </c>
    </row>
    <row r="440" spans="1:9" ht="13.5">
      <c r="A440" s="621">
        <v>104</v>
      </c>
      <c r="B440" s="153" t="s">
        <v>165</v>
      </c>
      <c r="C440" s="622"/>
      <c r="D440" s="623" t="s">
        <v>180</v>
      </c>
      <c r="E440" s="624" t="s">
        <v>672</v>
      </c>
      <c r="F440" s="625" t="s">
        <v>488</v>
      </c>
      <c r="G440" s="626" t="s">
        <v>700</v>
      </c>
      <c r="H440" s="625" t="s">
        <v>19</v>
      </c>
      <c r="I440" s="627">
        <v>1248</v>
      </c>
    </row>
    <row r="441" spans="1:9" ht="13.5">
      <c r="A441" s="621">
        <v>104</v>
      </c>
      <c r="B441" s="153" t="s">
        <v>165</v>
      </c>
      <c r="C441" s="622"/>
      <c r="D441" s="623" t="s">
        <v>180</v>
      </c>
      <c r="E441" s="624" t="s">
        <v>672</v>
      </c>
      <c r="F441" s="625" t="s">
        <v>488</v>
      </c>
      <c r="G441" s="626" t="s">
        <v>701</v>
      </c>
      <c r="H441" s="625" t="s">
        <v>19</v>
      </c>
      <c r="I441" s="627">
        <v>0</v>
      </c>
    </row>
    <row r="442" spans="1:9" ht="13.5">
      <c r="A442" s="621">
        <v>104</v>
      </c>
      <c r="B442" s="153" t="s">
        <v>165</v>
      </c>
      <c r="C442" s="622"/>
      <c r="D442" s="623" t="s">
        <v>180</v>
      </c>
      <c r="E442" s="624" t="s">
        <v>672</v>
      </c>
      <c r="F442" s="625" t="s">
        <v>488</v>
      </c>
      <c r="G442" s="626" t="s">
        <v>702</v>
      </c>
      <c r="H442" s="625" t="s">
        <v>19</v>
      </c>
      <c r="I442" s="627">
        <v>0</v>
      </c>
    </row>
    <row r="443" spans="1:9" ht="13.5">
      <c r="A443" s="621">
        <v>104</v>
      </c>
      <c r="B443" s="153" t="s">
        <v>165</v>
      </c>
      <c r="C443" s="622"/>
      <c r="D443" s="623" t="s">
        <v>180</v>
      </c>
      <c r="E443" s="624" t="s">
        <v>672</v>
      </c>
      <c r="F443" s="625" t="s">
        <v>488</v>
      </c>
      <c r="G443" s="626" t="s">
        <v>703</v>
      </c>
      <c r="H443" s="625" t="s">
        <v>19</v>
      </c>
      <c r="I443" s="627">
        <v>0</v>
      </c>
    </row>
    <row r="444" spans="1:9" ht="13.5">
      <c r="A444" s="621">
        <v>104</v>
      </c>
      <c r="B444" s="153" t="s">
        <v>165</v>
      </c>
      <c r="C444" s="622"/>
      <c r="D444" s="623" t="s">
        <v>180</v>
      </c>
      <c r="E444" s="624" t="s">
        <v>672</v>
      </c>
      <c r="F444" s="625" t="s">
        <v>488</v>
      </c>
      <c r="G444" s="626" t="s">
        <v>704</v>
      </c>
      <c r="H444" s="625" t="s">
        <v>19</v>
      </c>
      <c r="I444" s="627">
        <v>0</v>
      </c>
    </row>
    <row r="445" spans="1:9" ht="13.5">
      <c r="A445" s="621">
        <v>104</v>
      </c>
      <c r="B445" s="153" t="s">
        <v>165</v>
      </c>
      <c r="C445" s="622"/>
      <c r="D445" s="623" t="s">
        <v>180</v>
      </c>
      <c r="E445" s="624" t="s">
        <v>672</v>
      </c>
      <c r="F445" s="625" t="s">
        <v>488</v>
      </c>
      <c r="G445" s="626" t="s">
        <v>705</v>
      </c>
      <c r="H445" s="625" t="s">
        <v>19</v>
      </c>
      <c r="I445" s="627">
        <v>0</v>
      </c>
    </row>
    <row r="446" spans="1:9" ht="13.5">
      <c r="A446" s="621">
        <v>104</v>
      </c>
      <c r="B446" s="153" t="s">
        <v>165</v>
      </c>
      <c r="C446" s="622"/>
      <c r="D446" s="623" t="s">
        <v>180</v>
      </c>
      <c r="E446" s="624" t="s">
        <v>672</v>
      </c>
      <c r="F446" s="625" t="s">
        <v>488</v>
      </c>
      <c r="G446" s="626" t="s">
        <v>706</v>
      </c>
      <c r="H446" s="625" t="s">
        <v>19</v>
      </c>
      <c r="I446" s="627">
        <v>0</v>
      </c>
    </row>
    <row r="447" spans="1:9" ht="13.5">
      <c r="A447" s="621">
        <v>104</v>
      </c>
      <c r="B447" s="153" t="s">
        <v>165</v>
      </c>
      <c r="C447" s="622"/>
      <c r="D447" s="623" t="s">
        <v>180</v>
      </c>
      <c r="E447" s="624" t="s">
        <v>672</v>
      </c>
      <c r="F447" s="625" t="s">
        <v>488</v>
      </c>
      <c r="G447" s="626" t="s">
        <v>707</v>
      </c>
      <c r="H447" s="625" t="s">
        <v>19</v>
      </c>
      <c r="I447" s="627">
        <v>0</v>
      </c>
    </row>
    <row r="448" spans="1:9" ht="13.5">
      <c r="A448" s="621">
        <v>104</v>
      </c>
      <c r="B448" s="153" t="s">
        <v>165</v>
      </c>
      <c r="C448" s="622"/>
      <c r="D448" s="623" t="s">
        <v>180</v>
      </c>
      <c r="E448" s="624" t="s">
        <v>672</v>
      </c>
      <c r="F448" s="625" t="s">
        <v>488</v>
      </c>
      <c r="G448" s="626" t="s">
        <v>708</v>
      </c>
      <c r="H448" s="625" t="s">
        <v>19</v>
      </c>
      <c r="I448" s="627">
        <v>57.2</v>
      </c>
    </row>
    <row r="449" spans="1:9" ht="13.5">
      <c r="A449" s="621">
        <v>104</v>
      </c>
      <c r="B449" s="153" t="s">
        <v>165</v>
      </c>
      <c r="C449" s="622"/>
      <c r="D449" s="623" t="s">
        <v>180</v>
      </c>
      <c r="E449" s="624" t="s">
        <v>672</v>
      </c>
      <c r="F449" s="625" t="s">
        <v>488</v>
      </c>
      <c r="G449" s="626" t="s">
        <v>709</v>
      </c>
      <c r="H449" s="625" t="s">
        <v>19</v>
      </c>
      <c r="I449" s="627">
        <v>58.5</v>
      </c>
    </row>
    <row r="450" spans="1:9" ht="13.5">
      <c r="A450" s="621">
        <v>104</v>
      </c>
      <c r="B450" s="153" t="s">
        <v>165</v>
      </c>
      <c r="C450" s="622"/>
      <c r="D450" s="623" t="s">
        <v>180</v>
      </c>
      <c r="E450" s="624" t="s">
        <v>672</v>
      </c>
      <c r="F450" s="625" t="s">
        <v>488</v>
      </c>
      <c r="G450" s="626" t="s">
        <v>710</v>
      </c>
      <c r="H450" s="625" t="s">
        <v>19</v>
      </c>
      <c r="I450" s="627">
        <v>28.6</v>
      </c>
    </row>
    <row r="451" spans="1:9" ht="13.5">
      <c r="A451" s="621">
        <v>105</v>
      </c>
      <c r="B451" s="153" t="s">
        <v>850</v>
      </c>
      <c r="C451" s="622"/>
      <c r="D451" s="623" t="s">
        <v>180</v>
      </c>
      <c r="E451" s="624" t="s">
        <v>854</v>
      </c>
      <c r="F451" s="625" t="s">
        <v>177</v>
      </c>
      <c r="G451" s="626" t="s">
        <v>425</v>
      </c>
      <c r="H451" s="625" t="s">
        <v>44</v>
      </c>
      <c r="I451" s="627">
        <v>10.575500000000002</v>
      </c>
    </row>
    <row r="452" spans="1:9" ht="13.5">
      <c r="A452" s="621">
        <v>105</v>
      </c>
      <c r="B452" s="153" t="s">
        <v>850</v>
      </c>
      <c r="C452" s="622"/>
      <c r="D452" s="623" t="s">
        <v>180</v>
      </c>
      <c r="E452" s="624" t="s">
        <v>854</v>
      </c>
      <c r="F452" s="625" t="s">
        <v>41</v>
      </c>
      <c r="G452" s="626" t="s">
        <v>441</v>
      </c>
      <c r="H452" s="625" t="s">
        <v>44</v>
      </c>
      <c r="I452" s="627">
        <v>14.742000000000003</v>
      </c>
    </row>
    <row r="453" spans="1:9" ht="13.5">
      <c r="A453" s="621">
        <v>105</v>
      </c>
      <c r="B453" s="153" t="s">
        <v>850</v>
      </c>
      <c r="C453" s="622"/>
      <c r="D453" s="623" t="s">
        <v>180</v>
      </c>
      <c r="E453" s="624" t="s">
        <v>854</v>
      </c>
      <c r="F453" s="625" t="s">
        <v>41</v>
      </c>
      <c r="G453" s="626" t="s">
        <v>443</v>
      </c>
      <c r="H453" s="625" t="s">
        <v>44</v>
      </c>
      <c r="I453" s="627">
        <v>3.0322500000000003</v>
      </c>
    </row>
    <row r="454" spans="1:9" ht="13.5">
      <c r="A454" s="621">
        <v>105</v>
      </c>
      <c r="B454" s="153" t="s">
        <v>850</v>
      </c>
      <c r="C454" s="622"/>
      <c r="D454" s="623" t="s">
        <v>180</v>
      </c>
      <c r="E454" s="624" t="s">
        <v>854</v>
      </c>
      <c r="F454" s="625" t="s">
        <v>41</v>
      </c>
      <c r="G454" s="626" t="s">
        <v>442</v>
      </c>
      <c r="H454" s="625" t="s">
        <v>44</v>
      </c>
      <c r="I454" s="627">
        <v>4.2315000000000005</v>
      </c>
    </row>
    <row r="455" spans="1:9" ht="13.5">
      <c r="A455" s="621">
        <v>105</v>
      </c>
      <c r="B455" s="153" t="s">
        <v>850</v>
      </c>
      <c r="C455" s="622"/>
      <c r="D455" s="623" t="s">
        <v>180</v>
      </c>
      <c r="E455" s="624" t="s">
        <v>854</v>
      </c>
      <c r="F455" s="625" t="s">
        <v>41</v>
      </c>
      <c r="G455" s="626" t="s">
        <v>444</v>
      </c>
      <c r="H455" s="625" t="s">
        <v>44</v>
      </c>
      <c r="I455" s="627">
        <v>5.8500000000000005</v>
      </c>
    </row>
    <row r="456" spans="1:9" ht="13.5">
      <c r="A456" s="621">
        <v>105</v>
      </c>
      <c r="B456" s="153" t="s">
        <v>850</v>
      </c>
      <c r="C456" s="622"/>
      <c r="D456" s="623" t="s">
        <v>180</v>
      </c>
      <c r="E456" s="624" t="s">
        <v>854</v>
      </c>
      <c r="F456" s="625" t="s">
        <v>331</v>
      </c>
      <c r="G456" s="626" t="s">
        <v>754</v>
      </c>
      <c r="H456" s="625" t="s">
        <v>44</v>
      </c>
      <c r="I456" s="627">
        <v>16.432000000000002</v>
      </c>
    </row>
    <row r="457" spans="1:9" ht="13.5">
      <c r="A457" s="621">
        <v>105</v>
      </c>
      <c r="B457" s="153" t="s">
        <v>850</v>
      </c>
      <c r="C457" s="622"/>
      <c r="D457" s="623" t="s">
        <v>180</v>
      </c>
      <c r="E457" s="624" t="s">
        <v>854</v>
      </c>
      <c r="F457" s="625" t="s">
        <v>333</v>
      </c>
      <c r="G457" s="626" t="s">
        <v>755</v>
      </c>
      <c r="H457" s="625" t="s">
        <v>174</v>
      </c>
      <c r="I457" s="627">
        <v>150.80000000000001</v>
      </c>
    </row>
    <row r="458" spans="1:9" ht="13.5">
      <c r="A458" s="621">
        <v>105</v>
      </c>
      <c r="B458" s="153" t="s">
        <v>850</v>
      </c>
      <c r="C458" s="622"/>
      <c r="D458" s="623" t="s">
        <v>180</v>
      </c>
      <c r="E458" s="624" t="s">
        <v>854</v>
      </c>
      <c r="F458" s="625" t="s">
        <v>331</v>
      </c>
      <c r="G458" s="626" t="s">
        <v>982</v>
      </c>
      <c r="H458" s="625" t="s">
        <v>44</v>
      </c>
      <c r="I458" s="627">
        <v>20.332000000000001</v>
      </c>
    </row>
    <row r="459" spans="1:9" ht="13.5">
      <c r="A459" s="621">
        <v>105</v>
      </c>
      <c r="B459" s="153" t="s">
        <v>850</v>
      </c>
      <c r="C459" s="622"/>
      <c r="D459" s="623" t="s">
        <v>180</v>
      </c>
      <c r="E459" s="624" t="s">
        <v>854</v>
      </c>
      <c r="F459" s="625" t="s">
        <v>333</v>
      </c>
      <c r="G459" s="626" t="s">
        <v>983</v>
      </c>
      <c r="H459" s="625" t="s">
        <v>174</v>
      </c>
      <c r="I459" s="627">
        <v>151.03400000000002</v>
      </c>
    </row>
    <row r="460" spans="1:9" ht="13.5">
      <c r="A460" s="621">
        <v>105</v>
      </c>
      <c r="B460" s="153" t="s">
        <v>850</v>
      </c>
      <c r="C460" s="622"/>
      <c r="D460" s="623" t="s">
        <v>180</v>
      </c>
      <c r="E460" s="624" t="s">
        <v>854</v>
      </c>
      <c r="F460" s="625" t="s">
        <v>168</v>
      </c>
      <c r="G460" s="626" t="s">
        <v>757</v>
      </c>
      <c r="H460" s="625" t="s">
        <v>44</v>
      </c>
      <c r="I460" s="627">
        <v>60.411000000000001</v>
      </c>
    </row>
    <row r="461" spans="1:9" ht="13.5">
      <c r="A461" s="621">
        <v>105</v>
      </c>
      <c r="B461" s="153" t="s">
        <v>850</v>
      </c>
      <c r="C461" s="622"/>
      <c r="D461" s="623" t="s">
        <v>180</v>
      </c>
      <c r="E461" s="624" t="s">
        <v>854</v>
      </c>
      <c r="F461" s="625" t="s">
        <v>168</v>
      </c>
      <c r="G461" s="626" t="s">
        <v>468</v>
      </c>
      <c r="H461" s="625" t="s">
        <v>44</v>
      </c>
      <c r="I461" s="627">
        <v>86.45</v>
      </c>
    </row>
    <row r="462" spans="1:9" ht="13.5">
      <c r="A462" s="621">
        <v>105</v>
      </c>
      <c r="B462" s="153" t="s">
        <v>850</v>
      </c>
      <c r="C462" s="622"/>
      <c r="D462" s="623" t="s">
        <v>180</v>
      </c>
      <c r="E462" s="624" t="s">
        <v>854</v>
      </c>
      <c r="F462" s="625" t="s">
        <v>168</v>
      </c>
      <c r="G462" s="626" t="s">
        <v>886</v>
      </c>
      <c r="H462" s="625" t="s">
        <v>44</v>
      </c>
      <c r="I462" s="627">
        <v>138.5865</v>
      </c>
    </row>
    <row r="463" spans="1:9" ht="13.5">
      <c r="A463" s="621">
        <v>105</v>
      </c>
      <c r="B463" s="153" t="s">
        <v>850</v>
      </c>
      <c r="C463" s="622"/>
      <c r="D463" s="623" t="s">
        <v>180</v>
      </c>
      <c r="E463" s="624" t="s">
        <v>854</v>
      </c>
      <c r="F463" s="625" t="s">
        <v>168</v>
      </c>
      <c r="G463" s="626" t="s">
        <v>984</v>
      </c>
      <c r="H463" s="625" t="s">
        <v>44</v>
      </c>
      <c r="I463" s="627">
        <v>104.83200000000001</v>
      </c>
    </row>
    <row r="464" spans="1:9" ht="13.5">
      <c r="A464" s="621">
        <v>105</v>
      </c>
      <c r="B464" s="153" t="s">
        <v>850</v>
      </c>
      <c r="C464" s="622"/>
      <c r="D464" s="623" t="s">
        <v>180</v>
      </c>
      <c r="E464" s="624" t="s">
        <v>854</v>
      </c>
      <c r="F464" s="625" t="s">
        <v>123</v>
      </c>
      <c r="G464" s="626" t="s">
        <v>471</v>
      </c>
      <c r="H464" s="625" t="s">
        <v>109</v>
      </c>
      <c r="I464" s="627">
        <v>7.0200000000000005</v>
      </c>
    </row>
    <row r="465" spans="1:9" ht="13.5">
      <c r="A465" s="621">
        <v>105</v>
      </c>
      <c r="B465" s="153" t="s">
        <v>850</v>
      </c>
      <c r="C465" s="622"/>
      <c r="D465" s="623" t="s">
        <v>180</v>
      </c>
      <c r="E465" s="624" t="s">
        <v>854</v>
      </c>
      <c r="F465" s="625" t="s">
        <v>123</v>
      </c>
      <c r="G465" s="626" t="s">
        <v>473</v>
      </c>
      <c r="H465" s="625" t="s">
        <v>19</v>
      </c>
      <c r="I465" s="627">
        <v>5.8424999999999994</v>
      </c>
    </row>
    <row r="466" spans="1:9" ht="13.5">
      <c r="A466" s="621">
        <v>105</v>
      </c>
      <c r="B466" s="153" t="s">
        <v>850</v>
      </c>
      <c r="C466" s="622"/>
      <c r="D466" s="623" t="s">
        <v>180</v>
      </c>
      <c r="E466" s="624" t="s">
        <v>854</v>
      </c>
      <c r="F466" s="625" t="s">
        <v>758</v>
      </c>
      <c r="G466" s="626" t="s">
        <v>759</v>
      </c>
      <c r="H466" s="625" t="s">
        <v>109</v>
      </c>
      <c r="I466" s="627">
        <v>14.430000000000001</v>
      </c>
    </row>
    <row r="467" spans="1:9" ht="13.5">
      <c r="A467" s="621">
        <v>105</v>
      </c>
      <c r="B467" s="153" t="s">
        <v>850</v>
      </c>
      <c r="C467" s="622"/>
      <c r="D467" s="623" t="s">
        <v>180</v>
      </c>
      <c r="E467" s="624" t="s">
        <v>854</v>
      </c>
      <c r="F467" s="625" t="s">
        <v>890</v>
      </c>
      <c r="G467" s="626" t="s">
        <v>475</v>
      </c>
      <c r="H467" s="625" t="s">
        <v>174</v>
      </c>
      <c r="I467" s="627">
        <v>6.0450000000000008</v>
      </c>
    </row>
    <row r="468" spans="1:9" ht="13.5">
      <c r="A468" s="621">
        <v>105</v>
      </c>
      <c r="B468" s="153" t="s">
        <v>850</v>
      </c>
      <c r="C468" s="622"/>
      <c r="D468" s="623" t="s">
        <v>180</v>
      </c>
      <c r="E468" s="624" t="s">
        <v>854</v>
      </c>
      <c r="F468" s="625" t="s">
        <v>478</v>
      </c>
      <c r="G468" s="626" t="s">
        <v>763</v>
      </c>
      <c r="H468" s="625"/>
      <c r="I468" s="627">
        <v>0</v>
      </c>
    </row>
    <row r="469" spans="1:9" ht="13.5">
      <c r="A469" s="621">
        <v>105</v>
      </c>
      <c r="B469" s="153" t="s">
        <v>850</v>
      </c>
      <c r="C469" s="622"/>
      <c r="D469" s="623" t="s">
        <v>180</v>
      </c>
      <c r="E469" s="624" t="s">
        <v>854</v>
      </c>
      <c r="F469" s="625" t="s">
        <v>478</v>
      </c>
      <c r="G469" s="626" t="s">
        <v>765</v>
      </c>
      <c r="H469" s="625" t="s">
        <v>174</v>
      </c>
      <c r="I469" s="627">
        <v>76.7</v>
      </c>
    </row>
    <row r="470" spans="1:9" ht="13.5">
      <c r="A470" s="621">
        <v>105</v>
      </c>
      <c r="B470" s="153" t="s">
        <v>850</v>
      </c>
      <c r="C470" s="622"/>
      <c r="D470" s="623" t="s">
        <v>180</v>
      </c>
      <c r="E470" s="624" t="s">
        <v>854</v>
      </c>
      <c r="F470" s="625" t="s">
        <v>488</v>
      </c>
      <c r="G470" s="626" t="s">
        <v>479</v>
      </c>
      <c r="H470" s="625" t="s">
        <v>19</v>
      </c>
      <c r="I470" s="627">
        <v>1</v>
      </c>
    </row>
    <row r="471" spans="1:9" ht="13.5">
      <c r="A471" s="621">
        <v>105</v>
      </c>
      <c r="B471" s="153" t="s">
        <v>850</v>
      </c>
      <c r="C471" s="622"/>
      <c r="D471" s="623" t="s">
        <v>180</v>
      </c>
      <c r="E471" s="624" t="s">
        <v>854</v>
      </c>
      <c r="F471" s="625" t="s">
        <v>488</v>
      </c>
      <c r="G471" s="626" t="s">
        <v>770</v>
      </c>
      <c r="H471" s="625" t="s">
        <v>19</v>
      </c>
      <c r="I471" s="627">
        <v>2</v>
      </c>
    </row>
    <row r="472" spans="1:9" ht="13.5">
      <c r="A472" s="621">
        <v>105</v>
      </c>
      <c r="B472" s="153" t="s">
        <v>850</v>
      </c>
      <c r="C472" s="622"/>
      <c r="D472" s="623" t="s">
        <v>180</v>
      </c>
      <c r="E472" s="624" t="s">
        <v>854</v>
      </c>
      <c r="F472" s="625" t="s">
        <v>488</v>
      </c>
      <c r="G472" s="626" t="s">
        <v>771</v>
      </c>
      <c r="H472" s="625" t="s">
        <v>44</v>
      </c>
      <c r="I472" s="627">
        <v>8.7945000000000011</v>
      </c>
    </row>
    <row r="473" spans="1:9" ht="13.5">
      <c r="A473" s="621">
        <v>105</v>
      </c>
      <c r="B473" s="153" t="s">
        <v>850</v>
      </c>
      <c r="C473" s="622"/>
      <c r="D473" s="623" t="s">
        <v>180</v>
      </c>
      <c r="E473" s="624" t="s">
        <v>854</v>
      </c>
      <c r="F473" s="625" t="s">
        <v>488</v>
      </c>
      <c r="G473" s="626" t="s">
        <v>512</v>
      </c>
      <c r="H473" s="625" t="s">
        <v>174</v>
      </c>
      <c r="I473" s="627">
        <v>89.062999999999988</v>
      </c>
    </row>
    <row r="474" spans="1:9" ht="13.5">
      <c r="A474" s="621">
        <v>105</v>
      </c>
      <c r="B474" s="153" t="s">
        <v>850</v>
      </c>
      <c r="C474" s="622"/>
      <c r="D474" s="623" t="s">
        <v>180</v>
      </c>
      <c r="E474" s="624" t="s">
        <v>854</v>
      </c>
      <c r="F474" s="625" t="s">
        <v>488</v>
      </c>
      <c r="G474" s="626" t="s">
        <v>489</v>
      </c>
      <c r="H474" s="625" t="s">
        <v>44</v>
      </c>
      <c r="I474" s="627">
        <v>75.198499999999996</v>
      </c>
    </row>
    <row r="475" spans="1:9" ht="13.5">
      <c r="A475" s="621">
        <v>105</v>
      </c>
      <c r="B475" s="153" t="s">
        <v>850</v>
      </c>
      <c r="C475" s="622"/>
      <c r="D475" s="623" t="s">
        <v>180</v>
      </c>
      <c r="E475" s="624" t="s">
        <v>854</v>
      </c>
      <c r="F475" s="625" t="s">
        <v>488</v>
      </c>
      <c r="G475" s="626" t="s">
        <v>491</v>
      </c>
      <c r="H475" s="625" t="s">
        <v>44</v>
      </c>
      <c r="I475" s="627">
        <v>16</v>
      </c>
    </row>
    <row r="476" spans="1:9" ht="13.5">
      <c r="A476" s="621">
        <v>105</v>
      </c>
      <c r="B476" s="153" t="s">
        <v>850</v>
      </c>
      <c r="C476" s="622"/>
      <c r="D476" s="623" t="s">
        <v>180</v>
      </c>
      <c r="E476" s="624" t="s">
        <v>854</v>
      </c>
      <c r="F476" s="625" t="s">
        <v>488</v>
      </c>
      <c r="G476" s="626" t="s">
        <v>492</v>
      </c>
      <c r="H476" s="625" t="s">
        <v>44</v>
      </c>
      <c r="I476" s="627">
        <v>36.868000000000002</v>
      </c>
    </row>
    <row r="477" spans="1:9" ht="13.5">
      <c r="A477" s="621">
        <v>105</v>
      </c>
      <c r="B477" s="153" t="s">
        <v>850</v>
      </c>
      <c r="C477" s="622"/>
      <c r="D477" s="623" t="s">
        <v>180</v>
      </c>
      <c r="E477" s="624" t="s">
        <v>854</v>
      </c>
      <c r="F477" s="625" t="s">
        <v>488</v>
      </c>
      <c r="G477" s="626" t="s">
        <v>401</v>
      </c>
      <c r="H477" s="625" t="s">
        <v>174</v>
      </c>
      <c r="I477" s="627">
        <v>7.8000000000000007</v>
      </c>
    </row>
    <row r="478" spans="1:9" ht="13.5">
      <c r="A478" s="621">
        <v>105</v>
      </c>
      <c r="B478" s="153" t="s">
        <v>850</v>
      </c>
      <c r="C478" s="622"/>
      <c r="D478" s="623" t="s">
        <v>180</v>
      </c>
      <c r="E478" s="624" t="s">
        <v>854</v>
      </c>
      <c r="F478" s="625" t="s">
        <v>488</v>
      </c>
      <c r="G478" s="626" t="s">
        <v>494</v>
      </c>
      <c r="H478" s="625" t="s">
        <v>19</v>
      </c>
      <c r="I478" s="627">
        <v>1</v>
      </c>
    </row>
    <row r="479" spans="1:9" ht="13.5">
      <c r="A479" s="621">
        <v>105</v>
      </c>
      <c r="B479" s="153" t="s">
        <v>850</v>
      </c>
      <c r="C479" s="622"/>
      <c r="D479" s="623" t="s">
        <v>180</v>
      </c>
      <c r="E479" s="624" t="s">
        <v>854</v>
      </c>
      <c r="F479" s="625" t="s">
        <v>488</v>
      </c>
      <c r="G479" s="626" t="s">
        <v>495</v>
      </c>
      <c r="H479" s="625" t="s">
        <v>174</v>
      </c>
      <c r="I479" s="627">
        <v>12.447500000000002</v>
      </c>
    </row>
    <row r="480" spans="1:9" ht="13.5">
      <c r="A480" s="621">
        <v>105</v>
      </c>
      <c r="B480" s="153" t="s">
        <v>850</v>
      </c>
      <c r="C480" s="622"/>
      <c r="D480" s="623" t="s">
        <v>180</v>
      </c>
      <c r="E480" s="624" t="s">
        <v>854</v>
      </c>
      <c r="F480" s="625" t="s">
        <v>488</v>
      </c>
      <c r="G480" s="626" t="s">
        <v>496</v>
      </c>
      <c r="H480" s="625" t="s">
        <v>44</v>
      </c>
      <c r="I480" s="627">
        <v>7.15</v>
      </c>
    </row>
    <row r="481" spans="1:9" ht="13.5">
      <c r="A481" s="621">
        <v>105</v>
      </c>
      <c r="B481" s="153" t="s">
        <v>850</v>
      </c>
      <c r="C481" s="622"/>
      <c r="D481" s="623" t="s">
        <v>180</v>
      </c>
      <c r="E481" s="624" t="s">
        <v>854</v>
      </c>
      <c r="F481" s="625" t="s">
        <v>488</v>
      </c>
      <c r="G481" s="626" t="s">
        <v>497</v>
      </c>
      <c r="H481" s="625" t="s">
        <v>109</v>
      </c>
      <c r="I481" s="627">
        <v>13.858000000000001</v>
      </c>
    </row>
    <row r="482" spans="1:9" ht="13.5">
      <c r="A482" s="621">
        <v>105</v>
      </c>
      <c r="B482" s="153" t="s">
        <v>850</v>
      </c>
      <c r="C482" s="622"/>
      <c r="D482" s="623" t="s">
        <v>180</v>
      </c>
      <c r="E482" s="624" t="s">
        <v>854</v>
      </c>
      <c r="F482" s="625" t="s">
        <v>488</v>
      </c>
      <c r="G482" s="626" t="s">
        <v>508</v>
      </c>
      <c r="H482" s="625" t="s">
        <v>44</v>
      </c>
      <c r="I482" s="627">
        <v>2.8404999999999996</v>
      </c>
    </row>
    <row r="483" spans="1:9" ht="13.5">
      <c r="A483" s="621">
        <v>105</v>
      </c>
      <c r="B483" s="153" t="s">
        <v>850</v>
      </c>
      <c r="C483" s="622"/>
      <c r="D483" s="623" t="s">
        <v>180</v>
      </c>
      <c r="E483" s="624" t="s">
        <v>854</v>
      </c>
      <c r="F483" s="625" t="s">
        <v>488</v>
      </c>
      <c r="G483" s="626" t="s">
        <v>509</v>
      </c>
      <c r="H483" s="625" t="s">
        <v>44</v>
      </c>
      <c r="I483" s="627">
        <v>3.7180000000000004</v>
      </c>
    </row>
    <row r="484" spans="1:9" ht="13.5">
      <c r="A484" s="621">
        <v>105</v>
      </c>
      <c r="B484" s="153" t="s">
        <v>850</v>
      </c>
      <c r="C484" s="622"/>
      <c r="D484" s="623" t="s">
        <v>180</v>
      </c>
      <c r="E484" s="624" t="s">
        <v>854</v>
      </c>
      <c r="F484" s="625" t="s">
        <v>488</v>
      </c>
      <c r="G484" s="626" t="s">
        <v>510</v>
      </c>
      <c r="H484" s="625" t="s">
        <v>44</v>
      </c>
      <c r="I484" s="627">
        <v>8.5800000000000018</v>
      </c>
    </row>
    <row r="485" spans="1:9" ht="13.5">
      <c r="A485" s="621">
        <v>105</v>
      </c>
      <c r="B485" s="153" t="s">
        <v>850</v>
      </c>
      <c r="C485" s="622"/>
      <c r="D485" s="623" t="s">
        <v>180</v>
      </c>
      <c r="E485" s="624" t="s">
        <v>854</v>
      </c>
      <c r="F485" s="625" t="s">
        <v>488</v>
      </c>
      <c r="G485" s="626" t="s">
        <v>511</v>
      </c>
      <c r="H485" s="625" t="s">
        <v>44</v>
      </c>
      <c r="I485" s="627">
        <v>119.60000000000001</v>
      </c>
    </row>
    <row r="486" spans="1:9" ht="13.5">
      <c r="A486" s="621">
        <v>105</v>
      </c>
      <c r="B486" s="153" t="s">
        <v>850</v>
      </c>
      <c r="C486" s="622"/>
      <c r="D486" s="623" t="s">
        <v>180</v>
      </c>
      <c r="E486" s="624" t="s">
        <v>854</v>
      </c>
      <c r="F486" s="625" t="s">
        <v>488</v>
      </c>
      <c r="G486" s="626" t="s">
        <v>513</v>
      </c>
      <c r="H486" s="625" t="s">
        <v>19</v>
      </c>
      <c r="I486" s="627">
        <v>1.5</v>
      </c>
    </row>
    <row r="487" spans="1:9" ht="13.5">
      <c r="A487" s="621">
        <v>105</v>
      </c>
      <c r="B487" s="153" t="s">
        <v>850</v>
      </c>
      <c r="C487" s="622"/>
      <c r="D487" s="623" t="s">
        <v>180</v>
      </c>
      <c r="E487" s="624" t="s">
        <v>854</v>
      </c>
      <c r="F487" s="625" t="s">
        <v>488</v>
      </c>
      <c r="G487" s="626" t="s">
        <v>514</v>
      </c>
      <c r="H487" s="625" t="s">
        <v>19</v>
      </c>
      <c r="I487" s="627">
        <v>3</v>
      </c>
    </row>
    <row r="488" spans="1:9" ht="13.5">
      <c r="A488" s="621">
        <v>105</v>
      </c>
      <c r="B488" s="153" t="s">
        <v>850</v>
      </c>
      <c r="C488" s="622"/>
      <c r="D488" s="623" t="s">
        <v>180</v>
      </c>
      <c r="E488" s="624" t="s">
        <v>854</v>
      </c>
      <c r="F488" s="625" t="s">
        <v>488</v>
      </c>
      <c r="G488" s="626" t="s">
        <v>985</v>
      </c>
      <c r="H488" s="625" t="s">
        <v>44</v>
      </c>
      <c r="I488" s="627">
        <v>10.842000000000001</v>
      </c>
    </row>
    <row r="489" spans="1:9" ht="13.5">
      <c r="A489" s="621">
        <v>105</v>
      </c>
      <c r="B489" s="153" t="s">
        <v>850</v>
      </c>
      <c r="C489" s="622"/>
      <c r="D489" s="623" t="s">
        <v>180</v>
      </c>
      <c r="E489" s="624" t="s">
        <v>854</v>
      </c>
      <c r="F489" s="625" t="s">
        <v>488</v>
      </c>
      <c r="G489" s="626" t="s">
        <v>986</v>
      </c>
      <c r="H489" s="625" t="s">
        <v>44</v>
      </c>
      <c r="I489" s="627">
        <v>61.685000000000002</v>
      </c>
    </row>
    <row r="490" spans="1:9" ht="13.5">
      <c r="A490" s="621">
        <v>105</v>
      </c>
      <c r="B490" s="153" t="s">
        <v>850</v>
      </c>
      <c r="C490" s="622"/>
      <c r="D490" s="623" t="s">
        <v>180</v>
      </c>
      <c r="E490" s="624" t="s">
        <v>327</v>
      </c>
      <c r="F490" s="625" t="s">
        <v>333</v>
      </c>
      <c r="G490" s="626" t="s">
        <v>896</v>
      </c>
      <c r="H490" s="625" t="s">
        <v>19</v>
      </c>
      <c r="I490" s="627">
        <v>34</v>
      </c>
    </row>
    <row r="491" spans="1:9" ht="13.5">
      <c r="A491" s="621">
        <v>105</v>
      </c>
      <c r="B491" s="153" t="s">
        <v>850</v>
      </c>
      <c r="C491" s="622"/>
      <c r="D491" s="623" t="s">
        <v>180</v>
      </c>
      <c r="E491" s="624" t="s">
        <v>327</v>
      </c>
      <c r="F491" s="625" t="s">
        <v>333</v>
      </c>
      <c r="G491" s="626" t="s">
        <v>783</v>
      </c>
      <c r="H491" s="625" t="s">
        <v>19</v>
      </c>
      <c r="I491" s="627">
        <v>34</v>
      </c>
    </row>
    <row r="492" spans="1:9" ht="13.5">
      <c r="A492" s="621">
        <v>105</v>
      </c>
      <c r="B492" s="153" t="s">
        <v>850</v>
      </c>
      <c r="C492" s="622"/>
      <c r="D492" s="623" t="s">
        <v>180</v>
      </c>
      <c r="E492" s="624" t="s">
        <v>327</v>
      </c>
      <c r="F492" s="625" t="s">
        <v>331</v>
      </c>
      <c r="G492" s="626" t="s">
        <v>784</v>
      </c>
      <c r="H492" s="625" t="s">
        <v>19</v>
      </c>
      <c r="I492" s="627">
        <v>25.08</v>
      </c>
    </row>
    <row r="493" spans="1:9" ht="13.5">
      <c r="A493" s="621">
        <v>105</v>
      </c>
      <c r="B493" s="153" t="s">
        <v>850</v>
      </c>
      <c r="C493" s="622"/>
      <c r="D493" s="623" t="s">
        <v>180</v>
      </c>
      <c r="E493" s="624" t="s">
        <v>327</v>
      </c>
      <c r="F493" s="625" t="s">
        <v>333</v>
      </c>
      <c r="G493" s="626" t="s">
        <v>785</v>
      </c>
      <c r="H493" s="625" t="s">
        <v>19</v>
      </c>
      <c r="I493" s="627">
        <v>24</v>
      </c>
    </row>
    <row r="494" spans="1:9" ht="13.5">
      <c r="A494" s="621">
        <v>105</v>
      </c>
      <c r="B494" s="153" t="s">
        <v>850</v>
      </c>
      <c r="C494" s="622"/>
      <c r="D494" s="623" t="s">
        <v>180</v>
      </c>
      <c r="E494" s="624" t="s">
        <v>327</v>
      </c>
      <c r="F494" s="625" t="s">
        <v>333</v>
      </c>
      <c r="G494" s="626" t="s">
        <v>898</v>
      </c>
      <c r="H494" s="625" t="s">
        <v>19</v>
      </c>
      <c r="I494" s="627">
        <v>24</v>
      </c>
    </row>
    <row r="495" spans="1:9" ht="13.5">
      <c r="A495" s="621">
        <v>105</v>
      </c>
      <c r="B495" s="153" t="s">
        <v>850</v>
      </c>
      <c r="C495" s="622"/>
      <c r="D495" s="623" t="s">
        <v>180</v>
      </c>
      <c r="E495" s="624" t="s">
        <v>327</v>
      </c>
      <c r="F495" s="625" t="s">
        <v>488</v>
      </c>
      <c r="G495" s="626" t="s">
        <v>605</v>
      </c>
      <c r="H495" s="625" t="s">
        <v>19</v>
      </c>
      <c r="I495" s="627">
        <v>24</v>
      </c>
    </row>
    <row r="496" spans="1:9" ht="13.5">
      <c r="A496" s="621">
        <v>105</v>
      </c>
      <c r="B496" s="153" t="s">
        <v>850</v>
      </c>
      <c r="C496" s="622"/>
      <c r="D496" s="623" t="s">
        <v>180</v>
      </c>
      <c r="E496" s="624" t="s">
        <v>327</v>
      </c>
      <c r="F496" s="625" t="s">
        <v>488</v>
      </c>
      <c r="G496" s="626" t="s">
        <v>603</v>
      </c>
      <c r="H496" s="625" t="s">
        <v>19</v>
      </c>
      <c r="I496" s="627">
        <v>24</v>
      </c>
    </row>
    <row r="497" spans="1:9" ht="13.5">
      <c r="A497" s="621">
        <v>105</v>
      </c>
      <c r="B497" s="153" t="s">
        <v>850</v>
      </c>
      <c r="C497" s="622"/>
      <c r="D497" s="623" t="s">
        <v>180</v>
      </c>
      <c r="E497" s="624" t="s">
        <v>327</v>
      </c>
      <c r="F497" s="625" t="s">
        <v>488</v>
      </c>
      <c r="G497" s="626" t="s">
        <v>903</v>
      </c>
      <c r="H497" s="625" t="s">
        <v>19</v>
      </c>
      <c r="I497" s="627">
        <v>24</v>
      </c>
    </row>
    <row r="498" spans="1:9" ht="13.5">
      <c r="A498" s="621">
        <v>105</v>
      </c>
      <c r="B498" s="153" t="s">
        <v>850</v>
      </c>
      <c r="C498" s="622"/>
      <c r="D498" s="623" t="s">
        <v>180</v>
      </c>
      <c r="E498" s="624" t="s">
        <v>327</v>
      </c>
      <c r="F498" s="625" t="s">
        <v>488</v>
      </c>
      <c r="G498" s="626" t="s">
        <v>930</v>
      </c>
      <c r="H498" s="625" t="s">
        <v>19</v>
      </c>
      <c r="I498" s="627">
        <v>24</v>
      </c>
    </row>
    <row r="499" spans="1:9" ht="13.5">
      <c r="A499" s="621">
        <v>105</v>
      </c>
      <c r="B499" s="153" t="s">
        <v>850</v>
      </c>
      <c r="C499" s="622"/>
      <c r="D499" s="623" t="s">
        <v>180</v>
      </c>
      <c r="E499" s="624" t="s">
        <v>327</v>
      </c>
      <c r="F499" s="625" t="s">
        <v>488</v>
      </c>
      <c r="G499" s="626" t="s">
        <v>988</v>
      </c>
      <c r="H499" s="625" t="s">
        <v>19</v>
      </c>
      <c r="I499" s="627">
        <v>20.439999999999998</v>
      </c>
    </row>
    <row r="500" spans="1:9" ht="13.5">
      <c r="A500" s="621">
        <v>105</v>
      </c>
      <c r="B500" s="153" t="s">
        <v>850</v>
      </c>
      <c r="C500" s="622"/>
      <c r="D500" s="623" t="s">
        <v>180</v>
      </c>
      <c r="E500" s="624" t="s">
        <v>327</v>
      </c>
      <c r="F500" s="625" t="s">
        <v>488</v>
      </c>
      <c r="G500" s="626" t="s">
        <v>989</v>
      </c>
      <c r="H500" s="625" t="s">
        <v>19</v>
      </c>
      <c r="I500" s="627">
        <v>14</v>
      </c>
    </row>
    <row r="501" spans="1:9" ht="13.5">
      <c r="A501" s="621">
        <v>105</v>
      </c>
      <c r="B501" s="153" t="s">
        <v>850</v>
      </c>
      <c r="C501" s="622"/>
      <c r="D501" s="623" t="s">
        <v>180</v>
      </c>
      <c r="E501" s="624" t="s">
        <v>327</v>
      </c>
      <c r="F501" s="625" t="s">
        <v>488</v>
      </c>
      <c r="G501" s="626" t="s">
        <v>990</v>
      </c>
      <c r="H501" s="625" t="s">
        <v>19</v>
      </c>
      <c r="I501" s="627">
        <v>14</v>
      </c>
    </row>
    <row r="502" spans="1:9" ht="13.5">
      <c r="A502" s="621">
        <v>105</v>
      </c>
      <c r="B502" s="153" t="s">
        <v>850</v>
      </c>
      <c r="C502" s="622"/>
      <c r="D502" s="623" t="s">
        <v>180</v>
      </c>
      <c r="E502" s="624" t="s">
        <v>327</v>
      </c>
      <c r="F502" s="625" t="s">
        <v>488</v>
      </c>
      <c r="G502" s="626" t="s">
        <v>827</v>
      </c>
      <c r="H502" s="625" t="s">
        <v>19</v>
      </c>
      <c r="I502" s="627">
        <v>51.430000000000007</v>
      </c>
    </row>
    <row r="503" spans="1:9" ht="13.5">
      <c r="A503" s="621">
        <v>105</v>
      </c>
      <c r="B503" s="153" t="s">
        <v>850</v>
      </c>
      <c r="C503" s="622"/>
      <c r="D503" s="623" t="s">
        <v>180</v>
      </c>
      <c r="E503" s="624" t="s">
        <v>327</v>
      </c>
      <c r="F503" s="625" t="s">
        <v>488</v>
      </c>
      <c r="G503" s="626" t="s">
        <v>991</v>
      </c>
      <c r="H503" s="625" t="s">
        <v>19</v>
      </c>
      <c r="I503" s="627">
        <v>15</v>
      </c>
    </row>
    <row r="504" spans="1:9" ht="13.5">
      <c r="A504" s="621">
        <v>105</v>
      </c>
      <c r="B504" s="153" t="s">
        <v>850</v>
      </c>
      <c r="C504" s="622"/>
      <c r="D504" s="623" t="s">
        <v>180</v>
      </c>
      <c r="E504" s="624" t="s">
        <v>54</v>
      </c>
      <c r="F504" s="625" t="s">
        <v>422</v>
      </c>
      <c r="G504" s="626" t="s">
        <v>1000</v>
      </c>
      <c r="H504" s="625" t="s">
        <v>176</v>
      </c>
      <c r="I504" s="627">
        <v>16.38</v>
      </c>
    </row>
    <row r="505" spans="1:9" ht="13.5">
      <c r="A505" s="621">
        <v>105</v>
      </c>
      <c r="B505" s="153" t="s">
        <v>850</v>
      </c>
      <c r="C505" s="622"/>
      <c r="D505" s="623" t="s">
        <v>180</v>
      </c>
      <c r="E505" s="624" t="s">
        <v>54</v>
      </c>
      <c r="F505" s="625" t="s">
        <v>1001</v>
      </c>
      <c r="G505" s="626" t="s">
        <v>805</v>
      </c>
      <c r="H505" s="625" t="s">
        <v>174</v>
      </c>
      <c r="I505" s="627">
        <v>35.49</v>
      </c>
    </row>
    <row r="506" spans="1:9" ht="13.5">
      <c r="A506" s="621">
        <v>105</v>
      </c>
      <c r="B506" s="153" t="s">
        <v>850</v>
      </c>
      <c r="C506" s="622"/>
      <c r="D506" s="623" t="s">
        <v>180</v>
      </c>
      <c r="E506" s="624" t="s">
        <v>54</v>
      </c>
      <c r="F506" s="625" t="s">
        <v>1001</v>
      </c>
      <c r="G506" s="626" t="s">
        <v>806</v>
      </c>
      <c r="H506" s="625" t="s">
        <v>44</v>
      </c>
      <c r="I506" s="627">
        <v>17.7255</v>
      </c>
    </row>
    <row r="507" spans="1:9" ht="13.5">
      <c r="A507" s="621">
        <v>105</v>
      </c>
      <c r="B507" s="153" t="s">
        <v>850</v>
      </c>
      <c r="C507" s="622"/>
      <c r="D507" s="623" t="s">
        <v>180</v>
      </c>
      <c r="E507" s="624" t="s">
        <v>54</v>
      </c>
      <c r="F507" s="625" t="s">
        <v>427</v>
      </c>
      <c r="G507" s="626" t="s">
        <v>1002</v>
      </c>
      <c r="H507" s="625" t="s">
        <v>44</v>
      </c>
      <c r="I507" s="627">
        <v>4.992</v>
      </c>
    </row>
    <row r="508" spans="1:9" ht="13.5">
      <c r="A508" s="621">
        <v>105</v>
      </c>
      <c r="B508" s="153" t="s">
        <v>850</v>
      </c>
      <c r="C508" s="622"/>
      <c r="D508" s="623" t="s">
        <v>180</v>
      </c>
      <c r="E508" s="624" t="s">
        <v>54</v>
      </c>
      <c r="F508" s="625" t="s">
        <v>427</v>
      </c>
      <c r="G508" s="626" t="s">
        <v>1003</v>
      </c>
      <c r="H508" s="625" t="s">
        <v>44</v>
      </c>
      <c r="I508" s="627">
        <v>2.3400000000000003</v>
      </c>
    </row>
    <row r="509" spans="1:9" ht="13.5">
      <c r="A509" s="621">
        <v>105</v>
      </c>
      <c r="B509" s="153" t="s">
        <v>850</v>
      </c>
      <c r="C509" s="622"/>
      <c r="D509" s="623" t="s">
        <v>180</v>
      </c>
      <c r="E509" s="624" t="s">
        <v>54</v>
      </c>
      <c r="F509" s="625" t="s">
        <v>427</v>
      </c>
      <c r="G509" s="626" t="s">
        <v>1004</v>
      </c>
      <c r="H509" s="625" t="s">
        <v>44</v>
      </c>
      <c r="I509" s="627">
        <v>5.4080000000000004</v>
      </c>
    </row>
    <row r="510" spans="1:9" ht="13.5">
      <c r="A510" s="621">
        <v>105</v>
      </c>
      <c r="B510" s="153" t="s">
        <v>850</v>
      </c>
      <c r="C510" s="622"/>
      <c r="D510" s="623" t="s">
        <v>180</v>
      </c>
      <c r="E510" s="624" t="s">
        <v>54</v>
      </c>
      <c r="F510" s="625" t="s">
        <v>427</v>
      </c>
      <c r="G510" s="626" t="s">
        <v>1005</v>
      </c>
      <c r="H510" s="625" t="s">
        <v>44</v>
      </c>
      <c r="I510" s="627">
        <v>3.5490000000000008</v>
      </c>
    </row>
    <row r="511" spans="1:9" ht="13.5">
      <c r="A511" s="621">
        <v>105</v>
      </c>
      <c r="B511" s="153" t="s">
        <v>850</v>
      </c>
      <c r="C511" s="622"/>
      <c r="D511" s="623" t="s">
        <v>180</v>
      </c>
      <c r="E511" s="624" t="s">
        <v>54</v>
      </c>
      <c r="F511" s="625" t="s">
        <v>437</v>
      </c>
      <c r="G511" s="626" t="s">
        <v>807</v>
      </c>
      <c r="H511" s="625" t="s">
        <v>174</v>
      </c>
      <c r="I511" s="627">
        <v>10.881000000000002</v>
      </c>
    </row>
    <row r="512" spans="1:9" ht="13.5">
      <c r="A512" s="621">
        <v>105</v>
      </c>
      <c r="B512" s="153" t="s">
        <v>850</v>
      </c>
      <c r="C512" s="622"/>
      <c r="D512" s="623" t="s">
        <v>180</v>
      </c>
      <c r="E512" s="624" t="s">
        <v>54</v>
      </c>
      <c r="F512" s="625" t="s">
        <v>435</v>
      </c>
      <c r="G512" s="626" t="s">
        <v>808</v>
      </c>
      <c r="H512" s="625" t="s">
        <v>174</v>
      </c>
      <c r="I512" s="627">
        <v>22.815000000000001</v>
      </c>
    </row>
    <row r="513" spans="1:9" ht="13.5">
      <c r="A513" s="621">
        <v>105</v>
      </c>
      <c r="B513" s="153" t="s">
        <v>850</v>
      </c>
      <c r="C513" s="622"/>
      <c r="D513" s="623" t="s">
        <v>180</v>
      </c>
      <c r="E513" s="624" t="s">
        <v>54</v>
      </c>
      <c r="F513" s="625" t="s">
        <v>439</v>
      </c>
      <c r="G513" s="626" t="s">
        <v>810</v>
      </c>
      <c r="H513" s="625" t="s">
        <v>176</v>
      </c>
      <c r="I513" s="627">
        <v>12.947999999999999</v>
      </c>
    </row>
    <row r="514" spans="1:9" ht="13.5">
      <c r="A514" s="621">
        <v>105</v>
      </c>
      <c r="B514" s="153" t="s">
        <v>850</v>
      </c>
      <c r="C514" s="622"/>
      <c r="D514" s="623" t="s">
        <v>180</v>
      </c>
      <c r="E514" s="624" t="s">
        <v>54</v>
      </c>
      <c r="F514" s="625" t="s">
        <v>439</v>
      </c>
      <c r="G514" s="626" t="s">
        <v>811</v>
      </c>
      <c r="H514" s="625" t="s">
        <v>176</v>
      </c>
      <c r="I514" s="627">
        <v>43.225000000000001</v>
      </c>
    </row>
    <row r="515" spans="1:9" ht="13.5">
      <c r="A515" s="621">
        <v>105</v>
      </c>
      <c r="B515" s="153" t="s">
        <v>850</v>
      </c>
      <c r="C515" s="622"/>
      <c r="D515" s="623" t="s">
        <v>180</v>
      </c>
      <c r="E515" s="624" t="s">
        <v>54</v>
      </c>
      <c r="F515" s="625" t="s">
        <v>41</v>
      </c>
      <c r="G515" s="626" t="s">
        <v>1006</v>
      </c>
      <c r="H515" s="625" t="s">
        <v>174</v>
      </c>
      <c r="I515" s="627">
        <v>10.383750000000001</v>
      </c>
    </row>
    <row r="516" spans="1:9" ht="13.5">
      <c r="A516" s="621">
        <v>105</v>
      </c>
      <c r="B516" s="153" t="s">
        <v>850</v>
      </c>
      <c r="C516" s="622"/>
      <c r="D516" s="623" t="s">
        <v>180</v>
      </c>
      <c r="E516" s="624" t="s">
        <v>54</v>
      </c>
      <c r="F516" s="625" t="s">
        <v>461</v>
      </c>
      <c r="G516" s="626" t="s">
        <v>813</v>
      </c>
      <c r="H516" s="625" t="s">
        <v>174</v>
      </c>
      <c r="I516" s="627">
        <v>22.36</v>
      </c>
    </row>
    <row r="517" spans="1:9" ht="13.5">
      <c r="A517" s="621">
        <v>105</v>
      </c>
      <c r="B517" s="153" t="s">
        <v>850</v>
      </c>
      <c r="C517" s="622"/>
      <c r="D517" s="623" t="s">
        <v>180</v>
      </c>
      <c r="E517" s="624" t="s">
        <v>54</v>
      </c>
      <c r="F517" s="625" t="s">
        <v>461</v>
      </c>
      <c r="G517" s="626" t="s">
        <v>814</v>
      </c>
      <c r="H517" s="625" t="s">
        <v>174</v>
      </c>
      <c r="I517" s="627">
        <v>0</v>
      </c>
    </row>
    <row r="518" spans="1:9" ht="13.5">
      <c r="A518" s="621">
        <v>105</v>
      </c>
      <c r="B518" s="153" t="s">
        <v>850</v>
      </c>
      <c r="C518" s="622"/>
      <c r="D518" s="623" t="s">
        <v>180</v>
      </c>
      <c r="E518" s="624" t="s">
        <v>54</v>
      </c>
      <c r="F518" s="625" t="s">
        <v>461</v>
      </c>
      <c r="G518" s="626" t="s">
        <v>649</v>
      </c>
      <c r="H518" s="625" t="s">
        <v>44</v>
      </c>
      <c r="I518" s="627">
        <v>6.1749999999999998</v>
      </c>
    </row>
    <row r="519" spans="1:9" ht="13.5">
      <c r="A519" s="621">
        <v>105</v>
      </c>
      <c r="B519" s="153" t="s">
        <v>850</v>
      </c>
      <c r="C519" s="622"/>
      <c r="D519" s="623" t="s">
        <v>180</v>
      </c>
      <c r="E519" s="624" t="s">
        <v>54</v>
      </c>
      <c r="F519" s="625" t="s">
        <v>168</v>
      </c>
      <c r="G519" s="626" t="s">
        <v>815</v>
      </c>
      <c r="H519" s="625" t="s">
        <v>44</v>
      </c>
      <c r="I519" s="627">
        <v>51.375999999999998</v>
      </c>
    </row>
    <row r="520" spans="1:9" ht="13.5">
      <c r="A520" s="621">
        <v>105</v>
      </c>
      <c r="B520" s="153" t="s">
        <v>850</v>
      </c>
      <c r="C520" s="622"/>
      <c r="D520" s="623" t="s">
        <v>180</v>
      </c>
      <c r="E520" s="624" t="s">
        <v>54</v>
      </c>
      <c r="F520" s="625" t="s">
        <v>168</v>
      </c>
      <c r="G520" s="626" t="s">
        <v>1007</v>
      </c>
      <c r="H520" s="625" t="s">
        <v>44</v>
      </c>
      <c r="I520" s="627">
        <v>62.068500000000007</v>
      </c>
    </row>
    <row r="521" spans="1:9" ht="13.5">
      <c r="A521" s="621">
        <v>105</v>
      </c>
      <c r="B521" s="153" t="s">
        <v>850</v>
      </c>
      <c r="C521" s="622"/>
      <c r="D521" s="623" t="s">
        <v>180</v>
      </c>
      <c r="E521" s="624" t="s">
        <v>54</v>
      </c>
      <c r="F521" s="625" t="s">
        <v>123</v>
      </c>
      <c r="G521" s="626" t="s">
        <v>1008</v>
      </c>
      <c r="H521" s="625" t="s">
        <v>109</v>
      </c>
      <c r="I521" s="627">
        <v>7.3579999999999997</v>
      </c>
    </row>
    <row r="522" spans="1:9" ht="13.5">
      <c r="A522" s="621">
        <v>105</v>
      </c>
      <c r="B522" s="153" t="s">
        <v>850</v>
      </c>
      <c r="C522" s="622"/>
      <c r="D522" s="623" t="s">
        <v>180</v>
      </c>
      <c r="E522" s="624" t="s">
        <v>54</v>
      </c>
      <c r="F522" s="625" t="s">
        <v>488</v>
      </c>
      <c r="G522" s="626" t="s">
        <v>1009</v>
      </c>
      <c r="H522" s="625" t="s">
        <v>176</v>
      </c>
      <c r="I522" s="627">
        <v>13.520000000000001</v>
      </c>
    </row>
    <row r="523" spans="1:9" ht="13.5">
      <c r="A523" s="621">
        <v>105</v>
      </c>
      <c r="B523" s="153" t="s">
        <v>850</v>
      </c>
      <c r="C523" s="622"/>
      <c r="D523" s="623" t="s">
        <v>180</v>
      </c>
      <c r="E523" s="624" t="s">
        <v>54</v>
      </c>
      <c r="F523" s="625" t="s">
        <v>488</v>
      </c>
      <c r="G523" s="626" t="s">
        <v>1010</v>
      </c>
      <c r="H523" s="625" t="s">
        <v>44</v>
      </c>
      <c r="I523" s="627">
        <v>10.8095</v>
      </c>
    </row>
    <row r="524" spans="1:9" ht="13.5">
      <c r="A524" s="621">
        <v>105</v>
      </c>
      <c r="B524" s="153" t="s">
        <v>850</v>
      </c>
      <c r="C524" s="622"/>
      <c r="D524" s="623" t="s">
        <v>180</v>
      </c>
      <c r="E524" s="624" t="s">
        <v>621</v>
      </c>
      <c r="F524" s="625" t="s">
        <v>776</v>
      </c>
      <c r="G524" s="626" t="s">
        <v>384</v>
      </c>
      <c r="H524" s="625"/>
      <c r="I524" s="627">
        <v>0</v>
      </c>
    </row>
    <row r="525" spans="1:9" ht="13.5">
      <c r="A525" s="621">
        <v>105</v>
      </c>
      <c r="B525" s="153" t="s">
        <v>850</v>
      </c>
      <c r="C525" s="622"/>
      <c r="D525" s="623" t="s">
        <v>180</v>
      </c>
      <c r="E525" s="624" t="s">
        <v>621</v>
      </c>
      <c r="F525" s="625" t="s">
        <v>630</v>
      </c>
      <c r="G525" s="626" t="s">
        <v>1013</v>
      </c>
      <c r="H525" s="625" t="s">
        <v>19</v>
      </c>
      <c r="I525" s="627">
        <v>361</v>
      </c>
    </row>
    <row r="526" spans="1:9" ht="13.5">
      <c r="A526" s="621">
        <v>105</v>
      </c>
      <c r="B526" s="153" t="s">
        <v>850</v>
      </c>
      <c r="C526" s="622"/>
      <c r="D526" s="623" t="s">
        <v>180</v>
      </c>
      <c r="E526" s="624" t="s">
        <v>621</v>
      </c>
      <c r="F526" s="625" t="s">
        <v>627</v>
      </c>
      <c r="G526" s="626" t="s">
        <v>1014</v>
      </c>
      <c r="H526" s="625" t="s">
        <v>19</v>
      </c>
      <c r="I526" s="627">
        <v>465</v>
      </c>
    </row>
    <row r="527" spans="1:9" ht="13.5">
      <c r="A527" s="621">
        <v>105</v>
      </c>
      <c r="B527" s="153" t="s">
        <v>850</v>
      </c>
      <c r="C527" s="622"/>
      <c r="D527" s="623" t="s">
        <v>180</v>
      </c>
      <c r="E527" s="624" t="s">
        <v>621</v>
      </c>
      <c r="F527" s="625" t="s">
        <v>627</v>
      </c>
      <c r="G527" s="626" t="s">
        <v>1015</v>
      </c>
      <c r="H527" s="625" t="s">
        <v>19</v>
      </c>
      <c r="I527" s="627">
        <v>436</v>
      </c>
    </row>
    <row r="528" spans="1:9" ht="13.5">
      <c r="A528" s="621">
        <v>105</v>
      </c>
      <c r="B528" s="153" t="s">
        <v>850</v>
      </c>
      <c r="C528" s="622"/>
      <c r="D528" s="623" t="s">
        <v>180</v>
      </c>
      <c r="E528" s="624" t="s">
        <v>621</v>
      </c>
      <c r="F528" s="625" t="s">
        <v>630</v>
      </c>
      <c r="G528" s="626" t="s">
        <v>1017</v>
      </c>
      <c r="H528" s="625" t="s">
        <v>174</v>
      </c>
      <c r="I528" s="627">
        <v>85.410000000000011</v>
      </c>
    </row>
    <row r="529" spans="1:9" ht="13.5">
      <c r="A529" s="621">
        <v>105</v>
      </c>
      <c r="B529" s="153" t="s">
        <v>850</v>
      </c>
      <c r="C529" s="622"/>
      <c r="D529" s="623" t="s">
        <v>180</v>
      </c>
      <c r="E529" s="624" t="s">
        <v>621</v>
      </c>
      <c r="F529" s="625" t="s">
        <v>833</v>
      </c>
      <c r="G529" s="626" t="s">
        <v>1018</v>
      </c>
      <c r="H529" s="625" t="s">
        <v>19</v>
      </c>
      <c r="I529" s="627">
        <v>13</v>
      </c>
    </row>
    <row r="530" spans="1:9" ht="13.5">
      <c r="A530" s="621">
        <v>105</v>
      </c>
      <c r="B530" s="153" t="s">
        <v>850</v>
      </c>
      <c r="C530" s="622"/>
      <c r="D530" s="623" t="s">
        <v>180</v>
      </c>
      <c r="E530" s="624" t="s">
        <v>621</v>
      </c>
      <c r="F530" s="625" t="s">
        <v>1019</v>
      </c>
      <c r="G530" s="626" t="s">
        <v>1020</v>
      </c>
      <c r="H530" s="625"/>
      <c r="I530" s="627">
        <v>0</v>
      </c>
    </row>
    <row r="531" spans="1:9" ht="13.5">
      <c r="A531" s="621">
        <v>105</v>
      </c>
      <c r="B531" s="153" t="s">
        <v>850</v>
      </c>
      <c r="C531" s="622"/>
      <c r="D531" s="623" t="s">
        <v>180</v>
      </c>
      <c r="E531" s="624" t="s">
        <v>621</v>
      </c>
      <c r="F531" s="625" t="s">
        <v>837</v>
      </c>
      <c r="G531" s="626" t="s">
        <v>838</v>
      </c>
      <c r="H531" s="625" t="s">
        <v>19</v>
      </c>
      <c r="I531" s="627">
        <v>25</v>
      </c>
    </row>
    <row r="532" spans="1:9" ht="13.5">
      <c r="A532" s="621">
        <v>105</v>
      </c>
      <c r="B532" s="153" t="s">
        <v>850</v>
      </c>
      <c r="C532" s="622"/>
      <c r="D532" s="623" t="s">
        <v>180</v>
      </c>
      <c r="E532" s="624" t="s">
        <v>621</v>
      </c>
      <c r="F532" s="625" t="s">
        <v>940</v>
      </c>
      <c r="G532" s="626" t="s">
        <v>941</v>
      </c>
      <c r="H532" s="625" t="s">
        <v>19</v>
      </c>
      <c r="I532" s="627">
        <v>17</v>
      </c>
    </row>
    <row r="533" spans="1:9" ht="13.5">
      <c r="A533" s="621">
        <v>105</v>
      </c>
      <c r="B533" s="153" t="s">
        <v>850</v>
      </c>
      <c r="C533" s="622"/>
      <c r="D533" s="623" t="s">
        <v>180</v>
      </c>
      <c r="E533" s="624" t="s">
        <v>621</v>
      </c>
      <c r="F533" s="625" t="s">
        <v>597</v>
      </c>
      <c r="G533" s="626" t="s">
        <v>839</v>
      </c>
      <c r="H533" s="625" t="s">
        <v>44</v>
      </c>
      <c r="I533" s="627">
        <v>33.423000000000002</v>
      </c>
    </row>
    <row r="534" spans="1:9" ht="13.5">
      <c r="A534" s="621">
        <v>105</v>
      </c>
      <c r="B534" s="153" t="s">
        <v>850</v>
      </c>
      <c r="C534" s="622"/>
      <c r="D534" s="623" t="s">
        <v>180</v>
      </c>
      <c r="E534" s="624" t="s">
        <v>621</v>
      </c>
      <c r="F534" s="625" t="s">
        <v>647</v>
      </c>
      <c r="G534" s="626" t="s">
        <v>840</v>
      </c>
      <c r="H534" s="625" t="s">
        <v>1158</v>
      </c>
      <c r="I534" s="627">
        <v>27</v>
      </c>
    </row>
    <row r="535" spans="1:9" ht="13.5">
      <c r="A535" s="621">
        <v>105</v>
      </c>
      <c r="B535" s="153" t="s">
        <v>850</v>
      </c>
      <c r="C535" s="622"/>
      <c r="D535" s="623" t="s">
        <v>180</v>
      </c>
      <c r="E535" s="624" t="s">
        <v>621</v>
      </c>
      <c r="F535" s="625" t="s">
        <v>597</v>
      </c>
      <c r="G535" s="626" t="s">
        <v>680</v>
      </c>
      <c r="H535" s="625" t="s">
        <v>44</v>
      </c>
      <c r="I535" s="627">
        <v>18.330000000000002</v>
      </c>
    </row>
    <row r="536" spans="1:9" ht="13.5">
      <c r="A536" s="621">
        <v>105</v>
      </c>
      <c r="B536" s="153" t="s">
        <v>850</v>
      </c>
      <c r="C536" s="622"/>
      <c r="D536" s="623" t="s">
        <v>180</v>
      </c>
      <c r="E536" s="624" t="s">
        <v>621</v>
      </c>
      <c r="F536" s="625" t="s">
        <v>647</v>
      </c>
      <c r="G536" s="626" t="s">
        <v>681</v>
      </c>
      <c r="H536" s="625" t="s">
        <v>19</v>
      </c>
      <c r="I536" s="627">
        <v>40</v>
      </c>
    </row>
    <row r="537" spans="1:9" ht="13.5">
      <c r="A537" s="621">
        <v>105</v>
      </c>
      <c r="B537" s="153" t="s">
        <v>850</v>
      </c>
      <c r="C537" s="622"/>
      <c r="D537" s="623" t="s">
        <v>180</v>
      </c>
      <c r="E537" s="624" t="s">
        <v>621</v>
      </c>
      <c r="F537" s="625" t="s">
        <v>168</v>
      </c>
      <c r="G537" s="626" t="s">
        <v>843</v>
      </c>
      <c r="H537" s="625"/>
      <c r="I537" s="627">
        <v>0</v>
      </c>
    </row>
    <row r="538" spans="1:9" ht="13.5">
      <c r="A538" s="621">
        <v>105</v>
      </c>
      <c r="B538" s="153" t="s">
        <v>850</v>
      </c>
      <c r="C538" s="622"/>
      <c r="D538" s="623" t="s">
        <v>180</v>
      </c>
      <c r="E538" s="624" t="s">
        <v>621</v>
      </c>
      <c r="F538" s="625" t="s">
        <v>168</v>
      </c>
      <c r="G538" s="626" t="s">
        <v>1021</v>
      </c>
      <c r="H538" s="625"/>
      <c r="I538" s="627">
        <v>0</v>
      </c>
    </row>
    <row r="539" spans="1:9" ht="13.5">
      <c r="A539" s="621">
        <v>106</v>
      </c>
      <c r="B539" s="153" t="s">
        <v>1034</v>
      </c>
      <c r="C539" s="622"/>
      <c r="D539" s="623" t="s">
        <v>22</v>
      </c>
      <c r="E539" s="624"/>
      <c r="F539" s="625" t="s">
        <v>292</v>
      </c>
      <c r="G539" s="626" t="s">
        <v>1693</v>
      </c>
      <c r="H539" s="625" t="s">
        <v>176</v>
      </c>
      <c r="I539" s="627">
        <v>15</v>
      </c>
    </row>
    <row r="540" spans="1:9" ht="13.5">
      <c r="A540" s="621">
        <v>106</v>
      </c>
      <c r="B540" s="153" t="s">
        <v>1034</v>
      </c>
      <c r="C540" s="622"/>
      <c r="D540" s="623" t="s">
        <v>22</v>
      </c>
      <c r="E540" s="624"/>
      <c r="F540" s="625" t="s">
        <v>1035</v>
      </c>
      <c r="G540" s="626" t="s">
        <v>1694</v>
      </c>
      <c r="H540" s="625" t="s">
        <v>1035</v>
      </c>
      <c r="I540" s="627">
        <v>22</v>
      </c>
    </row>
    <row r="541" spans="1:9" ht="13.5">
      <c r="A541" s="621">
        <v>106</v>
      </c>
      <c r="B541" s="153" t="s">
        <v>1034</v>
      </c>
      <c r="C541" s="622"/>
      <c r="D541" s="623" t="s">
        <v>22</v>
      </c>
      <c r="E541" s="624"/>
      <c r="F541" s="625" t="s">
        <v>1036</v>
      </c>
      <c r="G541" s="626" t="s">
        <v>14</v>
      </c>
      <c r="H541" s="625" t="s">
        <v>1036</v>
      </c>
      <c r="I541" s="627">
        <v>4</v>
      </c>
    </row>
    <row r="542" spans="1:9" ht="13.5">
      <c r="A542" s="621">
        <v>106</v>
      </c>
      <c r="B542" s="153" t="s">
        <v>1034</v>
      </c>
      <c r="C542" s="622"/>
      <c r="D542" s="623" t="s">
        <v>22</v>
      </c>
      <c r="E542" s="624"/>
      <c r="F542" s="625" t="s">
        <v>1037</v>
      </c>
      <c r="G542" s="626" t="s">
        <v>1695</v>
      </c>
      <c r="H542" s="625" t="s">
        <v>1037</v>
      </c>
      <c r="I542" s="627">
        <v>16</v>
      </c>
    </row>
    <row r="543" spans="1:9" ht="13.5">
      <c r="A543" s="621">
        <v>107</v>
      </c>
      <c r="B543" s="153" t="s">
        <v>288</v>
      </c>
      <c r="C543" s="622"/>
      <c r="D543" s="623" t="s">
        <v>22</v>
      </c>
      <c r="E543" s="624"/>
      <c r="F543" s="625" t="s">
        <v>123</v>
      </c>
      <c r="G543" s="626" t="s">
        <v>1701</v>
      </c>
      <c r="H543" s="625" t="s">
        <v>68</v>
      </c>
      <c r="I543" s="627">
        <v>5.51</v>
      </c>
    </row>
    <row r="544" spans="1:9" ht="13.5">
      <c r="A544" s="621">
        <v>107</v>
      </c>
      <c r="B544" s="153" t="s">
        <v>288</v>
      </c>
      <c r="C544" s="622"/>
      <c r="D544" s="623" t="s">
        <v>22</v>
      </c>
      <c r="E544" s="624"/>
      <c r="F544" s="625" t="s">
        <v>123</v>
      </c>
      <c r="G544" s="626" t="s">
        <v>1702</v>
      </c>
      <c r="H544" s="625" t="s">
        <v>68</v>
      </c>
      <c r="I544" s="627">
        <v>5.51</v>
      </c>
    </row>
    <row r="545" spans="1:9" ht="13.5">
      <c r="A545" s="621">
        <v>107</v>
      </c>
      <c r="B545" s="153" t="s">
        <v>288</v>
      </c>
      <c r="C545" s="622"/>
      <c r="D545" s="623" t="s">
        <v>22</v>
      </c>
      <c r="E545" s="624"/>
      <c r="F545" s="625" t="s">
        <v>111</v>
      </c>
      <c r="G545" s="626" t="s">
        <v>1704</v>
      </c>
      <c r="H545" s="625" t="s">
        <v>109</v>
      </c>
      <c r="I545" s="627">
        <v>13</v>
      </c>
    </row>
    <row r="546" spans="1:9" ht="13.5">
      <c r="A546" s="621">
        <v>107</v>
      </c>
      <c r="B546" s="153" t="s">
        <v>288</v>
      </c>
      <c r="C546" s="622"/>
      <c r="D546" s="623" t="s">
        <v>22</v>
      </c>
      <c r="E546" s="624"/>
      <c r="F546" s="625" t="s">
        <v>111</v>
      </c>
      <c r="G546" s="626" t="s">
        <v>1705</v>
      </c>
      <c r="H546" s="625" t="s">
        <v>160</v>
      </c>
      <c r="I546" s="627">
        <v>13.1</v>
      </c>
    </row>
    <row r="547" spans="1:9" ht="13.5">
      <c r="A547" s="621">
        <v>107</v>
      </c>
      <c r="B547" s="153" t="s">
        <v>288</v>
      </c>
      <c r="C547" s="622"/>
      <c r="D547" s="623" t="s">
        <v>22</v>
      </c>
      <c r="E547" s="624"/>
      <c r="F547" s="625" t="s">
        <v>145</v>
      </c>
      <c r="G547" s="626" t="s">
        <v>1706</v>
      </c>
      <c r="H547" s="625" t="s">
        <v>109</v>
      </c>
      <c r="I547" s="627">
        <v>3.7</v>
      </c>
    </row>
    <row r="548" spans="1:9" ht="13.5">
      <c r="A548" s="621">
        <v>107</v>
      </c>
      <c r="B548" s="153" t="s">
        <v>288</v>
      </c>
      <c r="C548" s="622"/>
      <c r="D548" s="623" t="s">
        <v>22</v>
      </c>
      <c r="E548" s="624"/>
      <c r="F548" s="625" t="s">
        <v>31</v>
      </c>
      <c r="G548" s="626" t="s">
        <v>1707</v>
      </c>
      <c r="H548" s="625" t="s">
        <v>176</v>
      </c>
      <c r="I548" s="627">
        <v>11.8</v>
      </c>
    </row>
    <row r="549" spans="1:9" ht="13.5">
      <c r="A549" s="621">
        <v>107</v>
      </c>
      <c r="B549" s="153" t="s">
        <v>288</v>
      </c>
      <c r="C549" s="622"/>
      <c r="D549" s="623" t="s">
        <v>22</v>
      </c>
      <c r="E549" s="624"/>
      <c r="F549" s="625" t="s">
        <v>36</v>
      </c>
      <c r="G549" s="626" t="s">
        <v>1708</v>
      </c>
      <c r="H549" s="625" t="s">
        <v>160</v>
      </c>
      <c r="I549" s="627">
        <v>17.5</v>
      </c>
    </row>
    <row r="550" spans="1:9" ht="13.5">
      <c r="A550" s="621">
        <v>107</v>
      </c>
      <c r="B550" s="153" t="s">
        <v>288</v>
      </c>
      <c r="C550" s="622"/>
      <c r="D550" s="623" t="s">
        <v>22</v>
      </c>
      <c r="E550" s="624"/>
      <c r="F550" s="625" t="s">
        <v>37</v>
      </c>
      <c r="G550" s="626" t="s">
        <v>1709</v>
      </c>
      <c r="H550" s="625" t="s">
        <v>160</v>
      </c>
      <c r="I550" s="627">
        <v>14</v>
      </c>
    </row>
    <row r="551" spans="1:9" ht="13.5">
      <c r="A551" s="621">
        <v>107</v>
      </c>
      <c r="B551" s="153" t="s">
        <v>288</v>
      </c>
      <c r="C551" s="622"/>
      <c r="D551" s="623" t="s">
        <v>22</v>
      </c>
      <c r="E551" s="624"/>
      <c r="F551" s="625" t="s">
        <v>282</v>
      </c>
      <c r="G551" s="626" t="s">
        <v>1713</v>
      </c>
      <c r="H551" s="625" t="s">
        <v>176</v>
      </c>
      <c r="I551" s="627">
        <v>14.9</v>
      </c>
    </row>
    <row r="552" spans="1:9" ht="13.5">
      <c r="A552" s="621">
        <v>107</v>
      </c>
      <c r="B552" s="153" t="s">
        <v>288</v>
      </c>
      <c r="C552" s="622"/>
      <c r="D552" s="623" t="s">
        <v>22</v>
      </c>
      <c r="E552" s="624"/>
      <c r="F552" s="625" t="s">
        <v>283</v>
      </c>
      <c r="G552" s="626" t="s">
        <v>1714</v>
      </c>
      <c r="H552" s="625" t="s">
        <v>109</v>
      </c>
      <c r="I552" s="627">
        <v>3.7</v>
      </c>
    </row>
    <row r="553" spans="1:9" ht="13.5">
      <c r="A553" s="621">
        <v>107</v>
      </c>
      <c r="B553" s="153" t="s">
        <v>288</v>
      </c>
      <c r="C553" s="622"/>
      <c r="D553" s="623" t="s">
        <v>22</v>
      </c>
      <c r="E553" s="624"/>
      <c r="F553" s="625" t="s">
        <v>128</v>
      </c>
      <c r="G553" s="626" t="s">
        <v>1715</v>
      </c>
      <c r="H553" s="625" t="s">
        <v>12</v>
      </c>
      <c r="I553" s="627">
        <v>9.8000000000000007</v>
      </c>
    </row>
    <row r="554" spans="1:9" ht="13.5">
      <c r="A554" s="621">
        <v>107</v>
      </c>
      <c r="B554" s="153" t="s">
        <v>288</v>
      </c>
      <c r="C554" s="622"/>
      <c r="D554" s="623" t="s">
        <v>22</v>
      </c>
      <c r="E554" s="624"/>
      <c r="F554" s="625" t="s">
        <v>192</v>
      </c>
      <c r="G554" s="626" t="s">
        <v>1716</v>
      </c>
      <c r="H554" s="625" t="s">
        <v>160</v>
      </c>
      <c r="I554" s="627">
        <v>10.9</v>
      </c>
    </row>
    <row r="555" spans="1:9" ht="13.5">
      <c r="A555" s="621">
        <v>107</v>
      </c>
      <c r="B555" s="153" t="s">
        <v>288</v>
      </c>
      <c r="C555" s="622"/>
      <c r="D555" s="623" t="s">
        <v>22</v>
      </c>
      <c r="E555" s="624"/>
      <c r="F555" s="625" t="s">
        <v>284</v>
      </c>
      <c r="G555" s="626" t="s">
        <v>1718</v>
      </c>
      <c r="H555" s="625" t="s">
        <v>19</v>
      </c>
      <c r="I555" s="627">
        <v>2.2999999999999998</v>
      </c>
    </row>
    <row r="556" spans="1:9" ht="13.5">
      <c r="A556" s="621">
        <v>107</v>
      </c>
      <c r="B556" s="153" t="s">
        <v>288</v>
      </c>
      <c r="C556" s="622"/>
      <c r="D556" s="623" t="s">
        <v>22</v>
      </c>
      <c r="E556" s="624"/>
      <c r="F556" s="625" t="s">
        <v>284</v>
      </c>
      <c r="G556" s="626" t="s">
        <v>1719</v>
      </c>
      <c r="H556" s="625" t="s">
        <v>19</v>
      </c>
      <c r="I556" s="627">
        <v>2.2000000000000002</v>
      </c>
    </row>
    <row r="557" spans="1:9" ht="13.5">
      <c r="A557" s="621">
        <v>108</v>
      </c>
      <c r="B557" s="153" t="s">
        <v>254</v>
      </c>
      <c r="C557" s="622"/>
      <c r="D557" s="623" t="s">
        <v>22</v>
      </c>
      <c r="E557" s="624"/>
      <c r="F557" s="625" t="s">
        <v>111</v>
      </c>
      <c r="G557" s="626" t="s">
        <v>1727</v>
      </c>
      <c r="H557" s="625" t="s">
        <v>109</v>
      </c>
      <c r="I557" s="627">
        <v>13.88</v>
      </c>
    </row>
    <row r="558" spans="1:9" ht="13.5">
      <c r="A558" s="621">
        <v>108</v>
      </c>
      <c r="B558" s="153" t="s">
        <v>254</v>
      </c>
      <c r="C558" s="622"/>
      <c r="D558" s="623" t="s">
        <v>22</v>
      </c>
      <c r="E558" s="624"/>
      <c r="F558" s="625" t="s">
        <v>41</v>
      </c>
      <c r="G558" s="626" t="s">
        <v>1728</v>
      </c>
      <c r="H558" s="625" t="s">
        <v>160</v>
      </c>
      <c r="I558" s="627">
        <v>7.3</v>
      </c>
    </row>
    <row r="559" spans="1:9" ht="13.5">
      <c r="A559" s="621">
        <v>108</v>
      </c>
      <c r="B559" s="153" t="s">
        <v>254</v>
      </c>
      <c r="C559" s="622"/>
      <c r="D559" s="623" t="s">
        <v>22</v>
      </c>
      <c r="E559" s="624"/>
      <c r="F559" s="625" t="s">
        <v>127</v>
      </c>
      <c r="G559" s="626" t="s">
        <v>1733</v>
      </c>
      <c r="H559" s="625" t="s">
        <v>176</v>
      </c>
      <c r="I559" s="627">
        <v>6.22</v>
      </c>
    </row>
    <row r="560" spans="1:9" ht="13.5">
      <c r="A560" s="621">
        <v>108</v>
      </c>
      <c r="B560" s="153" t="s">
        <v>254</v>
      </c>
      <c r="C560" s="622"/>
      <c r="D560" s="623" t="s">
        <v>22</v>
      </c>
      <c r="E560" s="624"/>
      <c r="F560" s="625" t="s">
        <v>111</v>
      </c>
      <c r="G560" s="626" t="s">
        <v>1704</v>
      </c>
      <c r="H560" s="625" t="s">
        <v>1315</v>
      </c>
      <c r="I560" s="627">
        <v>51.35</v>
      </c>
    </row>
    <row r="561" spans="1:9" ht="13.5">
      <c r="A561" s="621">
        <v>108</v>
      </c>
      <c r="B561" s="153" t="s">
        <v>254</v>
      </c>
      <c r="C561" s="622"/>
      <c r="D561" s="623" t="s">
        <v>22</v>
      </c>
      <c r="E561" s="624"/>
      <c r="F561" s="625" t="s">
        <v>263</v>
      </c>
      <c r="G561" s="626" t="s">
        <v>1735</v>
      </c>
      <c r="H561" s="625" t="s">
        <v>176</v>
      </c>
      <c r="I561" s="627">
        <v>22.2</v>
      </c>
    </row>
    <row r="562" spans="1:9" ht="13.5">
      <c r="A562" s="621">
        <v>108</v>
      </c>
      <c r="B562" s="153" t="s">
        <v>254</v>
      </c>
      <c r="C562" s="622"/>
      <c r="D562" s="623" t="s">
        <v>22</v>
      </c>
      <c r="E562" s="624"/>
      <c r="F562" s="625" t="s">
        <v>115</v>
      </c>
      <c r="G562" s="626" t="s">
        <v>1707</v>
      </c>
      <c r="H562" s="625" t="s">
        <v>176</v>
      </c>
      <c r="I562" s="627">
        <v>22.2</v>
      </c>
    </row>
    <row r="563" spans="1:9" ht="13.5">
      <c r="A563" s="621">
        <v>108</v>
      </c>
      <c r="B563" s="153" t="s">
        <v>254</v>
      </c>
      <c r="C563" s="622"/>
      <c r="D563" s="623" t="s">
        <v>22</v>
      </c>
      <c r="E563" s="624"/>
      <c r="F563" s="625" t="s">
        <v>36</v>
      </c>
      <c r="G563" s="626" t="s">
        <v>1708</v>
      </c>
      <c r="H563" s="625" t="s">
        <v>160</v>
      </c>
      <c r="I563" s="627">
        <v>32.700000000000003</v>
      </c>
    </row>
    <row r="564" spans="1:9" ht="13.5">
      <c r="A564" s="621">
        <v>108</v>
      </c>
      <c r="B564" s="153" t="s">
        <v>254</v>
      </c>
      <c r="C564" s="622"/>
      <c r="D564" s="623" t="s">
        <v>22</v>
      </c>
      <c r="E564" s="624"/>
      <c r="F564" s="625" t="s">
        <v>37</v>
      </c>
      <c r="G564" s="626" t="s">
        <v>1709</v>
      </c>
      <c r="H564" s="625" t="s">
        <v>160</v>
      </c>
      <c r="I564" s="627">
        <v>17.899999999999999</v>
      </c>
    </row>
    <row r="565" spans="1:9" ht="13.5">
      <c r="A565" s="621">
        <v>108</v>
      </c>
      <c r="B565" s="153" t="s">
        <v>254</v>
      </c>
      <c r="C565" s="622"/>
      <c r="D565" s="623" t="s">
        <v>22</v>
      </c>
      <c r="E565" s="624"/>
      <c r="F565" s="625" t="s">
        <v>264</v>
      </c>
      <c r="G565" s="626" t="s">
        <v>1736</v>
      </c>
      <c r="H565" s="625" t="s">
        <v>318</v>
      </c>
      <c r="I565" s="627">
        <v>7.2</v>
      </c>
    </row>
    <row r="566" spans="1:9" ht="13.5">
      <c r="A566" s="621">
        <v>108</v>
      </c>
      <c r="B566" s="153" t="s">
        <v>254</v>
      </c>
      <c r="C566" s="622"/>
      <c r="D566" s="623" t="s">
        <v>22</v>
      </c>
      <c r="E566" s="624"/>
      <c r="F566" s="625" t="s">
        <v>265</v>
      </c>
      <c r="G566" s="626" t="s">
        <v>1737</v>
      </c>
      <c r="H566" s="625" t="s">
        <v>160</v>
      </c>
      <c r="I566" s="627">
        <v>36.69</v>
      </c>
    </row>
    <row r="567" spans="1:9" ht="13.5">
      <c r="A567" s="621">
        <v>108</v>
      </c>
      <c r="B567" s="153" t="s">
        <v>254</v>
      </c>
      <c r="C567" s="622"/>
      <c r="D567" s="623" t="s">
        <v>22</v>
      </c>
      <c r="E567" s="624"/>
      <c r="F567" s="625" t="s">
        <v>266</v>
      </c>
      <c r="G567" s="626" t="s">
        <v>1738</v>
      </c>
      <c r="H567" s="625" t="s">
        <v>109</v>
      </c>
      <c r="I567" s="627">
        <v>6.65</v>
      </c>
    </row>
    <row r="568" spans="1:9" ht="13.5">
      <c r="A568" s="621">
        <v>108</v>
      </c>
      <c r="B568" s="153" t="s">
        <v>254</v>
      </c>
      <c r="C568" s="622"/>
      <c r="D568" s="623" t="s">
        <v>22</v>
      </c>
      <c r="E568" s="624"/>
      <c r="F568" s="625" t="s">
        <v>267</v>
      </c>
      <c r="G568" s="626" t="s">
        <v>1739</v>
      </c>
      <c r="H568" s="625" t="s">
        <v>160</v>
      </c>
      <c r="I568" s="627">
        <v>38.04</v>
      </c>
    </row>
    <row r="569" spans="1:9" ht="13.5">
      <c r="A569" s="621">
        <v>108</v>
      </c>
      <c r="B569" s="153" t="s">
        <v>254</v>
      </c>
      <c r="C569" s="622"/>
      <c r="D569" s="623" t="s">
        <v>22</v>
      </c>
      <c r="E569" s="624"/>
      <c r="F569" s="625" t="s">
        <v>268</v>
      </c>
      <c r="G569" s="626" t="s">
        <v>1740</v>
      </c>
      <c r="H569" s="625" t="s">
        <v>109</v>
      </c>
      <c r="I569" s="627">
        <v>6.88</v>
      </c>
    </row>
    <row r="570" spans="1:9" ht="13.5">
      <c r="A570" s="621">
        <v>108</v>
      </c>
      <c r="B570" s="153" t="s">
        <v>254</v>
      </c>
      <c r="C570" s="622"/>
      <c r="D570" s="623" t="s">
        <v>22</v>
      </c>
      <c r="E570" s="624"/>
      <c r="F570" s="625" t="s">
        <v>272</v>
      </c>
      <c r="G570" s="626" t="s">
        <v>1744</v>
      </c>
      <c r="H570" s="625" t="s">
        <v>109</v>
      </c>
      <c r="I570" s="627">
        <v>6.7</v>
      </c>
    </row>
    <row r="571" spans="1:9" ht="13.5">
      <c r="A571" s="621">
        <v>108</v>
      </c>
      <c r="B571" s="153" t="s">
        <v>254</v>
      </c>
      <c r="C571" s="622"/>
      <c r="D571" s="623" t="s">
        <v>22</v>
      </c>
      <c r="E571" s="624"/>
      <c r="F571" s="625" t="s">
        <v>273</v>
      </c>
      <c r="G571" s="626" t="s">
        <v>1714</v>
      </c>
      <c r="H571" s="625" t="s">
        <v>1315</v>
      </c>
      <c r="I571" s="627">
        <v>62.31</v>
      </c>
    </row>
    <row r="572" spans="1:9" ht="13.5">
      <c r="A572" s="621">
        <v>108</v>
      </c>
      <c r="B572" s="153" t="s">
        <v>254</v>
      </c>
      <c r="C572" s="622"/>
      <c r="D572" s="623" t="s">
        <v>22</v>
      </c>
      <c r="E572" s="624"/>
      <c r="F572" s="625" t="s">
        <v>274</v>
      </c>
      <c r="G572" s="626" t="s">
        <v>1745</v>
      </c>
      <c r="H572" s="625" t="s">
        <v>276</v>
      </c>
      <c r="I572" s="627">
        <v>0.52</v>
      </c>
    </row>
    <row r="573" spans="1:9" ht="13.5">
      <c r="A573" s="621">
        <v>109</v>
      </c>
      <c r="B573" s="153" t="s">
        <v>851</v>
      </c>
      <c r="C573" s="622"/>
      <c r="D573" s="623" t="s">
        <v>22</v>
      </c>
      <c r="E573" s="624"/>
      <c r="F573" s="625" t="s">
        <v>1039</v>
      </c>
      <c r="G573" s="626" t="s">
        <v>1746</v>
      </c>
      <c r="H573" s="625" t="s">
        <v>160</v>
      </c>
      <c r="I573" s="627">
        <v>15</v>
      </c>
    </row>
    <row r="574" spans="1:9" ht="13.5">
      <c r="A574" s="621">
        <v>109</v>
      </c>
      <c r="B574" s="153" t="s">
        <v>851</v>
      </c>
      <c r="C574" s="622"/>
      <c r="D574" s="623" t="s">
        <v>22</v>
      </c>
      <c r="E574" s="624"/>
      <c r="F574" s="625" t="s">
        <v>1040</v>
      </c>
      <c r="G574" s="626" t="s">
        <v>1747</v>
      </c>
      <c r="H574" s="625" t="s">
        <v>160</v>
      </c>
      <c r="I574" s="627">
        <v>11</v>
      </c>
    </row>
    <row r="575" spans="1:9" ht="13.5">
      <c r="A575" s="621">
        <v>109</v>
      </c>
      <c r="B575" s="153" t="s">
        <v>851</v>
      </c>
      <c r="C575" s="622"/>
      <c r="D575" s="623" t="s">
        <v>22</v>
      </c>
      <c r="E575" s="624"/>
      <c r="F575" s="625" t="s">
        <v>292</v>
      </c>
      <c r="G575" s="626" t="s">
        <v>1748</v>
      </c>
      <c r="H575" s="625" t="s">
        <v>109</v>
      </c>
      <c r="I575" s="627">
        <v>11</v>
      </c>
    </row>
    <row r="576" spans="1:9" ht="13.5">
      <c r="A576" s="621">
        <v>109</v>
      </c>
      <c r="B576" s="153" t="s">
        <v>851</v>
      </c>
      <c r="C576" s="622"/>
      <c r="D576" s="623" t="s">
        <v>22</v>
      </c>
      <c r="E576" s="624"/>
      <c r="F576" s="625" t="s">
        <v>1041</v>
      </c>
      <c r="G576" s="626" t="s">
        <v>1693</v>
      </c>
      <c r="H576" s="625" t="s">
        <v>176</v>
      </c>
      <c r="I576" s="627">
        <v>12</v>
      </c>
    </row>
    <row r="577" spans="1:9" ht="13.5">
      <c r="A577" s="621">
        <v>110</v>
      </c>
      <c r="B577" s="153" t="s">
        <v>103</v>
      </c>
      <c r="C577" s="622"/>
      <c r="D577" s="623" t="s">
        <v>22</v>
      </c>
      <c r="E577" s="624"/>
      <c r="F577" s="625" t="s">
        <v>111</v>
      </c>
      <c r="G577" s="626" t="s">
        <v>1704</v>
      </c>
      <c r="H577" s="625" t="s">
        <v>109</v>
      </c>
      <c r="I577" s="627">
        <v>12.9</v>
      </c>
    </row>
    <row r="578" spans="1:9" ht="13.5">
      <c r="A578" s="621">
        <v>110</v>
      </c>
      <c r="B578" s="153" t="s">
        <v>103</v>
      </c>
      <c r="C578" s="622"/>
      <c r="D578" s="623" t="s">
        <v>22</v>
      </c>
      <c r="E578" s="624"/>
      <c r="F578" s="625" t="s">
        <v>112</v>
      </c>
      <c r="G578" s="626" t="s">
        <v>1705</v>
      </c>
      <c r="H578" s="625" t="s">
        <v>160</v>
      </c>
      <c r="I578" s="627">
        <v>4.2</v>
      </c>
    </row>
    <row r="579" spans="1:9" ht="13.5">
      <c r="A579" s="621">
        <v>110</v>
      </c>
      <c r="B579" s="153" t="s">
        <v>103</v>
      </c>
      <c r="C579" s="622"/>
      <c r="D579" s="623" t="s">
        <v>22</v>
      </c>
      <c r="E579" s="624"/>
      <c r="F579" s="625" t="s">
        <v>111</v>
      </c>
      <c r="G579" s="626" t="s">
        <v>1706</v>
      </c>
      <c r="H579" s="625" t="s">
        <v>160</v>
      </c>
      <c r="I579" s="627">
        <v>29.76</v>
      </c>
    </row>
    <row r="580" spans="1:9" ht="13.5">
      <c r="A580" s="621">
        <v>110</v>
      </c>
      <c r="B580" s="153" t="s">
        <v>103</v>
      </c>
      <c r="C580" s="622"/>
      <c r="D580" s="623" t="s">
        <v>22</v>
      </c>
      <c r="E580" s="624"/>
      <c r="F580" s="625" t="s">
        <v>114</v>
      </c>
      <c r="G580" s="626" t="s">
        <v>1735</v>
      </c>
      <c r="H580" s="625" t="s">
        <v>160</v>
      </c>
      <c r="I580" s="627">
        <v>32.6</v>
      </c>
    </row>
    <row r="581" spans="1:9" ht="13.5">
      <c r="A581" s="621">
        <v>110</v>
      </c>
      <c r="B581" s="153" t="s">
        <v>103</v>
      </c>
      <c r="C581" s="622"/>
      <c r="D581" s="623" t="s">
        <v>22</v>
      </c>
      <c r="E581" s="624"/>
      <c r="F581" s="625" t="s">
        <v>115</v>
      </c>
      <c r="G581" s="626" t="s">
        <v>1707</v>
      </c>
      <c r="H581" s="625" t="s">
        <v>160</v>
      </c>
      <c r="I581" s="627">
        <v>10.6</v>
      </c>
    </row>
    <row r="582" spans="1:9" ht="13.5">
      <c r="A582" s="621">
        <v>110</v>
      </c>
      <c r="B582" s="153" t="s">
        <v>103</v>
      </c>
      <c r="C582" s="622"/>
      <c r="D582" s="623" t="s">
        <v>22</v>
      </c>
      <c r="E582" s="624"/>
      <c r="F582" s="625" t="s">
        <v>116</v>
      </c>
      <c r="G582" s="626" t="s">
        <v>1708</v>
      </c>
      <c r="H582" s="625" t="s">
        <v>160</v>
      </c>
      <c r="I582" s="627">
        <v>7</v>
      </c>
    </row>
    <row r="583" spans="1:9" ht="13.5">
      <c r="A583" s="621">
        <v>110</v>
      </c>
      <c r="B583" s="153" t="s">
        <v>103</v>
      </c>
      <c r="C583" s="622"/>
      <c r="D583" s="623" t="s">
        <v>22</v>
      </c>
      <c r="E583" s="624"/>
      <c r="F583" s="625" t="s">
        <v>117</v>
      </c>
      <c r="G583" s="626" t="s">
        <v>1750</v>
      </c>
      <c r="H583" s="625" t="s">
        <v>160</v>
      </c>
      <c r="I583" s="627">
        <v>13.1</v>
      </c>
    </row>
    <row r="584" spans="1:9" ht="13.5">
      <c r="A584" s="621">
        <v>110</v>
      </c>
      <c r="B584" s="153" t="s">
        <v>103</v>
      </c>
      <c r="C584" s="622"/>
      <c r="D584" s="623" t="s">
        <v>22</v>
      </c>
      <c r="E584" s="624"/>
      <c r="F584" s="625" t="s">
        <v>118</v>
      </c>
      <c r="G584" s="626" t="s">
        <v>1751</v>
      </c>
      <c r="H584" s="625" t="s">
        <v>160</v>
      </c>
      <c r="I584" s="627">
        <v>9.4</v>
      </c>
    </row>
    <row r="585" spans="1:9" ht="13.5">
      <c r="A585" s="621">
        <v>110</v>
      </c>
      <c r="B585" s="153" t="s">
        <v>103</v>
      </c>
      <c r="C585" s="622"/>
      <c r="D585" s="623" t="s">
        <v>22</v>
      </c>
      <c r="E585" s="624"/>
      <c r="F585" s="625" t="s">
        <v>37</v>
      </c>
      <c r="G585" s="626" t="s">
        <v>1709</v>
      </c>
      <c r="H585" s="625" t="s">
        <v>160</v>
      </c>
      <c r="I585" s="627">
        <v>15.2</v>
      </c>
    </row>
    <row r="586" spans="1:9" ht="13.5">
      <c r="A586" s="621">
        <v>110</v>
      </c>
      <c r="B586" s="153" t="s">
        <v>103</v>
      </c>
      <c r="C586" s="622"/>
      <c r="D586" s="623" t="s">
        <v>22</v>
      </c>
      <c r="E586" s="624"/>
      <c r="F586" s="625" t="s">
        <v>41</v>
      </c>
      <c r="G586" s="626" t="s">
        <v>1710</v>
      </c>
      <c r="H586" s="625" t="s">
        <v>160</v>
      </c>
      <c r="I586" s="627">
        <v>19.64</v>
      </c>
    </row>
    <row r="587" spans="1:9" ht="13.5">
      <c r="A587" s="621">
        <v>110</v>
      </c>
      <c r="B587" s="153" t="s">
        <v>103</v>
      </c>
      <c r="C587" s="622"/>
      <c r="D587" s="623" t="s">
        <v>22</v>
      </c>
      <c r="E587" s="624"/>
      <c r="F587" s="625" t="s">
        <v>122</v>
      </c>
      <c r="G587" s="626" t="s">
        <v>1737</v>
      </c>
      <c r="H587" s="625" t="s">
        <v>109</v>
      </c>
      <c r="I587" s="627">
        <v>2.2000000000000002</v>
      </c>
    </row>
    <row r="588" spans="1:9" ht="13.5">
      <c r="A588" s="621">
        <v>110</v>
      </c>
      <c r="B588" s="153" t="s">
        <v>103</v>
      </c>
      <c r="C588" s="622"/>
      <c r="D588" s="623" t="s">
        <v>22</v>
      </c>
      <c r="E588" s="624"/>
      <c r="F588" s="625" t="s">
        <v>122</v>
      </c>
      <c r="G588" s="626" t="s">
        <v>1738</v>
      </c>
      <c r="H588" s="625" t="s">
        <v>160</v>
      </c>
      <c r="I588" s="627">
        <v>2.2000000000000002</v>
      </c>
    </row>
    <row r="589" spans="1:9" ht="13.5">
      <c r="A589" s="621">
        <v>110</v>
      </c>
      <c r="B589" s="153" t="s">
        <v>103</v>
      </c>
      <c r="C589" s="622"/>
      <c r="D589" s="623" t="s">
        <v>22</v>
      </c>
      <c r="E589" s="624"/>
      <c r="F589" s="625" t="s">
        <v>123</v>
      </c>
      <c r="G589" s="626" t="s">
        <v>1739</v>
      </c>
      <c r="H589" s="625" t="s">
        <v>109</v>
      </c>
      <c r="I589" s="627">
        <v>7.8</v>
      </c>
    </row>
    <row r="590" spans="1:9" ht="13.5">
      <c r="A590" s="621">
        <v>110</v>
      </c>
      <c r="B590" s="153" t="s">
        <v>103</v>
      </c>
      <c r="C590" s="622"/>
      <c r="D590" s="623" t="s">
        <v>22</v>
      </c>
      <c r="E590" s="624"/>
      <c r="F590" s="625" t="s">
        <v>123</v>
      </c>
      <c r="G590" s="626" t="s">
        <v>1755</v>
      </c>
      <c r="H590" s="625" t="s">
        <v>12</v>
      </c>
      <c r="I590" s="627">
        <v>7.25</v>
      </c>
    </row>
    <row r="591" spans="1:9" ht="13.5">
      <c r="A591" s="621">
        <v>110</v>
      </c>
      <c r="B591" s="153" t="s">
        <v>103</v>
      </c>
      <c r="C591" s="622"/>
      <c r="D591" s="623" t="s">
        <v>22</v>
      </c>
      <c r="E591" s="624"/>
      <c r="F591" s="625" t="s">
        <v>126</v>
      </c>
      <c r="G591" s="626" t="s">
        <v>1757</v>
      </c>
      <c r="H591" s="625" t="s">
        <v>160</v>
      </c>
      <c r="I591" s="627">
        <v>10.4</v>
      </c>
    </row>
    <row r="592" spans="1:9" ht="13.5">
      <c r="A592" s="621">
        <v>110</v>
      </c>
      <c r="B592" s="153" t="s">
        <v>103</v>
      </c>
      <c r="C592" s="622"/>
      <c r="D592" s="623" t="s">
        <v>22</v>
      </c>
      <c r="E592" s="624"/>
      <c r="F592" s="625" t="s">
        <v>127</v>
      </c>
      <c r="G592" s="626" t="s">
        <v>1715</v>
      </c>
      <c r="H592" s="625" t="s">
        <v>160</v>
      </c>
      <c r="I592" s="627">
        <v>20.7</v>
      </c>
    </row>
    <row r="593" spans="1:9" ht="13.5">
      <c r="A593" s="621">
        <v>110</v>
      </c>
      <c r="B593" s="153" t="s">
        <v>103</v>
      </c>
      <c r="C593" s="622"/>
      <c r="D593" s="623" t="s">
        <v>22</v>
      </c>
      <c r="E593" s="624"/>
      <c r="F593" s="625" t="s">
        <v>128</v>
      </c>
      <c r="G593" s="626" t="s">
        <v>1758</v>
      </c>
      <c r="H593" s="625" t="s">
        <v>160</v>
      </c>
      <c r="I593" s="627">
        <v>9.4</v>
      </c>
    </row>
    <row r="594" spans="1:9" ht="13.5">
      <c r="A594" s="621">
        <v>110</v>
      </c>
      <c r="B594" s="153" t="s">
        <v>103</v>
      </c>
      <c r="C594" s="622"/>
      <c r="D594" s="623" t="s">
        <v>22</v>
      </c>
      <c r="E594" s="624"/>
      <c r="F594" s="625" t="s">
        <v>130</v>
      </c>
      <c r="G594" s="626" t="s">
        <v>1759</v>
      </c>
      <c r="H594" s="625" t="s">
        <v>160</v>
      </c>
      <c r="I594" s="627">
        <v>46.17</v>
      </c>
    </row>
    <row r="595" spans="1:9" ht="13.5">
      <c r="A595" s="621">
        <v>110</v>
      </c>
      <c r="B595" s="153" t="s">
        <v>103</v>
      </c>
      <c r="C595" s="622"/>
      <c r="D595" s="623" t="s">
        <v>22</v>
      </c>
      <c r="E595" s="624"/>
      <c r="F595" s="625" t="s">
        <v>130</v>
      </c>
      <c r="G595" s="626" t="s">
        <v>1760</v>
      </c>
      <c r="H595" s="625" t="s">
        <v>160</v>
      </c>
      <c r="I595" s="627">
        <v>47.88</v>
      </c>
    </row>
    <row r="596" spans="1:9" ht="13.5">
      <c r="A596" s="621">
        <v>110</v>
      </c>
      <c r="B596" s="153" t="s">
        <v>103</v>
      </c>
      <c r="C596" s="622"/>
      <c r="D596" s="623" t="s">
        <v>22</v>
      </c>
      <c r="E596" s="624"/>
      <c r="F596" s="625" t="s">
        <v>131</v>
      </c>
      <c r="G596" s="626" t="s">
        <v>1761</v>
      </c>
      <c r="H596" s="625" t="s">
        <v>109</v>
      </c>
      <c r="I596" s="627">
        <v>46.25</v>
      </c>
    </row>
    <row r="597" spans="1:9" ht="13.5">
      <c r="A597" s="621">
        <v>110</v>
      </c>
      <c r="B597" s="153" t="s">
        <v>103</v>
      </c>
      <c r="C597" s="622"/>
      <c r="D597" s="623" t="s">
        <v>22</v>
      </c>
      <c r="E597" s="624"/>
      <c r="F597" s="625" t="s">
        <v>131</v>
      </c>
      <c r="G597" s="626" t="s">
        <v>1762</v>
      </c>
      <c r="H597" s="625" t="s">
        <v>160</v>
      </c>
      <c r="I597" s="627">
        <v>42.01</v>
      </c>
    </row>
    <row r="598" spans="1:9" ht="13.5">
      <c r="A598" s="621">
        <v>111</v>
      </c>
      <c r="B598" s="153" t="s">
        <v>852</v>
      </c>
      <c r="C598" s="622"/>
      <c r="D598" s="623" t="s">
        <v>22</v>
      </c>
      <c r="E598" s="624"/>
      <c r="F598" s="625" t="s">
        <v>1043</v>
      </c>
      <c r="G598" s="626" t="s">
        <v>1710</v>
      </c>
      <c r="H598" s="625" t="s">
        <v>160</v>
      </c>
      <c r="I598" s="627">
        <v>11.4</v>
      </c>
    </row>
    <row r="599" spans="1:9" ht="13.5">
      <c r="A599" s="621">
        <v>111</v>
      </c>
      <c r="B599" s="153" t="s">
        <v>852</v>
      </c>
      <c r="C599" s="622"/>
      <c r="D599" s="623" t="s">
        <v>22</v>
      </c>
      <c r="E599" s="624"/>
      <c r="F599" s="625" t="s">
        <v>1044</v>
      </c>
      <c r="G599" s="626" t="s">
        <v>1705</v>
      </c>
      <c r="H599" s="625" t="s">
        <v>160</v>
      </c>
      <c r="I599" s="627">
        <v>1.9</v>
      </c>
    </row>
    <row r="600" spans="1:9" ht="13.5">
      <c r="A600" s="621">
        <v>111</v>
      </c>
      <c r="B600" s="153" t="s">
        <v>852</v>
      </c>
      <c r="C600" s="622"/>
      <c r="D600" s="623" t="s">
        <v>22</v>
      </c>
      <c r="E600" s="624"/>
      <c r="F600" s="625" t="s">
        <v>1044</v>
      </c>
      <c r="G600" s="626" t="s">
        <v>1727</v>
      </c>
      <c r="H600" s="625" t="s">
        <v>160</v>
      </c>
      <c r="I600" s="627">
        <v>18.899999999999999</v>
      </c>
    </row>
    <row r="601" spans="1:9" ht="13.5">
      <c r="A601" s="621">
        <v>111</v>
      </c>
      <c r="B601" s="153" t="s">
        <v>852</v>
      </c>
      <c r="C601" s="622"/>
      <c r="D601" s="623" t="s">
        <v>22</v>
      </c>
      <c r="E601" s="624"/>
      <c r="F601" s="625" t="s">
        <v>123</v>
      </c>
      <c r="G601" s="626" t="s">
        <v>1761</v>
      </c>
      <c r="H601" s="625" t="s">
        <v>160</v>
      </c>
      <c r="I601" s="627">
        <v>13.82</v>
      </c>
    </row>
    <row r="602" spans="1:9" ht="13.5">
      <c r="A602" s="621">
        <v>111</v>
      </c>
      <c r="B602" s="153" t="s">
        <v>852</v>
      </c>
      <c r="C602" s="622"/>
      <c r="D602" s="623" t="s">
        <v>22</v>
      </c>
      <c r="E602" s="624"/>
      <c r="F602" s="625" t="s">
        <v>1045</v>
      </c>
      <c r="G602" s="626" t="s">
        <v>1763</v>
      </c>
      <c r="H602" s="625" t="s">
        <v>160</v>
      </c>
      <c r="I602" s="627">
        <v>34.200000000000003</v>
      </c>
    </row>
    <row r="603" spans="1:9" ht="13.5">
      <c r="A603" s="621">
        <v>111</v>
      </c>
      <c r="B603" s="153" t="s">
        <v>852</v>
      </c>
      <c r="C603" s="622"/>
      <c r="D603" s="623" t="s">
        <v>22</v>
      </c>
      <c r="E603" s="624"/>
      <c r="F603" s="625" t="s">
        <v>177</v>
      </c>
      <c r="G603" s="626" t="s">
        <v>1764</v>
      </c>
      <c r="H603" s="625" t="s">
        <v>160</v>
      </c>
      <c r="I603" s="627">
        <v>13.8</v>
      </c>
    </row>
    <row r="604" spans="1:9" ht="13.5">
      <c r="A604" s="621">
        <v>111</v>
      </c>
      <c r="B604" s="153" t="s">
        <v>852</v>
      </c>
      <c r="C604" s="622"/>
      <c r="D604" s="623" t="s">
        <v>22</v>
      </c>
      <c r="E604" s="624"/>
      <c r="F604" s="625" t="s">
        <v>1046</v>
      </c>
      <c r="G604" s="626" t="s">
        <v>1765</v>
      </c>
      <c r="H604" s="625" t="s">
        <v>160</v>
      </c>
      <c r="I604" s="627">
        <v>8.6</v>
      </c>
    </row>
    <row r="605" spans="1:9" ht="13.5">
      <c r="A605" s="621">
        <v>111</v>
      </c>
      <c r="B605" s="153" t="s">
        <v>852</v>
      </c>
      <c r="C605" s="622"/>
      <c r="D605" s="623" t="s">
        <v>22</v>
      </c>
      <c r="E605" s="624"/>
      <c r="F605" s="625" t="s">
        <v>1046</v>
      </c>
      <c r="G605" s="626" t="s">
        <v>1766</v>
      </c>
      <c r="H605" s="625" t="s">
        <v>160</v>
      </c>
      <c r="I605" s="627">
        <v>8.6</v>
      </c>
    </row>
    <row r="606" spans="1:9" ht="13.5">
      <c r="A606" s="621">
        <v>111</v>
      </c>
      <c r="B606" s="153" t="s">
        <v>852</v>
      </c>
      <c r="C606" s="622"/>
      <c r="D606" s="623" t="s">
        <v>22</v>
      </c>
      <c r="E606" s="624"/>
      <c r="F606" s="625" t="s">
        <v>31</v>
      </c>
      <c r="G606" s="626" t="s">
        <v>1767</v>
      </c>
      <c r="H606" s="625" t="s">
        <v>160</v>
      </c>
      <c r="I606" s="627">
        <v>15.4</v>
      </c>
    </row>
    <row r="607" spans="1:9" ht="13.5">
      <c r="A607" s="621">
        <v>111</v>
      </c>
      <c r="B607" s="153" t="s">
        <v>852</v>
      </c>
      <c r="C607" s="622"/>
      <c r="D607" s="623" t="s">
        <v>22</v>
      </c>
      <c r="E607" s="624"/>
      <c r="F607" s="625" t="s">
        <v>1048</v>
      </c>
      <c r="G607" s="626" t="s">
        <v>1769</v>
      </c>
      <c r="H607" s="625" t="s">
        <v>160</v>
      </c>
      <c r="I607" s="627">
        <v>13.4</v>
      </c>
    </row>
    <row r="608" spans="1:9" ht="13.5">
      <c r="A608" s="621">
        <v>111</v>
      </c>
      <c r="B608" s="153" t="s">
        <v>852</v>
      </c>
      <c r="C608" s="622"/>
      <c r="D608" s="623" t="s">
        <v>22</v>
      </c>
      <c r="E608" s="624"/>
      <c r="F608" s="625" t="s">
        <v>1052</v>
      </c>
      <c r="G608" s="626"/>
      <c r="H608" s="625" t="s">
        <v>160</v>
      </c>
      <c r="I608" s="627">
        <v>13.690000000000001</v>
      </c>
    </row>
    <row r="609" spans="1:9" ht="13.5">
      <c r="A609" s="621">
        <v>112</v>
      </c>
      <c r="B609" s="153" t="s">
        <v>140</v>
      </c>
      <c r="C609" s="622"/>
      <c r="D609" s="623" t="s">
        <v>22</v>
      </c>
      <c r="E609" s="624"/>
      <c r="F609" s="625" t="s">
        <v>141</v>
      </c>
      <c r="G609" s="626" t="s">
        <v>1761</v>
      </c>
      <c r="H609" s="625" t="s">
        <v>160</v>
      </c>
      <c r="I609" s="627">
        <v>32</v>
      </c>
    </row>
    <row r="610" spans="1:9" ht="13.5">
      <c r="A610" s="621">
        <v>112</v>
      </c>
      <c r="B610" s="153" t="s">
        <v>140</v>
      </c>
      <c r="C610" s="622"/>
      <c r="D610" s="623" t="s">
        <v>22</v>
      </c>
      <c r="E610" s="624"/>
      <c r="F610" s="625" t="s">
        <v>141</v>
      </c>
      <c r="G610" s="626" t="s">
        <v>1762</v>
      </c>
      <c r="H610" s="625" t="s">
        <v>160</v>
      </c>
      <c r="I610" s="627">
        <v>27.08</v>
      </c>
    </row>
    <row r="611" spans="1:9" ht="13.5">
      <c r="A611" s="621">
        <v>112</v>
      </c>
      <c r="B611" s="153" t="s">
        <v>140</v>
      </c>
      <c r="C611" s="622"/>
      <c r="D611" s="623" t="s">
        <v>22</v>
      </c>
      <c r="E611" s="624"/>
      <c r="F611" s="625" t="s">
        <v>144</v>
      </c>
      <c r="G611" s="626" t="s">
        <v>1704</v>
      </c>
      <c r="H611" s="625" t="s">
        <v>109</v>
      </c>
      <c r="I611" s="627">
        <v>7.4</v>
      </c>
    </row>
    <row r="612" spans="1:9" ht="13.5">
      <c r="A612" s="621">
        <v>112</v>
      </c>
      <c r="B612" s="153" t="s">
        <v>140</v>
      </c>
      <c r="C612" s="622"/>
      <c r="D612" s="623" t="s">
        <v>22</v>
      </c>
      <c r="E612" s="624"/>
      <c r="F612" s="625" t="s">
        <v>112</v>
      </c>
      <c r="G612" s="626" t="s">
        <v>1705</v>
      </c>
      <c r="H612" s="625" t="s">
        <v>109</v>
      </c>
      <c r="I612" s="627">
        <v>3.9</v>
      </c>
    </row>
    <row r="613" spans="1:9" ht="13.5">
      <c r="A613" s="621">
        <v>112</v>
      </c>
      <c r="B613" s="153" t="s">
        <v>140</v>
      </c>
      <c r="C613" s="622"/>
      <c r="D613" s="623" t="s">
        <v>22</v>
      </c>
      <c r="E613" s="624"/>
      <c r="F613" s="625" t="s">
        <v>145</v>
      </c>
      <c r="G613" s="626" t="s">
        <v>1706</v>
      </c>
      <c r="H613" s="625" t="s">
        <v>160</v>
      </c>
      <c r="I613" s="627">
        <v>5</v>
      </c>
    </row>
    <row r="614" spans="1:9" ht="13.5">
      <c r="A614" s="621">
        <v>112</v>
      </c>
      <c r="B614" s="153" t="s">
        <v>140</v>
      </c>
      <c r="C614" s="622"/>
      <c r="D614" s="623" t="s">
        <v>22</v>
      </c>
      <c r="E614" s="624"/>
      <c r="F614" s="625" t="s">
        <v>146</v>
      </c>
      <c r="G614" s="626" t="s">
        <v>1707</v>
      </c>
      <c r="H614" s="625" t="s">
        <v>160</v>
      </c>
      <c r="I614" s="627">
        <v>8.6999999999999993</v>
      </c>
    </row>
    <row r="615" spans="1:9" ht="13.5">
      <c r="A615" s="621">
        <v>112</v>
      </c>
      <c r="B615" s="153" t="s">
        <v>140</v>
      </c>
      <c r="C615" s="622"/>
      <c r="D615" s="623" t="s">
        <v>22</v>
      </c>
      <c r="E615" s="624"/>
      <c r="F615" s="625" t="s">
        <v>147</v>
      </c>
      <c r="G615" s="626" t="s">
        <v>1770</v>
      </c>
      <c r="H615" s="625" t="s">
        <v>142</v>
      </c>
      <c r="I615" s="627">
        <v>15.9</v>
      </c>
    </row>
    <row r="616" spans="1:9" ht="13.5">
      <c r="A616" s="621">
        <v>112</v>
      </c>
      <c r="B616" s="153" t="s">
        <v>140</v>
      </c>
      <c r="C616" s="622"/>
      <c r="D616" s="623" t="s">
        <v>22</v>
      </c>
      <c r="E616" s="624"/>
      <c r="F616" s="625" t="s">
        <v>31</v>
      </c>
      <c r="G616" s="626" t="s">
        <v>1771</v>
      </c>
      <c r="H616" s="625" t="s">
        <v>1313</v>
      </c>
      <c r="I616" s="627">
        <v>22.6</v>
      </c>
    </row>
    <row r="617" spans="1:9" ht="13.5">
      <c r="A617" s="621">
        <v>112</v>
      </c>
      <c r="B617" s="153" t="s">
        <v>140</v>
      </c>
      <c r="C617" s="622"/>
      <c r="D617" s="623" t="s">
        <v>22</v>
      </c>
      <c r="E617" s="624"/>
      <c r="F617" s="625" t="s">
        <v>116</v>
      </c>
      <c r="G617" s="626" t="s">
        <v>1708</v>
      </c>
      <c r="H617" s="625" t="s">
        <v>160</v>
      </c>
      <c r="I617" s="627">
        <v>6.8</v>
      </c>
    </row>
    <row r="618" spans="1:9" ht="13.5">
      <c r="A618" s="621">
        <v>112</v>
      </c>
      <c r="B618" s="153" t="s">
        <v>140</v>
      </c>
      <c r="C618" s="622"/>
      <c r="D618" s="623" t="s">
        <v>22</v>
      </c>
      <c r="E618" s="624"/>
      <c r="F618" s="625" t="s">
        <v>36</v>
      </c>
      <c r="G618" s="626" t="s">
        <v>1750</v>
      </c>
      <c r="H618" s="625" t="s">
        <v>160</v>
      </c>
      <c r="I618" s="627">
        <v>13</v>
      </c>
    </row>
    <row r="619" spans="1:9" ht="13.5">
      <c r="A619" s="621">
        <v>112</v>
      </c>
      <c r="B619" s="153" t="s">
        <v>140</v>
      </c>
      <c r="C619" s="622"/>
      <c r="D619" s="623" t="s">
        <v>22</v>
      </c>
      <c r="E619" s="624"/>
      <c r="F619" s="625" t="s">
        <v>36</v>
      </c>
      <c r="G619" s="626" t="s">
        <v>1751</v>
      </c>
      <c r="H619" s="625" t="s">
        <v>160</v>
      </c>
      <c r="I619" s="627">
        <v>9.6</v>
      </c>
    </row>
    <row r="620" spans="1:9" ht="13.5">
      <c r="A620" s="621">
        <v>112</v>
      </c>
      <c r="B620" s="153" t="s">
        <v>140</v>
      </c>
      <c r="C620" s="622"/>
      <c r="D620" s="623" t="s">
        <v>22</v>
      </c>
      <c r="E620" s="624"/>
      <c r="F620" s="625" t="s">
        <v>37</v>
      </c>
      <c r="G620" s="626" t="s">
        <v>1709</v>
      </c>
      <c r="H620" s="625" t="s">
        <v>160</v>
      </c>
      <c r="I620" s="627">
        <v>10.6</v>
      </c>
    </row>
    <row r="621" spans="1:9" ht="13.5">
      <c r="A621" s="621">
        <v>112</v>
      </c>
      <c r="B621" s="153" t="s">
        <v>140</v>
      </c>
      <c r="C621" s="622"/>
      <c r="D621" s="623" t="s">
        <v>22</v>
      </c>
      <c r="E621" s="624"/>
      <c r="F621" s="625" t="s">
        <v>41</v>
      </c>
      <c r="G621" s="626" t="s">
        <v>1752</v>
      </c>
      <c r="H621" s="625" t="s">
        <v>160</v>
      </c>
      <c r="I621" s="627">
        <v>14.1</v>
      </c>
    </row>
    <row r="622" spans="1:9" ht="13.5">
      <c r="A622" s="621">
        <v>112</v>
      </c>
      <c r="B622" s="153" t="s">
        <v>140</v>
      </c>
      <c r="C622" s="622"/>
      <c r="D622" s="623" t="s">
        <v>22</v>
      </c>
      <c r="E622" s="624"/>
      <c r="F622" s="625" t="s">
        <v>128</v>
      </c>
      <c r="G622" s="626" t="s">
        <v>1772</v>
      </c>
      <c r="H622" s="625" t="s">
        <v>160</v>
      </c>
      <c r="I622" s="627">
        <v>6.24</v>
      </c>
    </row>
    <row r="623" spans="1:9" ht="13.5">
      <c r="A623" s="621">
        <v>112</v>
      </c>
      <c r="B623" s="153" t="s">
        <v>140</v>
      </c>
      <c r="C623" s="622"/>
      <c r="D623" s="623" t="s">
        <v>22</v>
      </c>
      <c r="E623" s="624"/>
      <c r="F623" s="625" t="s">
        <v>149</v>
      </c>
      <c r="G623" s="626" t="s">
        <v>1737</v>
      </c>
      <c r="H623" s="625" t="s">
        <v>160</v>
      </c>
      <c r="I623" s="627">
        <v>2</v>
      </c>
    </row>
    <row r="624" spans="1:9" ht="13.5">
      <c r="A624" s="621">
        <v>112</v>
      </c>
      <c r="B624" s="153" t="s">
        <v>140</v>
      </c>
      <c r="C624" s="622"/>
      <c r="D624" s="623" t="s">
        <v>22</v>
      </c>
      <c r="E624" s="624"/>
      <c r="F624" s="625" t="s">
        <v>149</v>
      </c>
      <c r="G624" s="626" t="s">
        <v>1738</v>
      </c>
      <c r="H624" s="625" t="s">
        <v>160</v>
      </c>
      <c r="I624" s="627">
        <v>2</v>
      </c>
    </row>
    <row r="625" spans="1:9" ht="13.5">
      <c r="A625" s="621">
        <v>112</v>
      </c>
      <c r="B625" s="153" t="s">
        <v>140</v>
      </c>
      <c r="C625" s="622"/>
      <c r="D625" s="623" t="s">
        <v>22</v>
      </c>
      <c r="E625" s="624"/>
      <c r="F625" s="625" t="s">
        <v>314</v>
      </c>
      <c r="G625" s="626" t="s">
        <v>1739</v>
      </c>
      <c r="H625" s="625" t="s">
        <v>109</v>
      </c>
      <c r="I625" s="627">
        <v>5.8</v>
      </c>
    </row>
    <row r="626" spans="1:9" ht="13.5">
      <c r="A626" s="621">
        <v>112</v>
      </c>
      <c r="B626" s="153" t="s">
        <v>140</v>
      </c>
      <c r="C626" s="622"/>
      <c r="D626" s="623" t="s">
        <v>22</v>
      </c>
      <c r="E626" s="624"/>
      <c r="F626" s="625" t="s">
        <v>150</v>
      </c>
      <c r="G626" s="626" t="s">
        <v>1755</v>
      </c>
      <c r="H626" s="625" t="s">
        <v>12</v>
      </c>
      <c r="I626" s="627">
        <v>5.8</v>
      </c>
    </row>
    <row r="627" spans="1:9" ht="13.5">
      <c r="A627" s="621">
        <v>112</v>
      </c>
      <c r="B627" s="153" t="s">
        <v>140</v>
      </c>
      <c r="C627" s="622"/>
      <c r="D627" s="623" t="s">
        <v>22</v>
      </c>
      <c r="E627" s="624"/>
      <c r="F627" s="625" t="s">
        <v>184</v>
      </c>
      <c r="G627" s="626" t="s">
        <v>1757</v>
      </c>
      <c r="H627" s="625" t="s">
        <v>160</v>
      </c>
      <c r="I627" s="627">
        <v>10.4</v>
      </c>
    </row>
    <row r="628" spans="1:9" ht="13.5">
      <c r="A628" s="621">
        <v>112</v>
      </c>
      <c r="B628" s="153" t="s">
        <v>140</v>
      </c>
      <c r="C628" s="622"/>
      <c r="D628" s="623" t="s">
        <v>22</v>
      </c>
      <c r="E628" s="624"/>
      <c r="F628" s="625" t="s">
        <v>127</v>
      </c>
      <c r="G628" s="626" t="s">
        <v>1715</v>
      </c>
      <c r="H628" s="625" t="s">
        <v>160</v>
      </c>
      <c r="I628" s="627">
        <v>20.7</v>
      </c>
    </row>
    <row r="629" spans="1:9" ht="13.5">
      <c r="A629" s="621">
        <v>112</v>
      </c>
      <c r="B629" s="153" t="s">
        <v>140</v>
      </c>
      <c r="C629" s="622"/>
      <c r="D629" s="623" t="s">
        <v>22</v>
      </c>
      <c r="E629" s="624"/>
      <c r="F629" s="625" t="s">
        <v>154</v>
      </c>
      <c r="G629" s="626" t="s">
        <v>1763</v>
      </c>
      <c r="H629" s="625" t="s">
        <v>176</v>
      </c>
      <c r="I629" s="627">
        <v>5.5</v>
      </c>
    </row>
    <row r="630" spans="1:9" ht="13.5">
      <c r="A630" s="621">
        <v>112</v>
      </c>
      <c r="B630" s="153" t="s">
        <v>140</v>
      </c>
      <c r="C630" s="622"/>
      <c r="D630" s="623" t="s">
        <v>22</v>
      </c>
      <c r="E630" s="624"/>
      <c r="F630" s="625" t="s">
        <v>155</v>
      </c>
      <c r="G630" s="626" t="s">
        <v>1773</v>
      </c>
      <c r="H630" s="625" t="s">
        <v>160</v>
      </c>
      <c r="I630" s="627">
        <v>13.9</v>
      </c>
    </row>
    <row r="631" spans="1:9" ht="13.5">
      <c r="A631" s="621">
        <v>112</v>
      </c>
      <c r="B631" s="153" t="s">
        <v>140</v>
      </c>
      <c r="C631" s="622"/>
      <c r="D631" s="623" t="s">
        <v>22</v>
      </c>
      <c r="E631" s="624"/>
      <c r="F631" s="625" t="s">
        <v>156</v>
      </c>
      <c r="G631" s="626" t="s">
        <v>1774</v>
      </c>
      <c r="H631" s="625" t="s">
        <v>176</v>
      </c>
      <c r="I631" s="627">
        <v>29.8</v>
      </c>
    </row>
    <row r="632" spans="1:9" ht="13.5">
      <c r="A632" s="621">
        <v>112</v>
      </c>
      <c r="B632" s="153" t="s">
        <v>140</v>
      </c>
      <c r="C632" s="622"/>
      <c r="D632" s="623" t="s">
        <v>22</v>
      </c>
      <c r="E632" s="624"/>
      <c r="F632" s="625" t="s">
        <v>157</v>
      </c>
      <c r="G632" s="626" t="s">
        <v>1759</v>
      </c>
      <c r="H632" s="625" t="s">
        <v>160</v>
      </c>
      <c r="I632" s="627">
        <v>31.36</v>
      </c>
    </row>
    <row r="633" spans="1:9" ht="13.5">
      <c r="A633" s="621">
        <v>112</v>
      </c>
      <c r="B633" s="153" t="s">
        <v>140</v>
      </c>
      <c r="C633" s="622"/>
      <c r="D633" s="623" t="s">
        <v>22</v>
      </c>
      <c r="E633" s="624"/>
      <c r="F633" s="625" t="s">
        <v>158</v>
      </c>
      <c r="G633" s="626" t="s">
        <v>1760</v>
      </c>
      <c r="H633" s="625" t="s">
        <v>160</v>
      </c>
      <c r="I633" s="627">
        <v>34.200000000000003</v>
      </c>
    </row>
    <row r="634" spans="1:9" ht="13.5">
      <c r="A634" s="621">
        <v>112</v>
      </c>
      <c r="B634" s="153" t="s">
        <v>140</v>
      </c>
      <c r="C634" s="622"/>
      <c r="D634" s="623" t="s">
        <v>22</v>
      </c>
      <c r="E634" s="624"/>
      <c r="F634" s="625" t="s">
        <v>159</v>
      </c>
      <c r="G634" s="626" t="s">
        <v>1775</v>
      </c>
      <c r="H634" s="625" t="s">
        <v>176</v>
      </c>
      <c r="I634" s="627">
        <v>10.76</v>
      </c>
    </row>
    <row r="635" spans="1:9" ht="13.5">
      <c r="A635" s="621">
        <v>113</v>
      </c>
      <c r="B635" s="153" t="s">
        <v>853</v>
      </c>
      <c r="C635" s="622"/>
      <c r="D635" s="623" t="s">
        <v>22</v>
      </c>
      <c r="E635" s="624"/>
      <c r="F635" s="625" t="s">
        <v>112</v>
      </c>
      <c r="G635" s="626" t="s">
        <v>1705</v>
      </c>
      <c r="H635" s="625" t="s">
        <v>160</v>
      </c>
      <c r="I635" s="627">
        <v>4.2</v>
      </c>
    </row>
    <row r="636" spans="1:9" ht="13.5">
      <c r="A636" s="621">
        <v>113</v>
      </c>
      <c r="B636" s="153" t="s">
        <v>853</v>
      </c>
      <c r="C636" s="622"/>
      <c r="D636" s="623" t="s">
        <v>22</v>
      </c>
      <c r="E636" s="624"/>
      <c r="F636" s="625" t="s">
        <v>111</v>
      </c>
      <c r="G636" s="626" t="s">
        <v>1706</v>
      </c>
      <c r="H636" s="625" t="s">
        <v>160</v>
      </c>
      <c r="I636" s="627">
        <v>29.76</v>
      </c>
    </row>
    <row r="637" spans="1:9" ht="13.5">
      <c r="A637" s="621">
        <v>113</v>
      </c>
      <c r="B637" s="153" t="s">
        <v>853</v>
      </c>
      <c r="C637" s="622"/>
      <c r="D637" s="623" t="s">
        <v>22</v>
      </c>
      <c r="E637" s="624"/>
      <c r="F637" s="625" t="s">
        <v>114</v>
      </c>
      <c r="G637" s="626" t="s">
        <v>1735</v>
      </c>
      <c r="H637" s="625" t="s">
        <v>160</v>
      </c>
      <c r="I637" s="627">
        <v>32.6</v>
      </c>
    </row>
    <row r="638" spans="1:9" ht="13.5">
      <c r="A638" s="621">
        <v>113</v>
      </c>
      <c r="B638" s="153" t="s">
        <v>853</v>
      </c>
      <c r="C638" s="622"/>
      <c r="D638" s="623" t="s">
        <v>22</v>
      </c>
      <c r="E638" s="624"/>
      <c r="F638" s="625" t="s">
        <v>115</v>
      </c>
      <c r="G638" s="626" t="s">
        <v>1707</v>
      </c>
      <c r="H638" s="625" t="s">
        <v>160</v>
      </c>
      <c r="I638" s="627">
        <v>10.6</v>
      </c>
    </row>
    <row r="639" spans="1:9" ht="13.5">
      <c r="A639" s="621">
        <v>113</v>
      </c>
      <c r="B639" s="153" t="s">
        <v>853</v>
      </c>
      <c r="C639" s="622"/>
      <c r="D639" s="623" t="s">
        <v>22</v>
      </c>
      <c r="E639" s="624"/>
      <c r="F639" s="625" t="s">
        <v>116</v>
      </c>
      <c r="G639" s="626" t="s">
        <v>1708</v>
      </c>
      <c r="H639" s="625" t="s">
        <v>160</v>
      </c>
      <c r="I639" s="627">
        <v>7</v>
      </c>
    </row>
    <row r="640" spans="1:9" ht="13.5">
      <c r="A640" s="621">
        <v>113</v>
      </c>
      <c r="B640" s="153" t="s">
        <v>853</v>
      </c>
      <c r="C640" s="622"/>
      <c r="D640" s="623" t="s">
        <v>22</v>
      </c>
      <c r="E640" s="624"/>
      <c r="F640" s="625" t="s">
        <v>117</v>
      </c>
      <c r="G640" s="626" t="s">
        <v>1750</v>
      </c>
      <c r="H640" s="625" t="s">
        <v>160</v>
      </c>
      <c r="I640" s="627">
        <v>13.1</v>
      </c>
    </row>
    <row r="641" spans="1:9" ht="13.5">
      <c r="A641" s="621">
        <v>113</v>
      </c>
      <c r="B641" s="153" t="s">
        <v>853</v>
      </c>
      <c r="C641" s="622"/>
      <c r="D641" s="623" t="s">
        <v>22</v>
      </c>
      <c r="E641" s="624"/>
      <c r="F641" s="625" t="s">
        <v>118</v>
      </c>
      <c r="G641" s="626" t="s">
        <v>1751</v>
      </c>
      <c r="H641" s="625" t="s">
        <v>160</v>
      </c>
      <c r="I641" s="627">
        <v>9.4</v>
      </c>
    </row>
    <row r="642" spans="1:9" ht="13.5">
      <c r="A642" s="621">
        <v>113</v>
      </c>
      <c r="B642" s="153" t="s">
        <v>853</v>
      </c>
      <c r="C642" s="622"/>
      <c r="D642" s="623" t="s">
        <v>22</v>
      </c>
      <c r="E642" s="624"/>
      <c r="F642" s="625" t="s">
        <v>37</v>
      </c>
      <c r="G642" s="626" t="s">
        <v>1709</v>
      </c>
      <c r="H642" s="625" t="s">
        <v>160</v>
      </c>
      <c r="I642" s="627">
        <v>15.2</v>
      </c>
    </row>
    <row r="643" spans="1:9" ht="13.5">
      <c r="A643" s="621">
        <v>113</v>
      </c>
      <c r="B643" s="153" t="s">
        <v>853</v>
      </c>
      <c r="C643" s="622"/>
      <c r="D643" s="623" t="s">
        <v>22</v>
      </c>
      <c r="E643" s="624"/>
      <c r="F643" s="625" t="s">
        <v>41</v>
      </c>
      <c r="G643" s="626" t="s">
        <v>1710</v>
      </c>
      <c r="H643" s="625" t="s">
        <v>160</v>
      </c>
      <c r="I643" s="627">
        <v>19.64</v>
      </c>
    </row>
    <row r="644" spans="1:9" ht="13.5">
      <c r="A644" s="621">
        <v>113</v>
      </c>
      <c r="B644" s="153" t="s">
        <v>853</v>
      </c>
      <c r="C644" s="622"/>
      <c r="D644" s="623" t="s">
        <v>22</v>
      </c>
      <c r="E644" s="624"/>
      <c r="F644" s="625" t="s">
        <v>122</v>
      </c>
      <c r="G644" s="626" t="s">
        <v>1737</v>
      </c>
      <c r="H644" s="625" t="s">
        <v>109</v>
      </c>
      <c r="I644" s="627">
        <v>2.2000000000000002</v>
      </c>
    </row>
    <row r="645" spans="1:9" ht="13.5">
      <c r="A645" s="621">
        <v>113</v>
      </c>
      <c r="B645" s="153" t="s">
        <v>853</v>
      </c>
      <c r="C645" s="622"/>
      <c r="D645" s="623" t="s">
        <v>22</v>
      </c>
      <c r="E645" s="624"/>
      <c r="F645" s="625" t="s">
        <v>122</v>
      </c>
      <c r="G645" s="626" t="s">
        <v>1738</v>
      </c>
      <c r="H645" s="625" t="s">
        <v>160</v>
      </c>
      <c r="I645" s="627">
        <v>2.2000000000000002</v>
      </c>
    </row>
    <row r="646" spans="1:9" ht="13.5">
      <c r="A646" s="621">
        <v>113</v>
      </c>
      <c r="B646" s="153" t="s">
        <v>853</v>
      </c>
      <c r="C646" s="622"/>
      <c r="D646" s="623" t="s">
        <v>22</v>
      </c>
      <c r="E646" s="624"/>
      <c r="F646" s="625" t="s">
        <v>123</v>
      </c>
      <c r="G646" s="626" t="s">
        <v>1739</v>
      </c>
      <c r="H646" s="625" t="s">
        <v>109</v>
      </c>
      <c r="I646" s="627">
        <v>7.8</v>
      </c>
    </row>
    <row r="647" spans="1:9" ht="13.5">
      <c r="A647" s="621">
        <v>113</v>
      </c>
      <c r="B647" s="153" t="s">
        <v>853</v>
      </c>
      <c r="C647" s="622"/>
      <c r="D647" s="623" t="s">
        <v>22</v>
      </c>
      <c r="E647" s="624"/>
      <c r="F647" s="625" t="s">
        <v>123</v>
      </c>
      <c r="G647" s="626" t="s">
        <v>1755</v>
      </c>
      <c r="H647" s="625" t="s">
        <v>12</v>
      </c>
      <c r="I647" s="627">
        <v>7.25</v>
      </c>
    </row>
    <row r="648" spans="1:9" ht="13.5">
      <c r="A648" s="621">
        <v>113</v>
      </c>
      <c r="B648" s="153" t="s">
        <v>853</v>
      </c>
      <c r="C648" s="622"/>
      <c r="D648" s="623" t="s">
        <v>22</v>
      </c>
      <c r="E648" s="624"/>
      <c r="F648" s="625" t="s">
        <v>126</v>
      </c>
      <c r="G648" s="626" t="s">
        <v>1757</v>
      </c>
      <c r="H648" s="625" t="s">
        <v>160</v>
      </c>
      <c r="I648" s="627">
        <v>10.4</v>
      </c>
    </row>
    <row r="649" spans="1:9" ht="13.5">
      <c r="A649" s="621">
        <v>113</v>
      </c>
      <c r="B649" s="153" t="s">
        <v>853</v>
      </c>
      <c r="C649" s="622"/>
      <c r="D649" s="623" t="s">
        <v>22</v>
      </c>
      <c r="E649" s="624"/>
      <c r="F649" s="625" t="s">
        <v>127</v>
      </c>
      <c r="G649" s="626" t="s">
        <v>1715</v>
      </c>
      <c r="H649" s="625" t="s">
        <v>160</v>
      </c>
      <c r="I649" s="627">
        <v>20.7</v>
      </c>
    </row>
    <row r="650" spans="1:9" ht="13.5">
      <c r="A650" s="621">
        <v>113</v>
      </c>
      <c r="B650" s="153" t="s">
        <v>853</v>
      </c>
      <c r="C650" s="622"/>
      <c r="D650" s="623" t="s">
        <v>22</v>
      </c>
      <c r="E650" s="624"/>
      <c r="F650" s="625" t="s">
        <v>128</v>
      </c>
      <c r="G650" s="626" t="s">
        <v>1758</v>
      </c>
      <c r="H650" s="625" t="s">
        <v>160</v>
      </c>
      <c r="I650" s="627">
        <v>9.4</v>
      </c>
    </row>
    <row r="651" spans="1:9" ht="13.5">
      <c r="A651" s="621">
        <v>113</v>
      </c>
      <c r="B651" s="153" t="s">
        <v>853</v>
      </c>
      <c r="C651" s="622"/>
      <c r="D651" s="623" t="s">
        <v>22</v>
      </c>
      <c r="E651" s="624"/>
      <c r="F651" s="625" t="s">
        <v>130</v>
      </c>
      <c r="G651" s="626" t="s">
        <v>1759</v>
      </c>
      <c r="H651" s="625" t="s">
        <v>160</v>
      </c>
      <c r="I651" s="627">
        <v>46.17</v>
      </c>
    </row>
    <row r="652" spans="1:9" ht="13.5">
      <c r="A652" s="621">
        <v>113</v>
      </c>
      <c r="B652" s="153" t="s">
        <v>853</v>
      </c>
      <c r="C652" s="622"/>
      <c r="D652" s="623" t="s">
        <v>22</v>
      </c>
      <c r="E652" s="624"/>
      <c r="F652" s="625" t="s">
        <v>130</v>
      </c>
      <c r="G652" s="626" t="s">
        <v>1760</v>
      </c>
      <c r="H652" s="625" t="s">
        <v>160</v>
      </c>
      <c r="I652" s="627">
        <v>47.88</v>
      </c>
    </row>
    <row r="653" spans="1:9" ht="13.5">
      <c r="A653" s="621">
        <v>113</v>
      </c>
      <c r="B653" s="153" t="s">
        <v>853</v>
      </c>
      <c r="C653" s="622"/>
      <c r="D653" s="623" t="s">
        <v>22</v>
      </c>
      <c r="E653" s="624"/>
      <c r="F653" s="625" t="s">
        <v>131</v>
      </c>
      <c r="G653" s="626" t="s">
        <v>1761</v>
      </c>
      <c r="H653" s="625" t="s">
        <v>109</v>
      </c>
      <c r="I653" s="627">
        <v>46.25</v>
      </c>
    </row>
    <row r="654" spans="1:9" ht="13.5">
      <c r="A654" s="621">
        <v>113</v>
      </c>
      <c r="B654" s="153" t="s">
        <v>853</v>
      </c>
      <c r="C654" s="622"/>
      <c r="D654" s="623" t="s">
        <v>22</v>
      </c>
      <c r="E654" s="624"/>
      <c r="F654" s="625" t="s">
        <v>131</v>
      </c>
      <c r="G654" s="626" t="s">
        <v>1762</v>
      </c>
      <c r="H654" s="625" t="s">
        <v>160</v>
      </c>
      <c r="I654" s="627">
        <v>42.01</v>
      </c>
    </row>
    <row r="655" spans="1:9" ht="13.5">
      <c r="A655" s="621">
        <v>114</v>
      </c>
      <c r="B655" s="153" t="s">
        <v>21</v>
      </c>
      <c r="C655" s="622"/>
      <c r="D655" s="623" t="s">
        <v>22</v>
      </c>
      <c r="E655" s="624"/>
      <c r="F655" s="625" t="s">
        <v>20</v>
      </c>
      <c r="G655" s="626" t="s">
        <v>1706</v>
      </c>
      <c r="H655" s="625" t="s">
        <v>109</v>
      </c>
      <c r="I655" s="627">
        <v>8.7799999999999994</v>
      </c>
    </row>
    <row r="656" spans="1:9" ht="13.5">
      <c r="A656" s="621">
        <v>114</v>
      </c>
      <c r="B656" s="153" t="s">
        <v>21</v>
      </c>
      <c r="C656" s="622"/>
      <c r="D656" s="623" t="s">
        <v>22</v>
      </c>
      <c r="E656" s="624"/>
      <c r="F656" s="625" t="s">
        <v>20</v>
      </c>
      <c r="G656" s="626" t="s">
        <v>1777</v>
      </c>
      <c r="H656" s="625" t="s">
        <v>109</v>
      </c>
      <c r="I656" s="627">
        <v>13.81</v>
      </c>
    </row>
    <row r="657" spans="1:9" ht="13.5">
      <c r="A657" s="621">
        <v>114</v>
      </c>
      <c r="B657" s="153" t="s">
        <v>21</v>
      </c>
      <c r="C657" s="622"/>
      <c r="D657" s="623" t="s">
        <v>22</v>
      </c>
      <c r="E657" s="624"/>
      <c r="F657" s="625" t="s">
        <v>28</v>
      </c>
      <c r="G657" s="626" t="s">
        <v>1778</v>
      </c>
      <c r="H657" s="625" t="s">
        <v>19</v>
      </c>
      <c r="I657" s="627">
        <v>2.42</v>
      </c>
    </row>
    <row r="658" spans="1:9" ht="13.5">
      <c r="A658" s="621">
        <v>114</v>
      </c>
      <c r="B658" s="153" t="s">
        <v>21</v>
      </c>
      <c r="C658" s="622"/>
      <c r="D658" s="623" t="s">
        <v>22</v>
      </c>
      <c r="E658" s="624"/>
      <c r="F658" s="625" t="s">
        <v>29</v>
      </c>
      <c r="G658" s="626" t="s">
        <v>1779</v>
      </c>
      <c r="H658" s="625" t="s">
        <v>1316</v>
      </c>
      <c r="I658" s="627">
        <v>40.619999999999997</v>
      </c>
    </row>
    <row r="659" spans="1:9" ht="13.5">
      <c r="A659" s="621">
        <v>114</v>
      </c>
      <c r="B659" s="153" t="s">
        <v>21</v>
      </c>
      <c r="C659" s="622"/>
      <c r="D659" s="623" t="s">
        <v>22</v>
      </c>
      <c r="E659" s="624"/>
      <c r="F659" s="625" t="s">
        <v>30</v>
      </c>
      <c r="G659" s="626" t="s">
        <v>1780</v>
      </c>
      <c r="H659" s="625" t="s">
        <v>1316</v>
      </c>
      <c r="I659" s="627">
        <v>34.79</v>
      </c>
    </row>
    <row r="660" spans="1:9" ht="13.5">
      <c r="A660" s="621">
        <v>114</v>
      </c>
      <c r="B660" s="153" t="s">
        <v>21</v>
      </c>
      <c r="C660" s="622"/>
      <c r="D660" s="623" t="s">
        <v>22</v>
      </c>
      <c r="E660" s="624"/>
      <c r="F660" s="625" t="s">
        <v>31</v>
      </c>
      <c r="G660" s="626" t="s">
        <v>1707</v>
      </c>
      <c r="H660" s="625" t="s">
        <v>109</v>
      </c>
      <c r="I660" s="627">
        <v>17.68</v>
      </c>
    </row>
    <row r="661" spans="1:9" ht="13.5">
      <c r="A661" s="621">
        <v>114</v>
      </c>
      <c r="B661" s="153" t="s">
        <v>21</v>
      </c>
      <c r="C661" s="622"/>
      <c r="D661" s="623" t="s">
        <v>22</v>
      </c>
      <c r="E661" s="624"/>
      <c r="F661" s="625" t="s">
        <v>32</v>
      </c>
      <c r="G661" s="626" t="s">
        <v>1770</v>
      </c>
      <c r="H661" s="625" t="s">
        <v>109</v>
      </c>
      <c r="I661" s="627">
        <v>8.16</v>
      </c>
    </row>
    <row r="662" spans="1:9" ht="13.5">
      <c r="A662" s="621">
        <v>114</v>
      </c>
      <c r="B662" s="153" t="s">
        <v>21</v>
      </c>
      <c r="C662" s="622"/>
      <c r="D662" s="623" t="s">
        <v>22</v>
      </c>
      <c r="E662" s="624"/>
      <c r="F662" s="625" t="s">
        <v>34</v>
      </c>
      <c r="G662" s="626" t="s">
        <v>1771</v>
      </c>
      <c r="H662" s="625" t="s">
        <v>176</v>
      </c>
      <c r="I662" s="627">
        <v>14.31</v>
      </c>
    </row>
    <row r="663" spans="1:9" ht="13.5">
      <c r="A663" s="621">
        <v>114</v>
      </c>
      <c r="B663" s="153" t="s">
        <v>21</v>
      </c>
      <c r="C663" s="622"/>
      <c r="D663" s="623" t="s">
        <v>22</v>
      </c>
      <c r="E663" s="624"/>
      <c r="F663" s="625" t="s">
        <v>35</v>
      </c>
      <c r="G663" s="626" t="s">
        <v>1708</v>
      </c>
      <c r="H663" s="625" t="s">
        <v>109</v>
      </c>
      <c r="I663" s="627">
        <v>14.9</v>
      </c>
    </row>
    <row r="664" spans="1:9" ht="13.5">
      <c r="A664" s="621">
        <v>114</v>
      </c>
      <c r="B664" s="153" t="s">
        <v>21</v>
      </c>
      <c r="C664" s="622"/>
      <c r="D664" s="623" t="s">
        <v>22</v>
      </c>
      <c r="E664" s="624"/>
      <c r="F664" s="625" t="s">
        <v>36</v>
      </c>
      <c r="G664" s="626" t="s">
        <v>1750</v>
      </c>
      <c r="H664" s="625" t="s">
        <v>109</v>
      </c>
      <c r="I664" s="627">
        <v>11.71</v>
      </c>
    </row>
    <row r="665" spans="1:9" ht="13.5">
      <c r="A665" s="621">
        <v>114</v>
      </c>
      <c r="B665" s="153" t="s">
        <v>21</v>
      </c>
      <c r="C665" s="622"/>
      <c r="D665" s="623" t="s">
        <v>22</v>
      </c>
      <c r="E665" s="624"/>
      <c r="F665" s="625" t="s">
        <v>37</v>
      </c>
      <c r="G665" s="626" t="s">
        <v>1709</v>
      </c>
      <c r="H665" s="625" t="s">
        <v>109</v>
      </c>
      <c r="I665" s="627">
        <v>21.55</v>
      </c>
    </row>
    <row r="666" spans="1:9" ht="13.5">
      <c r="A666" s="621">
        <v>114</v>
      </c>
      <c r="B666" s="153" t="s">
        <v>21</v>
      </c>
      <c r="C666" s="622"/>
      <c r="D666" s="623" t="s">
        <v>22</v>
      </c>
      <c r="E666" s="624"/>
      <c r="F666" s="625" t="s">
        <v>38</v>
      </c>
      <c r="G666" s="626" t="s">
        <v>1710</v>
      </c>
      <c r="H666" s="625" t="s">
        <v>176</v>
      </c>
      <c r="I666" s="627">
        <v>10.62</v>
      </c>
    </row>
    <row r="667" spans="1:9" ht="13.5">
      <c r="A667" s="621">
        <v>114</v>
      </c>
      <c r="B667" s="153" t="s">
        <v>21</v>
      </c>
      <c r="C667" s="622"/>
      <c r="D667" s="623" t="s">
        <v>22</v>
      </c>
      <c r="E667" s="624"/>
      <c r="F667" s="625" t="s">
        <v>39</v>
      </c>
      <c r="G667" s="626" t="s">
        <v>1752</v>
      </c>
      <c r="H667" s="625" t="s">
        <v>176</v>
      </c>
      <c r="I667" s="627">
        <v>24.6</v>
      </c>
    </row>
    <row r="668" spans="1:9" ht="13.5">
      <c r="A668" s="621">
        <v>114</v>
      </c>
      <c r="B668" s="153" t="s">
        <v>21</v>
      </c>
      <c r="C668" s="622"/>
      <c r="D668" s="623" t="s">
        <v>22</v>
      </c>
      <c r="E668" s="624"/>
      <c r="F668" s="625" t="s">
        <v>41</v>
      </c>
      <c r="G668" s="626" t="s">
        <v>1781</v>
      </c>
      <c r="H668" s="625" t="s">
        <v>109</v>
      </c>
      <c r="I668" s="627">
        <v>13.85</v>
      </c>
    </row>
    <row r="669" spans="1:9" ht="13.5">
      <c r="A669" s="621">
        <v>114</v>
      </c>
      <c r="B669" s="153" t="s">
        <v>21</v>
      </c>
      <c r="C669" s="622"/>
      <c r="D669" s="623" t="s">
        <v>22</v>
      </c>
      <c r="E669" s="624"/>
      <c r="F669" s="625" t="s">
        <v>43</v>
      </c>
      <c r="G669" s="626" t="s">
        <v>1737</v>
      </c>
      <c r="H669" s="625" t="s">
        <v>44</v>
      </c>
      <c r="I669" s="627">
        <v>6.53</v>
      </c>
    </row>
    <row r="670" spans="1:9" ht="13.5">
      <c r="A670" s="621">
        <v>114</v>
      </c>
      <c r="B670" s="153" t="s">
        <v>21</v>
      </c>
      <c r="C670" s="622"/>
      <c r="D670" s="623" t="s">
        <v>22</v>
      </c>
      <c r="E670" s="624"/>
      <c r="F670" s="625" t="s">
        <v>45</v>
      </c>
      <c r="G670" s="626" t="s">
        <v>1738</v>
      </c>
      <c r="H670" s="625" t="s">
        <v>109</v>
      </c>
      <c r="I670" s="627">
        <v>7</v>
      </c>
    </row>
    <row r="671" spans="1:9" ht="13.5">
      <c r="A671" s="621">
        <v>114</v>
      </c>
      <c r="B671" s="153" t="s">
        <v>21</v>
      </c>
      <c r="C671" s="622"/>
      <c r="D671" s="623" t="s">
        <v>22</v>
      </c>
      <c r="E671" s="624"/>
      <c r="F671" s="625" t="s">
        <v>47</v>
      </c>
      <c r="G671" s="626" t="s">
        <v>1740</v>
      </c>
      <c r="H671" s="625" t="s">
        <v>44</v>
      </c>
      <c r="I671" s="627">
        <v>18.2</v>
      </c>
    </row>
    <row r="672" spans="1:9" ht="13.5">
      <c r="A672" s="621">
        <v>114</v>
      </c>
      <c r="B672" s="153" t="s">
        <v>21</v>
      </c>
      <c r="C672" s="622"/>
      <c r="D672" s="623" t="s">
        <v>22</v>
      </c>
      <c r="E672" s="624"/>
      <c r="F672" s="625" t="s">
        <v>48</v>
      </c>
      <c r="G672" s="626" t="s">
        <v>1755</v>
      </c>
      <c r="H672" s="625" t="s">
        <v>109</v>
      </c>
      <c r="I672" s="627">
        <v>6.36</v>
      </c>
    </row>
    <row r="673" spans="1:9" ht="13.5">
      <c r="A673" s="621">
        <v>114</v>
      </c>
      <c r="B673" s="153" t="s">
        <v>21</v>
      </c>
      <c r="C673" s="622"/>
      <c r="D673" s="623" t="s">
        <v>22</v>
      </c>
      <c r="E673" s="624"/>
      <c r="F673" s="625" t="s">
        <v>49</v>
      </c>
      <c r="G673" s="626" t="s">
        <v>1756</v>
      </c>
      <c r="H673" s="625" t="s">
        <v>109</v>
      </c>
      <c r="I673" s="627">
        <v>2.23</v>
      </c>
    </row>
    <row r="674" spans="1:9" ht="13.5">
      <c r="A674" s="621">
        <v>114</v>
      </c>
      <c r="B674" s="153" t="s">
        <v>21</v>
      </c>
      <c r="C674" s="622"/>
      <c r="D674" s="623" t="s">
        <v>22</v>
      </c>
      <c r="E674" s="624"/>
      <c r="F674" s="625" t="s">
        <v>50</v>
      </c>
      <c r="G674" s="626" t="s">
        <v>1783</v>
      </c>
      <c r="H674" s="625" t="s">
        <v>109</v>
      </c>
      <c r="I674" s="627">
        <v>5.0199999999999996</v>
      </c>
    </row>
    <row r="675" spans="1:9" ht="13.5">
      <c r="A675" s="621">
        <v>114</v>
      </c>
      <c r="B675" s="153" t="s">
        <v>21</v>
      </c>
      <c r="C675" s="622"/>
      <c r="D675" s="623" t="s">
        <v>22</v>
      </c>
      <c r="E675" s="624"/>
      <c r="F675" s="625" t="s">
        <v>52</v>
      </c>
      <c r="G675" s="626" t="s">
        <v>1785</v>
      </c>
      <c r="H675" s="625" t="s">
        <v>109</v>
      </c>
      <c r="I675" s="627">
        <v>32.75</v>
      </c>
    </row>
    <row r="676" spans="1:9" ht="13.5">
      <c r="A676" s="621">
        <v>114</v>
      </c>
      <c r="B676" s="153" t="s">
        <v>21</v>
      </c>
      <c r="C676" s="622"/>
      <c r="D676" s="623" t="s">
        <v>22</v>
      </c>
      <c r="E676" s="624"/>
      <c r="F676" s="625" t="s">
        <v>53</v>
      </c>
      <c r="G676" s="626" t="s">
        <v>1714</v>
      </c>
      <c r="H676" s="625" t="s">
        <v>44</v>
      </c>
      <c r="I676" s="627">
        <v>15.07</v>
      </c>
    </row>
    <row r="677" spans="1:9" ht="13.5">
      <c r="A677" s="621">
        <v>114</v>
      </c>
      <c r="B677" s="153" t="s">
        <v>21</v>
      </c>
      <c r="C677" s="622"/>
      <c r="D677" s="623" t="s">
        <v>22</v>
      </c>
      <c r="E677" s="624"/>
      <c r="F677" s="625" t="s">
        <v>55</v>
      </c>
      <c r="G677" s="626" t="s">
        <v>1786</v>
      </c>
      <c r="H677" s="625" t="s">
        <v>109</v>
      </c>
      <c r="I677" s="627">
        <v>35.49</v>
      </c>
    </row>
    <row r="678" spans="1:9" ht="13.5">
      <c r="A678" s="621">
        <v>114</v>
      </c>
      <c r="B678" s="153" t="s">
        <v>21</v>
      </c>
      <c r="C678" s="622"/>
      <c r="D678" s="623" t="s">
        <v>22</v>
      </c>
      <c r="E678" s="624"/>
      <c r="F678" s="625" t="s">
        <v>56</v>
      </c>
      <c r="G678" s="626" t="s">
        <v>1787</v>
      </c>
      <c r="H678" s="625" t="s">
        <v>109</v>
      </c>
      <c r="I678" s="627">
        <v>34.61</v>
      </c>
    </row>
    <row r="679" spans="1:9" ht="13.5">
      <c r="A679" s="621">
        <v>115</v>
      </c>
      <c r="B679" s="153" t="s">
        <v>73</v>
      </c>
      <c r="C679" s="622"/>
      <c r="D679" s="623" t="s">
        <v>74</v>
      </c>
      <c r="E679" s="624"/>
      <c r="F679" s="625" t="s">
        <v>20</v>
      </c>
      <c r="G679" s="626" t="s">
        <v>1706</v>
      </c>
      <c r="H679" s="625" t="s">
        <v>109</v>
      </c>
      <c r="I679" s="627">
        <v>19.579999999999998</v>
      </c>
    </row>
    <row r="680" spans="1:9" ht="13.5">
      <c r="A680" s="621">
        <v>115</v>
      </c>
      <c r="B680" s="153" t="s">
        <v>73</v>
      </c>
      <c r="C680" s="622"/>
      <c r="D680" s="623" t="s">
        <v>74</v>
      </c>
      <c r="E680" s="624"/>
      <c r="F680" s="625" t="s">
        <v>20</v>
      </c>
      <c r="G680" s="626" t="s">
        <v>1777</v>
      </c>
      <c r="H680" s="625" t="s">
        <v>109</v>
      </c>
      <c r="I680" s="627">
        <v>18.52</v>
      </c>
    </row>
    <row r="681" spans="1:9" ht="13.5">
      <c r="A681" s="621">
        <v>115</v>
      </c>
      <c r="B681" s="153" t="s">
        <v>73</v>
      </c>
      <c r="C681" s="622"/>
      <c r="D681" s="623" t="s">
        <v>74</v>
      </c>
      <c r="E681" s="624"/>
      <c r="F681" s="625" t="s">
        <v>78</v>
      </c>
      <c r="G681" s="626" t="s">
        <v>1789</v>
      </c>
      <c r="H681" s="625" t="s">
        <v>109</v>
      </c>
      <c r="I681" s="627">
        <v>20.94</v>
      </c>
    </row>
    <row r="682" spans="1:9" ht="13.5">
      <c r="A682" s="621">
        <v>115</v>
      </c>
      <c r="B682" s="153" t="s">
        <v>73</v>
      </c>
      <c r="C682" s="622"/>
      <c r="D682" s="623" t="s">
        <v>74</v>
      </c>
      <c r="E682" s="624"/>
      <c r="F682" s="625" t="s">
        <v>79</v>
      </c>
      <c r="G682" s="626" t="s">
        <v>1735</v>
      </c>
      <c r="H682" s="625" t="s">
        <v>176</v>
      </c>
      <c r="I682" s="627">
        <v>34.950000000000003</v>
      </c>
    </row>
    <row r="683" spans="1:9" ht="13.5">
      <c r="A683" s="621">
        <v>115</v>
      </c>
      <c r="B683" s="153" t="s">
        <v>73</v>
      </c>
      <c r="C683" s="622"/>
      <c r="D683" s="623" t="s">
        <v>74</v>
      </c>
      <c r="E683" s="624"/>
      <c r="F683" s="625" t="s">
        <v>80</v>
      </c>
      <c r="G683" s="626" t="s">
        <v>1790</v>
      </c>
      <c r="H683" s="625" t="s">
        <v>176</v>
      </c>
      <c r="I683" s="627">
        <v>28.37</v>
      </c>
    </row>
    <row r="684" spans="1:9" ht="13.5">
      <c r="A684" s="621">
        <v>115</v>
      </c>
      <c r="B684" s="153" t="s">
        <v>73</v>
      </c>
      <c r="C684" s="622"/>
      <c r="D684" s="623" t="s">
        <v>74</v>
      </c>
      <c r="E684" s="624"/>
      <c r="F684" s="625" t="s">
        <v>81</v>
      </c>
      <c r="G684" s="626" t="s">
        <v>1791</v>
      </c>
      <c r="H684" s="625" t="s">
        <v>176</v>
      </c>
      <c r="I684" s="627">
        <v>15.1</v>
      </c>
    </row>
    <row r="685" spans="1:9" ht="13.5">
      <c r="A685" s="621">
        <v>115</v>
      </c>
      <c r="B685" s="153" t="s">
        <v>73</v>
      </c>
      <c r="C685" s="622"/>
      <c r="D685" s="623" t="s">
        <v>74</v>
      </c>
      <c r="E685" s="624"/>
      <c r="F685" s="625" t="s">
        <v>69</v>
      </c>
      <c r="G685" s="626" t="s">
        <v>1707</v>
      </c>
      <c r="H685" s="625" t="s">
        <v>176</v>
      </c>
      <c r="I685" s="627">
        <v>14.18</v>
      </c>
    </row>
    <row r="686" spans="1:9" ht="13.5">
      <c r="A686" s="621">
        <v>115</v>
      </c>
      <c r="B686" s="153" t="s">
        <v>73</v>
      </c>
      <c r="C686" s="622"/>
      <c r="D686" s="623" t="s">
        <v>74</v>
      </c>
      <c r="E686" s="624"/>
      <c r="F686" s="625" t="s">
        <v>32</v>
      </c>
      <c r="G686" s="626" t="s">
        <v>1757</v>
      </c>
      <c r="H686" s="625" t="s">
        <v>109</v>
      </c>
      <c r="I686" s="627">
        <v>12.53</v>
      </c>
    </row>
    <row r="687" spans="1:9" ht="13.5">
      <c r="A687" s="621">
        <v>115</v>
      </c>
      <c r="B687" s="153" t="s">
        <v>73</v>
      </c>
      <c r="C687" s="622"/>
      <c r="D687" s="623" t="s">
        <v>74</v>
      </c>
      <c r="E687" s="624"/>
      <c r="F687" s="625" t="s">
        <v>82</v>
      </c>
      <c r="G687" s="626" t="s">
        <v>1708</v>
      </c>
      <c r="H687" s="625" t="s">
        <v>109</v>
      </c>
      <c r="I687" s="627">
        <v>11.08</v>
      </c>
    </row>
    <row r="688" spans="1:9" ht="13.5">
      <c r="A688" s="621">
        <v>115</v>
      </c>
      <c r="B688" s="153" t="s">
        <v>73</v>
      </c>
      <c r="C688" s="622"/>
      <c r="D688" s="623" t="s">
        <v>74</v>
      </c>
      <c r="E688" s="624"/>
      <c r="F688" s="625" t="s">
        <v>82</v>
      </c>
      <c r="G688" s="626" t="s">
        <v>1750</v>
      </c>
      <c r="H688" s="625" t="s">
        <v>109</v>
      </c>
      <c r="I688" s="627">
        <v>6.91</v>
      </c>
    </row>
    <row r="689" spans="1:9" ht="13.5">
      <c r="A689" s="621">
        <v>115</v>
      </c>
      <c r="B689" s="153" t="s">
        <v>73</v>
      </c>
      <c r="C689" s="622"/>
      <c r="D689" s="623" t="s">
        <v>74</v>
      </c>
      <c r="E689" s="624"/>
      <c r="F689" s="625" t="s">
        <v>83</v>
      </c>
      <c r="G689" s="626" t="s">
        <v>1709</v>
      </c>
      <c r="H689" s="625" t="s">
        <v>109</v>
      </c>
      <c r="I689" s="627">
        <v>14.75</v>
      </c>
    </row>
    <row r="690" spans="1:9" ht="13.5">
      <c r="A690" s="621">
        <v>115</v>
      </c>
      <c r="B690" s="153" t="s">
        <v>73</v>
      </c>
      <c r="C690" s="622"/>
      <c r="D690" s="623" t="s">
        <v>74</v>
      </c>
      <c r="E690" s="624"/>
      <c r="F690" s="625" t="s">
        <v>85</v>
      </c>
      <c r="G690" s="626" t="s">
        <v>1752</v>
      </c>
      <c r="H690" s="625" t="s">
        <v>109</v>
      </c>
      <c r="I690" s="627">
        <v>4.38</v>
      </c>
    </row>
    <row r="691" spans="1:9" ht="13.5">
      <c r="A691" s="621">
        <v>115</v>
      </c>
      <c r="B691" s="153" t="s">
        <v>73</v>
      </c>
      <c r="C691" s="622"/>
      <c r="D691" s="623" t="s">
        <v>74</v>
      </c>
      <c r="E691" s="624"/>
      <c r="F691" s="625" t="s">
        <v>70</v>
      </c>
      <c r="G691" s="626" t="s">
        <v>1772</v>
      </c>
      <c r="H691" s="625" t="s">
        <v>109</v>
      </c>
      <c r="I691" s="627">
        <v>13.63</v>
      </c>
    </row>
    <row r="692" spans="1:9" ht="13.5">
      <c r="A692" s="621">
        <v>115</v>
      </c>
      <c r="B692" s="153" t="s">
        <v>73</v>
      </c>
      <c r="C692" s="622"/>
      <c r="D692" s="623" t="s">
        <v>74</v>
      </c>
      <c r="E692" s="624"/>
      <c r="F692" s="625" t="s">
        <v>88</v>
      </c>
      <c r="G692" s="626" t="s">
        <v>1739</v>
      </c>
      <c r="H692" s="625" t="s">
        <v>109</v>
      </c>
      <c r="I692" s="627">
        <v>2.2000000000000002</v>
      </c>
    </row>
    <row r="693" spans="1:9" ht="13.5">
      <c r="A693" s="621">
        <v>115</v>
      </c>
      <c r="B693" s="153" t="s">
        <v>73</v>
      </c>
      <c r="C693" s="622"/>
      <c r="D693" s="623" t="s">
        <v>74</v>
      </c>
      <c r="E693" s="624"/>
      <c r="F693" s="625" t="s">
        <v>65</v>
      </c>
      <c r="G693" s="626" t="s">
        <v>1740</v>
      </c>
      <c r="H693" s="625" t="s">
        <v>109</v>
      </c>
      <c r="I693" s="627">
        <v>5.55</v>
      </c>
    </row>
    <row r="694" spans="1:9" ht="13.5">
      <c r="A694" s="621">
        <v>115</v>
      </c>
      <c r="B694" s="153" t="s">
        <v>73</v>
      </c>
      <c r="C694" s="622"/>
      <c r="D694" s="623" t="s">
        <v>74</v>
      </c>
      <c r="E694" s="624"/>
      <c r="F694" s="625" t="s">
        <v>89</v>
      </c>
      <c r="G694" s="626" t="s">
        <v>1756</v>
      </c>
      <c r="H694" s="625" t="s">
        <v>109</v>
      </c>
      <c r="I694" s="627">
        <v>3.36</v>
      </c>
    </row>
    <row r="695" spans="1:9" ht="13.5">
      <c r="A695" s="621">
        <v>115</v>
      </c>
      <c r="B695" s="153" t="s">
        <v>73</v>
      </c>
      <c r="C695" s="622"/>
      <c r="D695" s="623" t="s">
        <v>74</v>
      </c>
      <c r="E695" s="624"/>
      <c r="F695" s="625" t="s">
        <v>90</v>
      </c>
      <c r="G695" s="626" t="s">
        <v>1783</v>
      </c>
      <c r="H695" s="625" t="s">
        <v>109</v>
      </c>
      <c r="I695" s="627">
        <v>10.53</v>
      </c>
    </row>
    <row r="696" spans="1:9" ht="13.5">
      <c r="A696" s="621">
        <v>115</v>
      </c>
      <c r="B696" s="153" t="s">
        <v>73</v>
      </c>
      <c r="C696" s="622"/>
      <c r="D696" s="623" t="s">
        <v>74</v>
      </c>
      <c r="E696" s="624"/>
      <c r="F696" s="625" t="s">
        <v>91</v>
      </c>
      <c r="G696" s="626" t="s">
        <v>1714</v>
      </c>
      <c r="H696" s="625" t="s">
        <v>109</v>
      </c>
      <c r="I696" s="627">
        <v>6.55</v>
      </c>
    </row>
    <row r="697" spans="1:9" ht="13.5">
      <c r="A697" s="621">
        <v>115</v>
      </c>
      <c r="B697" s="153" t="s">
        <v>73</v>
      </c>
      <c r="C697" s="622"/>
      <c r="D697" s="623" t="s">
        <v>74</v>
      </c>
      <c r="E697" s="624"/>
      <c r="F697" s="625" t="s">
        <v>17</v>
      </c>
      <c r="G697" s="626" t="s">
        <v>1715</v>
      </c>
      <c r="H697" s="625" t="s">
        <v>109</v>
      </c>
      <c r="I697" s="627">
        <v>6.25</v>
      </c>
    </row>
    <row r="698" spans="1:9" ht="13.5">
      <c r="A698" s="621">
        <v>115</v>
      </c>
      <c r="B698" s="153" t="s">
        <v>73</v>
      </c>
      <c r="C698" s="622"/>
      <c r="D698" s="623" t="s">
        <v>74</v>
      </c>
      <c r="E698" s="624"/>
      <c r="F698" s="625" t="s">
        <v>92</v>
      </c>
      <c r="G698" s="626" t="s">
        <v>1758</v>
      </c>
      <c r="H698" s="625" t="s">
        <v>109</v>
      </c>
      <c r="I698" s="627">
        <v>5.25</v>
      </c>
    </row>
    <row r="699" spans="1:9" ht="13.5">
      <c r="A699" s="621">
        <v>115</v>
      </c>
      <c r="B699" s="153" t="s">
        <v>73</v>
      </c>
      <c r="C699" s="622"/>
      <c r="D699" s="623" t="s">
        <v>74</v>
      </c>
      <c r="E699" s="624"/>
      <c r="F699" s="625" t="s">
        <v>93</v>
      </c>
      <c r="G699" s="626" t="s">
        <v>1792</v>
      </c>
      <c r="H699" s="625" t="s">
        <v>109</v>
      </c>
      <c r="I699" s="627">
        <v>11.57</v>
      </c>
    </row>
    <row r="700" spans="1:9" ht="13.5">
      <c r="A700" s="621">
        <v>115</v>
      </c>
      <c r="B700" s="153" t="s">
        <v>73</v>
      </c>
      <c r="C700" s="622"/>
      <c r="D700" s="623" t="s">
        <v>74</v>
      </c>
      <c r="E700" s="624"/>
      <c r="F700" s="625" t="s">
        <v>94</v>
      </c>
      <c r="G700" s="626" t="s">
        <v>1793</v>
      </c>
      <c r="H700" s="625" t="s">
        <v>176</v>
      </c>
      <c r="I700" s="627">
        <v>8.6300000000000008</v>
      </c>
    </row>
    <row r="701" spans="1:9" ht="13.5">
      <c r="A701" s="621">
        <v>115</v>
      </c>
      <c r="B701" s="153" t="s">
        <v>73</v>
      </c>
      <c r="C701" s="622"/>
      <c r="D701" s="623" t="s">
        <v>74</v>
      </c>
      <c r="E701" s="624"/>
      <c r="F701" s="625" t="s">
        <v>65</v>
      </c>
      <c r="G701" s="626" t="s">
        <v>1761</v>
      </c>
      <c r="H701" s="625" t="s">
        <v>109</v>
      </c>
      <c r="I701" s="627">
        <v>13.76</v>
      </c>
    </row>
    <row r="702" spans="1:9" ht="13.5">
      <c r="A702" s="621">
        <v>115</v>
      </c>
      <c r="B702" s="153" t="s">
        <v>73</v>
      </c>
      <c r="C702" s="622"/>
      <c r="D702" s="623" t="s">
        <v>74</v>
      </c>
      <c r="E702" s="624"/>
      <c r="F702" s="625" t="s">
        <v>88</v>
      </c>
      <c r="G702" s="626" t="s">
        <v>1762</v>
      </c>
      <c r="H702" s="625" t="s">
        <v>109</v>
      </c>
      <c r="I702" s="627">
        <v>25.15</v>
      </c>
    </row>
    <row r="703" spans="1:9" ht="13.5">
      <c r="A703" s="621">
        <v>115</v>
      </c>
      <c r="B703" s="153" t="s">
        <v>73</v>
      </c>
      <c r="C703" s="622"/>
      <c r="D703" s="623" t="s">
        <v>74</v>
      </c>
      <c r="E703" s="624"/>
      <c r="F703" s="625" t="s">
        <v>88</v>
      </c>
      <c r="G703" s="626" t="s">
        <v>1701</v>
      </c>
      <c r="H703" s="625" t="s">
        <v>109</v>
      </c>
      <c r="I703" s="627">
        <v>33.200000000000003</v>
      </c>
    </row>
    <row r="704" spans="1:9" ht="13.5">
      <c r="A704" s="621">
        <v>115</v>
      </c>
      <c r="B704" s="153" t="s">
        <v>73</v>
      </c>
      <c r="C704" s="622"/>
      <c r="D704" s="623" t="s">
        <v>74</v>
      </c>
      <c r="E704" s="624"/>
      <c r="F704" s="625" t="s">
        <v>91</v>
      </c>
      <c r="G704" s="626" t="s">
        <v>1795</v>
      </c>
      <c r="H704" s="625" t="s">
        <v>109</v>
      </c>
      <c r="I704" s="627">
        <v>14.91</v>
      </c>
    </row>
    <row r="705" spans="1:9" ht="13.5">
      <c r="A705" s="621">
        <v>116</v>
      </c>
      <c r="B705" s="153" t="s">
        <v>237</v>
      </c>
      <c r="C705" s="622"/>
      <c r="D705" s="623" t="s">
        <v>22</v>
      </c>
      <c r="E705" s="624"/>
      <c r="F705" s="625" t="s">
        <v>168</v>
      </c>
      <c r="G705" s="626" t="s">
        <v>200</v>
      </c>
      <c r="H705" s="625" t="s">
        <v>160</v>
      </c>
      <c r="I705" s="627">
        <v>35</v>
      </c>
    </row>
    <row r="706" spans="1:9" ht="13.5">
      <c r="A706" s="621">
        <v>116</v>
      </c>
      <c r="B706" s="153" t="s">
        <v>237</v>
      </c>
      <c r="C706" s="622"/>
      <c r="D706" s="623" t="s">
        <v>22</v>
      </c>
      <c r="E706" s="624"/>
      <c r="F706" s="625" t="s">
        <v>123</v>
      </c>
      <c r="G706" s="626" t="s">
        <v>202</v>
      </c>
      <c r="H706" s="625" t="s">
        <v>109</v>
      </c>
      <c r="I706" s="627">
        <v>5</v>
      </c>
    </row>
    <row r="707" spans="1:9" ht="13.5">
      <c r="A707" s="621">
        <v>116</v>
      </c>
      <c r="B707" s="153" t="s">
        <v>237</v>
      </c>
      <c r="C707" s="622"/>
      <c r="D707" s="623" t="s">
        <v>22</v>
      </c>
      <c r="E707" s="624"/>
      <c r="F707" s="625" t="s">
        <v>238</v>
      </c>
      <c r="G707" s="626" t="s">
        <v>170</v>
      </c>
      <c r="H707" s="625" t="s">
        <v>12</v>
      </c>
      <c r="I707" s="627">
        <v>19</v>
      </c>
    </row>
    <row r="708" spans="1:9" ht="13.5">
      <c r="A708" s="621">
        <v>116</v>
      </c>
      <c r="B708" s="153" t="s">
        <v>237</v>
      </c>
      <c r="C708" s="622"/>
      <c r="D708" s="623" t="s">
        <v>22</v>
      </c>
      <c r="E708" s="624"/>
      <c r="F708" s="625" t="s">
        <v>220</v>
      </c>
      <c r="G708" s="626" t="s">
        <v>171</v>
      </c>
      <c r="H708" s="625" t="s">
        <v>12</v>
      </c>
      <c r="I708" s="627">
        <v>15</v>
      </c>
    </row>
    <row r="709" spans="1:9" ht="13.5">
      <c r="A709" s="621">
        <v>116</v>
      </c>
      <c r="B709" s="153" t="s">
        <v>237</v>
      </c>
      <c r="C709" s="622"/>
      <c r="D709" s="623" t="s">
        <v>22</v>
      </c>
      <c r="E709" s="624"/>
      <c r="F709" s="625" t="s">
        <v>239</v>
      </c>
      <c r="G709" s="626" t="s">
        <v>172</v>
      </c>
      <c r="H709" s="625" t="s">
        <v>12</v>
      </c>
      <c r="I709" s="627">
        <v>13</v>
      </c>
    </row>
    <row r="710" spans="1:9" ht="13.5">
      <c r="A710" s="621">
        <v>116</v>
      </c>
      <c r="B710" s="153" t="s">
        <v>237</v>
      </c>
      <c r="C710" s="622"/>
      <c r="D710" s="623" t="s">
        <v>22</v>
      </c>
      <c r="E710" s="624"/>
      <c r="F710" s="625" t="s">
        <v>240</v>
      </c>
      <c r="G710" s="626" t="s">
        <v>173</v>
      </c>
      <c r="H710" s="625" t="s">
        <v>12</v>
      </c>
      <c r="I710" s="627">
        <v>3</v>
      </c>
    </row>
    <row r="711" spans="1:9" ht="13.5">
      <c r="A711" s="621">
        <v>116</v>
      </c>
      <c r="B711" s="153" t="s">
        <v>237</v>
      </c>
      <c r="C711" s="622"/>
      <c r="D711" s="623" t="s">
        <v>22</v>
      </c>
      <c r="E711" s="624"/>
      <c r="F711" s="625" t="s">
        <v>241</v>
      </c>
      <c r="G711" s="626" t="s">
        <v>1797</v>
      </c>
      <c r="H711" s="625" t="s">
        <v>169</v>
      </c>
      <c r="I711" s="627">
        <v>158</v>
      </c>
    </row>
    <row r="712" spans="1:9" ht="13.5">
      <c r="A712" s="621">
        <v>116</v>
      </c>
      <c r="B712" s="153" t="s">
        <v>237</v>
      </c>
      <c r="C712" s="622"/>
      <c r="D712" s="623" t="s">
        <v>22</v>
      </c>
      <c r="E712" s="624"/>
      <c r="F712" s="625" t="s">
        <v>242</v>
      </c>
      <c r="G712" s="626" t="s">
        <v>1798</v>
      </c>
      <c r="H712" s="625" t="s">
        <v>12</v>
      </c>
      <c r="I712" s="627">
        <v>33</v>
      </c>
    </row>
    <row r="713" spans="1:9" ht="13.5">
      <c r="A713" s="621">
        <v>116</v>
      </c>
      <c r="B713" s="153" t="s">
        <v>237</v>
      </c>
      <c r="C713" s="622"/>
      <c r="D713" s="623" t="s">
        <v>22</v>
      </c>
      <c r="E713" s="624"/>
      <c r="F713" s="625" t="s">
        <v>36</v>
      </c>
      <c r="G713" s="626" t="s">
        <v>1746</v>
      </c>
      <c r="H713" s="625" t="s">
        <v>160</v>
      </c>
      <c r="I713" s="627">
        <v>20</v>
      </c>
    </row>
    <row r="714" spans="1:9" ht="13.5">
      <c r="A714" s="621">
        <v>116</v>
      </c>
      <c r="B714" s="153" t="s">
        <v>237</v>
      </c>
      <c r="C714" s="622"/>
      <c r="D714" s="623" t="s">
        <v>22</v>
      </c>
      <c r="E714" s="624"/>
      <c r="F714" s="625" t="s">
        <v>37</v>
      </c>
      <c r="G714" s="626" t="s">
        <v>1799</v>
      </c>
      <c r="H714" s="625" t="s">
        <v>160</v>
      </c>
      <c r="I714" s="627">
        <v>9</v>
      </c>
    </row>
    <row r="715" spans="1:9" ht="13.5">
      <c r="A715" s="621">
        <v>116</v>
      </c>
      <c r="B715" s="153" t="s">
        <v>237</v>
      </c>
      <c r="C715" s="622"/>
      <c r="D715" s="623" t="s">
        <v>22</v>
      </c>
      <c r="E715" s="624"/>
      <c r="F715" s="625" t="s">
        <v>41</v>
      </c>
      <c r="G715" s="626" t="s">
        <v>188</v>
      </c>
      <c r="H715" s="625" t="s">
        <v>160</v>
      </c>
      <c r="I715" s="627">
        <v>7</v>
      </c>
    </row>
    <row r="716" spans="1:9" ht="13.5">
      <c r="A716" s="621">
        <v>116</v>
      </c>
      <c r="B716" s="153" t="s">
        <v>237</v>
      </c>
      <c r="C716" s="622"/>
      <c r="D716" s="623" t="s">
        <v>22</v>
      </c>
      <c r="E716" s="624"/>
      <c r="F716" s="625" t="s">
        <v>168</v>
      </c>
      <c r="G716" s="626" t="s">
        <v>1802</v>
      </c>
      <c r="H716" s="625" t="s">
        <v>160</v>
      </c>
      <c r="I716" s="627">
        <v>20</v>
      </c>
    </row>
    <row r="717" spans="1:9" ht="13.5">
      <c r="A717" s="621">
        <v>116</v>
      </c>
      <c r="B717" s="153" t="s">
        <v>237</v>
      </c>
      <c r="C717" s="622"/>
      <c r="D717" s="623" t="s">
        <v>22</v>
      </c>
      <c r="E717" s="624"/>
      <c r="F717" s="625" t="s">
        <v>246</v>
      </c>
      <c r="G717" s="626" t="s">
        <v>207</v>
      </c>
      <c r="H717" s="625" t="s">
        <v>12</v>
      </c>
      <c r="I717" s="627">
        <v>9</v>
      </c>
    </row>
    <row r="718" spans="1:9" ht="13.5">
      <c r="A718" s="621">
        <v>116</v>
      </c>
      <c r="B718" s="153" t="s">
        <v>237</v>
      </c>
      <c r="C718" s="622"/>
      <c r="D718" s="623" t="s">
        <v>22</v>
      </c>
      <c r="E718" s="624"/>
      <c r="F718" s="625" t="s">
        <v>213</v>
      </c>
      <c r="G718" s="626" t="s">
        <v>1804</v>
      </c>
      <c r="H718" s="625" t="s">
        <v>176</v>
      </c>
      <c r="I718" s="627">
        <v>16</v>
      </c>
    </row>
    <row r="719" spans="1:9" ht="13.5">
      <c r="A719" s="621">
        <v>116</v>
      </c>
      <c r="B719" s="153" t="s">
        <v>237</v>
      </c>
      <c r="C719" s="622"/>
      <c r="D719" s="623" t="s">
        <v>22</v>
      </c>
      <c r="E719" s="624"/>
      <c r="F719" s="625" t="s">
        <v>130</v>
      </c>
      <c r="G719" s="626" t="s">
        <v>1805</v>
      </c>
      <c r="H719" s="625" t="s">
        <v>160</v>
      </c>
      <c r="I719" s="627">
        <v>76</v>
      </c>
    </row>
    <row r="720" spans="1:9" ht="13.5">
      <c r="A720" s="621">
        <v>116</v>
      </c>
      <c r="B720" s="153" t="s">
        <v>237</v>
      </c>
      <c r="C720" s="622"/>
      <c r="D720" s="623" t="s">
        <v>22</v>
      </c>
      <c r="E720" s="624"/>
      <c r="F720" s="625" t="s">
        <v>299</v>
      </c>
      <c r="G720" s="626" t="s">
        <v>1806</v>
      </c>
      <c r="H720" s="625" t="s">
        <v>160</v>
      </c>
      <c r="I720" s="627">
        <v>13</v>
      </c>
    </row>
    <row r="721" spans="1:9" ht="13.5">
      <c r="A721" s="621">
        <v>116</v>
      </c>
      <c r="B721" s="153" t="s">
        <v>237</v>
      </c>
      <c r="C721" s="622"/>
      <c r="D721" s="623" t="s">
        <v>22</v>
      </c>
      <c r="E721" s="624"/>
      <c r="F721" s="625" t="s">
        <v>248</v>
      </c>
      <c r="G721" s="626" t="s">
        <v>1807</v>
      </c>
      <c r="H721" s="625" t="s">
        <v>160</v>
      </c>
      <c r="I721" s="627">
        <v>1</v>
      </c>
    </row>
    <row r="722" spans="1:9" ht="13.5">
      <c r="A722" s="621">
        <v>116</v>
      </c>
      <c r="B722" s="153" t="s">
        <v>237</v>
      </c>
      <c r="C722" s="622"/>
      <c r="D722" s="623" t="s">
        <v>22</v>
      </c>
      <c r="E722" s="624"/>
      <c r="F722" s="625" t="s">
        <v>248</v>
      </c>
      <c r="G722" s="626" t="s">
        <v>1808</v>
      </c>
      <c r="H722" s="625" t="s">
        <v>160</v>
      </c>
      <c r="I722" s="627">
        <v>1</v>
      </c>
    </row>
    <row r="723" spans="1:9" ht="13.5">
      <c r="A723" s="621">
        <v>116</v>
      </c>
      <c r="B723" s="153" t="s">
        <v>237</v>
      </c>
      <c r="C723" s="622"/>
      <c r="D723" s="623" t="s">
        <v>22</v>
      </c>
      <c r="E723" s="624"/>
      <c r="F723" s="625" t="s">
        <v>249</v>
      </c>
      <c r="G723" s="626" t="s">
        <v>1809</v>
      </c>
      <c r="H723" s="625" t="s">
        <v>166</v>
      </c>
      <c r="I723" s="627">
        <v>1</v>
      </c>
    </row>
    <row r="724" spans="1:9" ht="13.5">
      <c r="A724" s="621">
        <v>117</v>
      </c>
      <c r="B724" s="153" t="s">
        <v>296</v>
      </c>
      <c r="C724" s="622"/>
      <c r="D724" s="623" t="s">
        <v>22</v>
      </c>
      <c r="E724" s="624"/>
      <c r="F724" s="625" t="s">
        <v>213</v>
      </c>
      <c r="G724" s="626" t="s">
        <v>1813</v>
      </c>
      <c r="H724" s="625" t="s">
        <v>176</v>
      </c>
      <c r="I724" s="627">
        <v>26</v>
      </c>
    </row>
    <row r="725" spans="1:9" ht="13.5">
      <c r="A725" s="621">
        <v>117</v>
      </c>
      <c r="B725" s="153" t="s">
        <v>296</v>
      </c>
      <c r="C725" s="622"/>
      <c r="D725" s="623" t="s">
        <v>22</v>
      </c>
      <c r="E725" s="624"/>
      <c r="F725" s="625" t="s">
        <v>214</v>
      </c>
      <c r="G725" s="626" t="s">
        <v>215</v>
      </c>
      <c r="H725" s="625" t="s">
        <v>176</v>
      </c>
      <c r="I725" s="627">
        <v>7</v>
      </c>
    </row>
    <row r="726" spans="1:9" ht="13.5">
      <c r="A726" s="621">
        <v>117</v>
      </c>
      <c r="B726" s="153" t="s">
        <v>296</v>
      </c>
      <c r="C726" s="622"/>
      <c r="D726" s="623" t="s">
        <v>22</v>
      </c>
      <c r="E726" s="624"/>
      <c r="F726" s="625" t="s">
        <v>177</v>
      </c>
      <c r="G726" s="626" t="s">
        <v>1814</v>
      </c>
      <c r="H726" s="625" t="s">
        <v>160</v>
      </c>
      <c r="I726" s="627">
        <v>13</v>
      </c>
    </row>
    <row r="727" spans="1:9" ht="13.5">
      <c r="A727" s="621">
        <v>117</v>
      </c>
      <c r="B727" s="153" t="s">
        <v>296</v>
      </c>
      <c r="C727" s="622"/>
      <c r="D727" s="623" t="s">
        <v>22</v>
      </c>
      <c r="E727" s="624"/>
      <c r="F727" s="625" t="s">
        <v>177</v>
      </c>
      <c r="G727" s="626" t="s">
        <v>1815</v>
      </c>
      <c r="H727" s="625" t="s">
        <v>160</v>
      </c>
      <c r="I727" s="627">
        <v>19</v>
      </c>
    </row>
    <row r="728" spans="1:9" ht="13.5">
      <c r="A728" s="621">
        <v>117</v>
      </c>
      <c r="B728" s="153" t="s">
        <v>296</v>
      </c>
      <c r="C728" s="622"/>
      <c r="D728" s="623" t="s">
        <v>22</v>
      </c>
      <c r="E728" s="624"/>
      <c r="F728" s="625" t="s">
        <v>37</v>
      </c>
      <c r="G728" s="626" t="s">
        <v>1816</v>
      </c>
      <c r="H728" s="625" t="s">
        <v>160</v>
      </c>
      <c r="I728" s="627">
        <v>16</v>
      </c>
    </row>
    <row r="729" spans="1:9" ht="13.5">
      <c r="A729" s="621">
        <v>117</v>
      </c>
      <c r="B729" s="153" t="s">
        <v>296</v>
      </c>
      <c r="C729" s="622"/>
      <c r="D729" s="623" t="s">
        <v>22</v>
      </c>
      <c r="E729" s="624"/>
      <c r="F729" s="625" t="s">
        <v>201</v>
      </c>
      <c r="G729" s="626" t="s">
        <v>200</v>
      </c>
      <c r="H729" s="625" t="s">
        <v>160</v>
      </c>
      <c r="I729" s="627">
        <v>28</v>
      </c>
    </row>
    <row r="730" spans="1:9" ht="13.5">
      <c r="A730" s="621">
        <v>117</v>
      </c>
      <c r="B730" s="153" t="s">
        <v>296</v>
      </c>
      <c r="C730" s="622"/>
      <c r="D730" s="623" t="s">
        <v>22</v>
      </c>
      <c r="E730" s="624"/>
      <c r="F730" s="625" t="s">
        <v>199</v>
      </c>
      <c r="G730" s="626" t="s">
        <v>202</v>
      </c>
      <c r="H730" s="625" t="s">
        <v>109</v>
      </c>
      <c r="I730" s="627">
        <v>10</v>
      </c>
    </row>
    <row r="731" spans="1:9" ht="13.5">
      <c r="A731" s="621">
        <v>117</v>
      </c>
      <c r="B731" s="153" t="s">
        <v>296</v>
      </c>
      <c r="C731" s="622"/>
      <c r="D731" s="623" t="s">
        <v>22</v>
      </c>
      <c r="E731" s="624"/>
      <c r="F731" s="625" t="s">
        <v>201</v>
      </c>
      <c r="G731" s="626" t="s">
        <v>216</v>
      </c>
      <c r="H731" s="625" t="s">
        <v>160</v>
      </c>
      <c r="I731" s="627">
        <v>18</v>
      </c>
    </row>
    <row r="732" spans="1:9" ht="13.5">
      <c r="A732" s="621">
        <v>117</v>
      </c>
      <c r="B732" s="153" t="s">
        <v>296</v>
      </c>
      <c r="C732" s="622"/>
      <c r="D732" s="623" t="s">
        <v>22</v>
      </c>
      <c r="E732" s="624"/>
      <c r="F732" s="625" t="s">
        <v>218</v>
      </c>
      <c r="G732" s="626" t="s">
        <v>1818</v>
      </c>
      <c r="H732" s="625" t="s">
        <v>12</v>
      </c>
      <c r="I732" s="627">
        <v>4</v>
      </c>
    </row>
    <row r="733" spans="1:9" ht="13.5">
      <c r="A733" s="621">
        <v>117</v>
      </c>
      <c r="B733" s="153" t="s">
        <v>296</v>
      </c>
      <c r="C733" s="622"/>
      <c r="D733" s="623" t="s">
        <v>22</v>
      </c>
      <c r="E733" s="624"/>
      <c r="F733" s="625" t="s">
        <v>219</v>
      </c>
      <c r="G733" s="626" t="s">
        <v>170</v>
      </c>
      <c r="H733" s="625" t="s">
        <v>174</v>
      </c>
      <c r="I733" s="627">
        <v>144</v>
      </c>
    </row>
    <row r="734" spans="1:9" ht="13.5">
      <c r="A734" s="621">
        <v>117</v>
      </c>
      <c r="B734" s="153" t="s">
        <v>296</v>
      </c>
      <c r="C734" s="622"/>
      <c r="D734" s="623" t="s">
        <v>22</v>
      </c>
      <c r="E734" s="624"/>
      <c r="F734" s="625" t="s">
        <v>220</v>
      </c>
      <c r="G734" s="626" t="s">
        <v>171</v>
      </c>
      <c r="H734" s="625" t="s">
        <v>12</v>
      </c>
      <c r="I734" s="627">
        <v>11</v>
      </c>
    </row>
    <row r="735" spans="1:9" ht="13.5">
      <c r="A735" s="621">
        <v>117</v>
      </c>
      <c r="B735" s="153" t="s">
        <v>296</v>
      </c>
      <c r="C735" s="622"/>
      <c r="D735" s="623" t="s">
        <v>22</v>
      </c>
      <c r="E735" s="624"/>
      <c r="F735" s="625" t="s">
        <v>221</v>
      </c>
      <c r="G735" s="626" t="s">
        <v>172</v>
      </c>
      <c r="H735" s="625" t="s">
        <v>12</v>
      </c>
      <c r="I735" s="627">
        <v>19</v>
      </c>
    </row>
    <row r="736" spans="1:9" ht="13.5">
      <c r="A736" s="621">
        <v>117</v>
      </c>
      <c r="B736" s="153" t="s">
        <v>296</v>
      </c>
      <c r="C736" s="622"/>
      <c r="D736" s="623" t="s">
        <v>22</v>
      </c>
      <c r="E736" s="624"/>
      <c r="F736" s="625" t="s">
        <v>222</v>
      </c>
      <c r="G736" s="626" t="s">
        <v>173</v>
      </c>
      <c r="H736" s="625" t="s">
        <v>1316</v>
      </c>
      <c r="I736" s="627">
        <v>50</v>
      </c>
    </row>
    <row r="737" spans="1:9" ht="13.5">
      <c r="A737" s="621">
        <v>117</v>
      </c>
      <c r="B737" s="153" t="s">
        <v>296</v>
      </c>
      <c r="C737" s="622"/>
      <c r="D737" s="623" t="s">
        <v>22</v>
      </c>
      <c r="E737" s="624"/>
      <c r="F737" s="625" t="s">
        <v>224</v>
      </c>
      <c r="G737" s="626" t="s">
        <v>1694</v>
      </c>
      <c r="H737" s="625" t="s">
        <v>1313</v>
      </c>
      <c r="I737" s="627">
        <v>15</v>
      </c>
    </row>
    <row r="738" spans="1:9" ht="13.5">
      <c r="A738" s="621">
        <v>117</v>
      </c>
      <c r="B738" s="153" t="s">
        <v>296</v>
      </c>
      <c r="C738" s="622"/>
      <c r="D738" s="623" t="s">
        <v>22</v>
      </c>
      <c r="E738" s="624"/>
      <c r="F738" s="625" t="s">
        <v>41</v>
      </c>
      <c r="G738" s="626" t="s">
        <v>1800</v>
      </c>
      <c r="H738" s="625" t="s">
        <v>160</v>
      </c>
      <c r="I738" s="627">
        <v>3</v>
      </c>
    </row>
    <row r="739" spans="1:9" ht="13.5">
      <c r="A739" s="621">
        <v>117</v>
      </c>
      <c r="B739" s="153" t="s">
        <v>296</v>
      </c>
      <c r="C739" s="622"/>
      <c r="D739" s="623" t="s">
        <v>22</v>
      </c>
      <c r="E739" s="624"/>
      <c r="F739" s="625" t="s">
        <v>225</v>
      </c>
      <c r="G739" s="626" t="s">
        <v>1819</v>
      </c>
      <c r="H739" s="625" t="s">
        <v>109</v>
      </c>
      <c r="I739" s="627">
        <v>5</v>
      </c>
    </row>
    <row r="740" spans="1:9" ht="13.5">
      <c r="A740" s="621">
        <v>117</v>
      </c>
      <c r="B740" s="153" t="s">
        <v>296</v>
      </c>
      <c r="C740" s="622"/>
      <c r="D740" s="623" t="s">
        <v>22</v>
      </c>
      <c r="E740" s="624"/>
      <c r="F740" s="625" t="s">
        <v>226</v>
      </c>
      <c r="G740" s="626" t="s">
        <v>1820</v>
      </c>
      <c r="H740" s="625" t="s">
        <v>109</v>
      </c>
      <c r="I740" s="627">
        <v>3</v>
      </c>
    </row>
    <row r="741" spans="1:9" ht="13.5">
      <c r="A741" s="621">
        <v>117</v>
      </c>
      <c r="B741" s="153" t="s">
        <v>296</v>
      </c>
      <c r="C741" s="622"/>
      <c r="D741" s="623" t="s">
        <v>22</v>
      </c>
      <c r="E741" s="624"/>
      <c r="F741" s="625" t="s">
        <v>227</v>
      </c>
      <c r="G741" s="626" t="s">
        <v>1821</v>
      </c>
      <c r="H741" s="625" t="s">
        <v>160</v>
      </c>
      <c r="I741" s="627">
        <v>2</v>
      </c>
    </row>
    <row r="742" spans="1:9" ht="13.5">
      <c r="A742" s="621">
        <v>117</v>
      </c>
      <c r="B742" s="153" t="s">
        <v>296</v>
      </c>
      <c r="C742" s="622"/>
      <c r="D742" s="623" t="s">
        <v>22</v>
      </c>
      <c r="E742" s="624"/>
      <c r="F742" s="625" t="s">
        <v>229</v>
      </c>
      <c r="G742" s="626" t="s">
        <v>230</v>
      </c>
      <c r="H742" s="625" t="s">
        <v>109</v>
      </c>
      <c r="I742" s="627">
        <v>6</v>
      </c>
    </row>
    <row r="743" spans="1:9" ht="13.5">
      <c r="A743" s="621">
        <v>117</v>
      </c>
      <c r="B743" s="153" t="s">
        <v>296</v>
      </c>
      <c r="C743" s="622"/>
      <c r="D743" s="623" t="s">
        <v>22</v>
      </c>
      <c r="E743" s="624"/>
      <c r="F743" s="625" t="s">
        <v>231</v>
      </c>
      <c r="G743" s="626" t="s">
        <v>207</v>
      </c>
      <c r="H743" s="625" t="s">
        <v>109</v>
      </c>
      <c r="I743" s="627">
        <v>2</v>
      </c>
    </row>
    <row r="744" spans="1:9" ht="13.5">
      <c r="A744" s="621">
        <v>117</v>
      </c>
      <c r="B744" s="153" t="s">
        <v>296</v>
      </c>
      <c r="C744" s="622"/>
      <c r="D744" s="623" t="s">
        <v>22</v>
      </c>
      <c r="E744" s="624"/>
      <c r="F744" s="625" t="s">
        <v>232</v>
      </c>
      <c r="G744" s="626" t="s">
        <v>209</v>
      </c>
      <c r="H744" s="625" t="s">
        <v>12</v>
      </c>
      <c r="I744" s="627">
        <v>6</v>
      </c>
    </row>
    <row r="745" spans="1:9" ht="13.5">
      <c r="A745" s="621">
        <v>117</v>
      </c>
      <c r="B745" s="153" t="s">
        <v>296</v>
      </c>
      <c r="C745" s="622"/>
      <c r="D745" s="623" t="s">
        <v>22</v>
      </c>
      <c r="E745" s="624"/>
      <c r="F745" s="625" t="s">
        <v>184</v>
      </c>
      <c r="G745" s="626" t="s">
        <v>1823</v>
      </c>
      <c r="H745" s="625" t="s">
        <v>160</v>
      </c>
      <c r="I745" s="627">
        <v>12</v>
      </c>
    </row>
    <row r="746" spans="1:9" ht="13.5">
      <c r="A746" s="621">
        <v>117</v>
      </c>
      <c r="B746" s="153" t="s">
        <v>296</v>
      </c>
      <c r="C746" s="622"/>
      <c r="D746" s="623" t="s">
        <v>22</v>
      </c>
      <c r="E746" s="624"/>
      <c r="F746" s="625" t="s">
        <v>231</v>
      </c>
      <c r="G746" s="626" t="s">
        <v>1824</v>
      </c>
      <c r="H746" s="625" t="s">
        <v>12</v>
      </c>
      <c r="I746" s="627">
        <v>9</v>
      </c>
    </row>
    <row r="747" spans="1:9" ht="13.5">
      <c r="A747" s="621">
        <v>117</v>
      </c>
      <c r="B747" s="153" t="s">
        <v>296</v>
      </c>
      <c r="C747" s="622"/>
      <c r="D747" s="623" t="s">
        <v>22</v>
      </c>
      <c r="E747" s="624"/>
      <c r="F747" s="625" t="s">
        <v>233</v>
      </c>
      <c r="G747" s="626" t="s">
        <v>1825</v>
      </c>
      <c r="H747" s="625" t="s">
        <v>160</v>
      </c>
      <c r="I747" s="627">
        <v>22</v>
      </c>
    </row>
    <row r="748" spans="1:9" ht="13.5">
      <c r="A748" s="621">
        <v>117</v>
      </c>
      <c r="B748" s="153" t="s">
        <v>296</v>
      </c>
      <c r="C748" s="622"/>
      <c r="D748" s="623" t="s">
        <v>22</v>
      </c>
      <c r="E748" s="624"/>
      <c r="F748" s="625" t="s">
        <v>233</v>
      </c>
      <c r="G748" s="626" t="s">
        <v>1827</v>
      </c>
      <c r="H748" s="625" t="s">
        <v>160</v>
      </c>
      <c r="I748" s="627">
        <v>20</v>
      </c>
    </row>
    <row r="749" spans="1:9" ht="13.5">
      <c r="A749" s="621">
        <v>117</v>
      </c>
      <c r="B749" s="153" t="s">
        <v>296</v>
      </c>
      <c r="C749" s="622"/>
      <c r="D749" s="623" t="s">
        <v>22</v>
      </c>
      <c r="E749" s="624"/>
      <c r="F749" s="625" t="s">
        <v>234</v>
      </c>
      <c r="G749" s="626" t="s">
        <v>1807</v>
      </c>
      <c r="H749" s="625" t="s">
        <v>12</v>
      </c>
      <c r="I749" s="627">
        <v>57</v>
      </c>
    </row>
    <row r="750" spans="1:9" ht="13.5">
      <c r="A750" s="621">
        <v>117</v>
      </c>
      <c r="B750" s="153" t="s">
        <v>296</v>
      </c>
      <c r="C750" s="622"/>
      <c r="D750" s="623" t="s">
        <v>22</v>
      </c>
      <c r="E750" s="624"/>
      <c r="F750" s="625" t="s">
        <v>235</v>
      </c>
      <c r="G750" s="626" t="s">
        <v>1808</v>
      </c>
      <c r="H750" s="625" t="s">
        <v>12</v>
      </c>
      <c r="I750" s="627">
        <v>16</v>
      </c>
    </row>
    <row r="751" spans="1:9" ht="13.5">
      <c r="A751" s="621">
        <v>117</v>
      </c>
      <c r="B751" s="153" t="s">
        <v>296</v>
      </c>
      <c r="C751" s="622"/>
      <c r="D751" s="623" t="s">
        <v>22</v>
      </c>
      <c r="E751" s="624"/>
      <c r="F751" s="625" t="s">
        <v>226</v>
      </c>
      <c r="G751" s="626" t="s">
        <v>1809</v>
      </c>
      <c r="H751" s="625" t="s">
        <v>160</v>
      </c>
      <c r="I751" s="627">
        <v>4</v>
      </c>
    </row>
    <row r="752" spans="1:9" ht="13.5">
      <c r="A752" s="621">
        <v>118</v>
      </c>
      <c r="B752" s="153" t="s">
        <v>198</v>
      </c>
      <c r="C752" s="622"/>
      <c r="D752" s="623" t="s">
        <v>22</v>
      </c>
      <c r="E752" s="624"/>
      <c r="F752" s="625" t="s">
        <v>199</v>
      </c>
      <c r="G752" s="626" t="s">
        <v>200</v>
      </c>
      <c r="H752" s="625" t="s">
        <v>109</v>
      </c>
      <c r="I752" s="627">
        <v>5</v>
      </c>
    </row>
    <row r="753" spans="1:9" ht="13.5">
      <c r="A753" s="621">
        <v>118</v>
      </c>
      <c r="B753" s="153" t="s">
        <v>198</v>
      </c>
      <c r="C753" s="622"/>
      <c r="D753" s="623" t="s">
        <v>22</v>
      </c>
      <c r="E753" s="624"/>
      <c r="F753" s="625" t="s">
        <v>201</v>
      </c>
      <c r="G753" s="626" t="s">
        <v>202</v>
      </c>
      <c r="H753" s="625" t="s">
        <v>160</v>
      </c>
      <c r="I753" s="627">
        <v>40</v>
      </c>
    </row>
    <row r="754" spans="1:9" ht="13.5">
      <c r="A754" s="621">
        <v>118</v>
      </c>
      <c r="B754" s="153" t="s">
        <v>198</v>
      </c>
      <c r="C754" s="622"/>
      <c r="D754" s="623" t="s">
        <v>22</v>
      </c>
      <c r="E754" s="624"/>
      <c r="F754" s="625" t="s">
        <v>320</v>
      </c>
      <c r="G754" s="626" t="s">
        <v>170</v>
      </c>
      <c r="H754" s="625" t="s">
        <v>12</v>
      </c>
      <c r="I754" s="627">
        <v>36</v>
      </c>
    </row>
    <row r="755" spans="1:9" ht="13.5">
      <c r="A755" s="621">
        <v>118</v>
      </c>
      <c r="B755" s="153" t="s">
        <v>198</v>
      </c>
      <c r="C755" s="622"/>
      <c r="D755" s="623" t="s">
        <v>22</v>
      </c>
      <c r="E755" s="624"/>
      <c r="F755" s="625" t="s">
        <v>321</v>
      </c>
      <c r="G755" s="626" t="s">
        <v>171</v>
      </c>
      <c r="H755" s="625" t="s">
        <v>12</v>
      </c>
      <c r="I755" s="627">
        <v>11</v>
      </c>
    </row>
    <row r="756" spans="1:9" ht="13.5">
      <c r="A756" s="621">
        <v>118</v>
      </c>
      <c r="B756" s="153" t="s">
        <v>198</v>
      </c>
      <c r="C756" s="622"/>
      <c r="D756" s="623" t="s">
        <v>22</v>
      </c>
      <c r="E756" s="624"/>
      <c r="F756" s="625" t="s">
        <v>322</v>
      </c>
      <c r="G756" s="626" t="s">
        <v>172</v>
      </c>
      <c r="H756" s="625" t="s">
        <v>12</v>
      </c>
      <c r="I756" s="627">
        <v>8</v>
      </c>
    </row>
    <row r="757" spans="1:9" ht="13.5">
      <c r="A757" s="621">
        <v>118</v>
      </c>
      <c r="B757" s="153" t="s">
        <v>198</v>
      </c>
      <c r="C757" s="622"/>
      <c r="D757" s="623" t="s">
        <v>22</v>
      </c>
      <c r="E757" s="624"/>
      <c r="F757" s="625" t="s">
        <v>220</v>
      </c>
      <c r="G757" s="626" t="s">
        <v>173</v>
      </c>
      <c r="H757" s="625" t="s">
        <v>12</v>
      </c>
      <c r="I757" s="627">
        <v>9</v>
      </c>
    </row>
    <row r="758" spans="1:9" ht="13.5">
      <c r="A758" s="621">
        <v>118</v>
      </c>
      <c r="B758" s="153" t="s">
        <v>198</v>
      </c>
      <c r="C758" s="622"/>
      <c r="D758" s="623" t="s">
        <v>22</v>
      </c>
      <c r="E758" s="624"/>
      <c r="F758" s="625" t="s">
        <v>323</v>
      </c>
      <c r="G758" s="626" t="s">
        <v>1798</v>
      </c>
      <c r="H758" s="625" t="s">
        <v>12</v>
      </c>
      <c r="I758" s="627">
        <v>29</v>
      </c>
    </row>
    <row r="759" spans="1:9" ht="13.5">
      <c r="A759" s="621">
        <v>118</v>
      </c>
      <c r="B759" s="153" t="s">
        <v>198</v>
      </c>
      <c r="C759" s="622"/>
      <c r="D759" s="623" t="s">
        <v>22</v>
      </c>
      <c r="E759" s="624"/>
      <c r="F759" s="625" t="s">
        <v>156</v>
      </c>
      <c r="G759" s="626" t="s">
        <v>1694</v>
      </c>
      <c r="H759" s="625" t="s">
        <v>176</v>
      </c>
      <c r="I759" s="627">
        <v>24</v>
      </c>
    </row>
    <row r="760" spans="1:9" ht="13.5">
      <c r="A760" s="621">
        <v>118</v>
      </c>
      <c r="B760" s="153" t="s">
        <v>198</v>
      </c>
      <c r="C760" s="622"/>
      <c r="D760" s="623" t="s">
        <v>22</v>
      </c>
      <c r="E760" s="624"/>
      <c r="F760" s="625" t="s">
        <v>36</v>
      </c>
      <c r="G760" s="626" t="s">
        <v>1831</v>
      </c>
      <c r="H760" s="625" t="s">
        <v>160</v>
      </c>
      <c r="I760" s="627">
        <v>10</v>
      </c>
    </row>
    <row r="761" spans="1:9" ht="13.5">
      <c r="A761" s="621">
        <v>118</v>
      </c>
      <c r="B761" s="153" t="s">
        <v>198</v>
      </c>
      <c r="C761" s="622"/>
      <c r="D761" s="623" t="s">
        <v>22</v>
      </c>
      <c r="E761" s="624"/>
      <c r="F761" s="625" t="s">
        <v>203</v>
      </c>
      <c r="G761" s="626" t="s">
        <v>1832</v>
      </c>
      <c r="H761" s="625" t="s">
        <v>160</v>
      </c>
      <c r="I761" s="627">
        <v>7</v>
      </c>
    </row>
    <row r="762" spans="1:9" ht="13.5">
      <c r="A762" s="621">
        <v>118</v>
      </c>
      <c r="B762" s="153" t="s">
        <v>198</v>
      </c>
      <c r="C762" s="622"/>
      <c r="D762" s="623" t="s">
        <v>22</v>
      </c>
      <c r="E762" s="624"/>
      <c r="F762" s="625" t="s">
        <v>37</v>
      </c>
      <c r="G762" s="626" t="s">
        <v>1799</v>
      </c>
      <c r="H762" s="625" t="s">
        <v>160</v>
      </c>
      <c r="I762" s="627">
        <v>9</v>
      </c>
    </row>
    <row r="763" spans="1:9" ht="13.5">
      <c r="A763" s="621">
        <v>118</v>
      </c>
      <c r="B763" s="153" t="s">
        <v>198</v>
      </c>
      <c r="C763" s="622"/>
      <c r="D763" s="623" t="s">
        <v>22</v>
      </c>
      <c r="E763" s="624"/>
      <c r="F763" s="625" t="s">
        <v>206</v>
      </c>
      <c r="G763" s="626" t="s">
        <v>1802</v>
      </c>
      <c r="H763" s="625" t="s">
        <v>160</v>
      </c>
      <c r="I763" s="627">
        <v>4</v>
      </c>
    </row>
    <row r="764" spans="1:9" ht="13.5">
      <c r="A764" s="621">
        <v>118</v>
      </c>
      <c r="B764" s="153" t="s">
        <v>198</v>
      </c>
      <c r="C764" s="622"/>
      <c r="D764" s="623" t="s">
        <v>22</v>
      </c>
      <c r="E764" s="624"/>
      <c r="F764" s="625" t="s">
        <v>208</v>
      </c>
      <c r="G764" s="626" t="s">
        <v>209</v>
      </c>
      <c r="H764" s="625" t="s">
        <v>109</v>
      </c>
      <c r="I764" s="627">
        <v>1</v>
      </c>
    </row>
    <row r="765" spans="1:9" ht="13.5">
      <c r="A765" s="621">
        <v>118</v>
      </c>
      <c r="B765" s="153" t="s">
        <v>198</v>
      </c>
      <c r="C765" s="622"/>
      <c r="D765" s="623" t="s">
        <v>22</v>
      </c>
      <c r="E765" s="624"/>
      <c r="F765" s="625" t="s">
        <v>211</v>
      </c>
      <c r="G765" s="626" t="s">
        <v>1805</v>
      </c>
      <c r="H765" s="625" t="s">
        <v>160</v>
      </c>
      <c r="I765" s="627">
        <v>19</v>
      </c>
    </row>
    <row r="766" spans="1:9" ht="13.5">
      <c r="A766" s="621">
        <v>119</v>
      </c>
      <c r="B766" s="153" t="s">
        <v>310</v>
      </c>
      <c r="C766" s="622"/>
      <c r="D766" s="623" t="s">
        <v>22</v>
      </c>
      <c r="E766" s="624"/>
      <c r="F766" s="625" t="s">
        <v>177</v>
      </c>
      <c r="G766" s="626" t="s">
        <v>1746</v>
      </c>
      <c r="H766" s="625" t="s">
        <v>160</v>
      </c>
      <c r="I766" s="627">
        <v>9</v>
      </c>
    </row>
    <row r="767" spans="1:9" ht="13.5">
      <c r="A767" s="621">
        <v>119</v>
      </c>
      <c r="B767" s="153" t="s">
        <v>310</v>
      </c>
      <c r="C767" s="622"/>
      <c r="D767" s="623" t="s">
        <v>22</v>
      </c>
      <c r="E767" s="624"/>
      <c r="F767" s="625" t="s">
        <v>303</v>
      </c>
      <c r="G767" s="626" t="s">
        <v>1832</v>
      </c>
      <c r="H767" s="625" t="s">
        <v>160</v>
      </c>
      <c r="I767" s="627">
        <v>4</v>
      </c>
    </row>
    <row r="768" spans="1:9" ht="13.5">
      <c r="A768" s="621">
        <v>119</v>
      </c>
      <c r="B768" s="153" t="s">
        <v>310</v>
      </c>
      <c r="C768" s="622"/>
      <c r="D768" s="623" t="s">
        <v>22</v>
      </c>
      <c r="E768" s="624"/>
      <c r="F768" s="625" t="s">
        <v>304</v>
      </c>
      <c r="G768" s="626" t="s">
        <v>1799</v>
      </c>
      <c r="H768" s="625" t="s">
        <v>12</v>
      </c>
      <c r="I768" s="627">
        <v>6</v>
      </c>
    </row>
    <row r="769" spans="1:9" ht="13.5">
      <c r="A769" s="621">
        <v>119</v>
      </c>
      <c r="B769" s="153" t="s">
        <v>310</v>
      </c>
      <c r="C769" s="622"/>
      <c r="D769" s="623" t="s">
        <v>22</v>
      </c>
      <c r="E769" s="624"/>
      <c r="F769" s="625" t="s">
        <v>304</v>
      </c>
      <c r="G769" s="626" t="s">
        <v>1833</v>
      </c>
      <c r="H769" s="625" t="s">
        <v>12</v>
      </c>
      <c r="I769" s="627">
        <v>6</v>
      </c>
    </row>
    <row r="770" spans="1:9" ht="13.5">
      <c r="A770" s="621">
        <v>119</v>
      </c>
      <c r="B770" s="153" t="s">
        <v>310</v>
      </c>
      <c r="C770" s="622"/>
      <c r="D770" s="623" t="s">
        <v>22</v>
      </c>
      <c r="E770" s="624"/>
      <c r="F770" s="625" t="s">
        <v>305</v>
      </c>
      <c r="G770" s="626" t="s">
        <v>1800</v>
      </c>
      <c r="H770" s="625" t="s">
        <v>109</v>
      </c>
      <c r="I770" s="627">
        <v>12</v>
      </c>
    </row>
    <row r="771" spans="1:9" ht="13.5">
      <c r="A771" s="621">
        <v>119</v>
      </c>
      <c r="B771" s="153" t="s">
        <v>310</v>
      </c>
      <c r="C771" s="622"/>
      <c r="D771" s="623" t="s">
        <v>22</v>
      </c>
      <c r="E771" s="624"/>
      <c r="F771" s="625" t="s">
        <v>214</v>
      </c>
      <c r="G771" s="626" t="s">
        <v>1804</v>
      </c>
      <c r="H771" s="625" t="s">
        <v>160</v>
      </c>
      <c r="I771" s="627">
        <v>15</v>
      </c>
    </row>
    <row r="772" spans="1:9" ht="13.5">
      <c r="A772" s="621">
        <v>119</v>
      </c>
      <c r="B772" s="153" t="s">
        <v>310</v>
      </c>
      <c r="C772" s="622"/>
      <c r="D772" s="623" t="s">
        <v>22</v>
      </c>
      <c r="E772" s="624"/>
      <c r="F772" s="625" t="s">
        <v>307</v>
      </c>
      <c r="G772" s="626" t="s">
        <v>1837</v>
      </c>
      <c r="H772" s="625" t="s">
        <v>19</v>
      </c>
      <c r="I772" s="627">
        <v>20</v>
      </c>
    </row>
    <row r="773" spans="1:9" ht="13.5">
      <c r="A773" s="621">
        <v>119</v>
      </c>
      <c r="B773" s="153" t="s">
        <v>310</v>
      </c>
      <c r="C773" s="622"/>
      <c r="D773" s="623" t="s">
        <v>22</v>
      </c>
      <c r="E773" s="624"/>
      <c r="F773" s="625" t="s">
        <v>123</v>
      </c>
      <c r="G773" s="626" t="s">
        <v>1838</v>
      </c>
      <c r="H773" s="625" t="s">
        <v>12</v>
      </c>
      <c r="I773" s="627">
        <v>3</v>
      </c>
    </row>
    <row r="774" spans="1:9" ht="13.5">
      <c r="A774" s="621">
        <v>120</v>
      </c>
      <c r="B774" s="153" t="s">
        <v>300</v>
      </c>
      <c r="C774" s="622"/>
      <c r="D774" s="623" t="s">
        <v>22</v>
      </c>
      <c r="E774" s="624"/>
      <c r="F774" s="625" t="s">
        <v>177</v>
      </c>
      <c r="G774" s="626" t="s">
        <v>1839</v>
      </c>
      <c r="H774" s="625" t="s">
        <v>160</v>
      </c>
      <c r="I774" s="627">
        <v>15</v>
      </c>
    </row>
    <row r="775" spans="1:9" ht="13.5">
      <c r="A775" s="621">
        <v>120</v>
      </c>
      <c r="B775" s="153" t="s">
        <v>300</v>
      </c>
      <c r="C775" s="622"/>
      <c r="D775" s="623" t="s">
        <v>22</v>
      </c>
      <c r="E775" s="624"/>
      <c r="F775" s="625" t="s">
        <v>303</v>
      </c>
      <c r="G775" s="626" t="s">
        <v>1840</v>
      </c>
      <c r="H775" s="625" t="s">
        <v>160</v>
      </c>
      <c r="I775" s="627">
        <v>8</v>
      </c>
    </row>
    <row r="776" spans="1:9" ht="13.5">
      <c r="A776" s="621">
        <v>120</v>
      </c>
      <c r="B776" s="153" t="s">
        <v>300</v>
      </c>
      <c r="C776" s="622"/>
      <c r="D776" s="623" t="s">
        <v>22</v>
      </c>
      <c r="E776" s="624"/>
      <c r="F776" s="625" t="s">
        <v>304</v>
      </c>
      <c r="G776" s="626" t="s">
        <v>1799</v>
      </c>
      <c r="H776" s="625" t="s">
        <v>160</v>
      </c>
      <c r="I776" s="627">
        <v>12</v>
      </c>
    </row>
    <row r="777" spans="1:9" ht="13.5">
      <c r="A777" s="621">
        <v>120</v>
      </c>
      <c r="B777" s="153" t="s">
        <v>300</v>
      </c>
      <c r="C777" s="622"/>
      <c r="D777" s="623" t="s">
        <v>22</v>
      </c>
      <c r="E777" s="624"/>
      <c r="F777" s="625" t="s">
        <v>304</v>
      </c>
      <c r="G777" s="626" t="s">
        <v>1833</v>
      </c>
      <c r="H777" s="625" t="s">
        <v>160</v>
      </c>
      <c r="I777" s="627">
        <v>12</v>
      </c>
    </row>
    <row r="778" spans="1:9" ht="13.5">
      <c r="A778" s="621">
        <v>120</v>
      </c>
      <c r="B778" s="153" t="s">
        <v>300</v>
      </c>
      <c r="C778" s="622"/>
      <c r="D778" s="623" t="s">
        <v>22</v>
      </c>
      <c r="E778" s="624"/>
      <c r="F778" s="625" t="s">
        <v>305</v>
      </c>
      <c r="G778" s="626" t="s">
        <v>188</v>
      </c>
      <c r="H778" s="625" t="s">
        <v>160</v>
      </c>
      <c r="I778" s="627">
        <v>5</v>
      </c>
    </row>
    <row r="779" spans="1:9" ht="13.5">
      <c r="A779" s="621">
        <v>120</v>
      </c>
      <c r="B779" s="153" t="s">
        <v>300</v>
      </c>
      <c r="C779" s="622"/>
      <c r="D779" s="623" t="s">
        <v>22</v>
      </c>
      <c r="E779" s="624"/>
      <c r="F779" s="625" t="s">
        <v>168</v>
      </c>
      <c r="G779" s="626" t="s">
        <v>14</v>
      </c>
      <c r="H779" s="625" t="s">
        <v>160</v>
      </c>
      <c r="I779" s="627">
        <v>50</v>
      </c>
    </row>
    <row r="780" spans="1:9" ht="13.5">
      <c r="A780" s="621">
        <v>120</v>
      </c>
      <c r="B780" s="153" t="s">
        <v>300</v>
      </c>
      <c r="C780" s="622"/>
      <c r="D780" s="623" t="s">
        <v>22</v>
      </c>
      <c r="E780" s="624"/>
      <c r="F780" s="625" t="s">
        <v>306</v>
      </c>
      <c r="G780" s="626" t="s">
        <v>1842</v>
      </c>
      <c r="H780" s="625" t="s">
        <v>160</v>
      </c>
      <c r="I780" s="627">
        <v>3</v>
      </c>
    </row>
    <row r="781" spans="1:9" ht="13.5">
      <c r="A781" s="621">
        <v>120</v>
      </c>
      <c r="B781" s="153" t="s">
        <v>300</v>
      </c>
      <c r="C781" s="622"/>
      <c r="D781" s="623" t="s">
        <v>22</v>
      </c>
      <c r="E781" s="624"/>
      <c r="F781" s="625" t="s">
        <v>214</v>
      </c>
      <c r="G781" s="626" t="s">
        <v>1843</v>
      </c>
      <c r="H781" s="625" t="s">
        <v>160</v>
      </c>
      <c r="I781" s="627">
        <v>34</v>
      </c>
    </row>
    <row r="782" spans="1:9" ht="13.5">
      <c r="A782" s="621">
        <v>120</v>
      </c>
      <c r="B782" s="153" t="s">
        <v>300</v>
      </c>
      <c r="C782" s="622"/>
      <c r="D782" s="623" t="s">
        <v>22</v>
      </c>
      <c r="E782" s="624"/>
      <c r="F782" s="625" t="s">
        <v>307</v>
      </c>
      <c r="G782" s="626" t="s">
        <v>1844</v>
      </c>
      <c r="H782" s="625" t="s">
        <v>160</v>
      </c>
      <c r="I782" s="627">
        <v>26</v>
      </c>
    </row>
    <row r="783" spans="1:9" ht="13.5">
      <c r="A783" s="621">
        <v>121</v>
      </c>
      <c r="B783" s="153" t="s">
        <v>181</v>
      </c>
      <c r="C783" s="622"/>
      <c r="D783" s="623" t="s">
        <v>22</v>
      </c>
      <c r="E783" s="624"/>
      <c r="F783" s="625" t="s">
        <v>156</v>
      </c>
      <c r="G783" s="626" t="s">
        <v>1850</v>
      </c>
      <c r="H783" s="625" t="s">
        <v>176</v>
      </c>
      <c r="I783" s="627">
        <v>41</v>
      </c>
    </row>
    <row r="784" spans="1:9" ht="13.5">
      <c r="A784" s="621">
        <v>121</v>
      </c>
      <c r="B784" s="153" t="s">
        <v>181</v>
      </c>
      <c r="C784" s="622"/>
      <c r="D784" s="623" t="s">
        <v>22</v>
      </c>
      <c r="E784" s="624"/>
      <c r="F784" s="625" t="s">
        <v>178</v>
      </c>
      <c r="G784" s="626" t="s">
        <v>1851</v>
      </c>
      <c r="H784" s="625" t="s">
        <v>176</v>
      </c>
      <c r="I784" s="627">
        <v>13.66</v>
      </c>
    </row>
    <row r="785" spans="1:9" ht="13.5">
      <c r="A785" s="621">
        <v>121</v>
      </c>
      <c r="B785" s="153" t="s">
        <v>181</v>
      </c>
      <c r="C785" s="622"/>
      <c r="D785" s="623" t="s">
        <v>22</v>
      </c>
      <c r="E785" s="624"/>
      <c r="F785" s="625" t="s">
        <v>184</v>
      </c>
      <c r="G785" s="626" t="s">
        <v>1852</v>
      </c>
      <c r="H785" s="625" t="s">
        <v>160</v>
      </c>
      <c r="I785" s="627">
        <v>13</v>
      </c>
    </row>
    <row r="786" spans="1:9" ht="13.5">
      <c r="A786" s="621">
        <v>121</v>
      </c>
      <c r="B786" s="153" t="s">
        <v>181</v>
      </c>
      <c r="C786" s="622"/>
      <c r="D786" s="623" t="s">
        <v>22</v>
      </c>
      <c r="E786" s="624"/>
      <c r="F786" s="625" t="s">
        <v>115</v>
      </c>
      <c r="G786" s="626" t="s">
        <v>1693</v>
      </c>
      <c r="H786" s="625" t="s">
        <v>176</v>
      </c>
      <c r="I786" s="627">
        <v>16</v>
      </c>
    </row>
    <row r="787" spans="1:9" ht="13.5">
      <c r="A787" s="621">
        <v>121</v>
      </c>
      <c r="B787" s="153" t="s">
        <v>181</v>
      </c>
      <c r="C787" s="622"/>
      <c r="D787" s="623" t="s">
        <v>22</v>
      </c>
      <c r="E787" s="624"/>
      <c r="F787" s="625" t="s">
        <v>31</v>
      </c>
      <c r="G787" s="626" t="s">
        <v>1853</v>
      </c>
      <c r="H787" s="625" t="s">
        <v>176</v>
      </c>
      <c r="I787" s="627">
        <v>32.47</v>
      </c>
    </row>
    <row r="788" spans="1:9" ht="13.5">
      <c r="A788" s="621">
        <v>121</v>
      </c>
      <c r="B788" s="153" t="s">
        <v>181</v>
      </c>
      <c r="C788" s="622"/>
      <c r="D788" s="623" t="s">
        <v>22</v>
      </c>
      <c r="E788" s="624"/>
      <c r="F788" s="625" t="s">
        <v>185</v>
      </c>
      <c r="G788" s="626" t="s">
        <v>1746</v>
      </c>
      <c r="H788" s="625" t="s">
        <v>160</v>
      </c>
      <c r="I788" s="627">
        <v>20</v>
      </c>
    </row>
    <row r="789" spans="1:9" ht="13.5">
      <c r="A789" s="621">
        <v>121</v>
      </c>
      <c r="B789" s="153" t="s">
        <v>181</v>
      </c>
      <c r="C789" s="622"/>
      <c r="D789" s="623" t="s">
        <v>22</v>
      </c>
      <c r="E789" s="624"/>
      <c r="F789" s="625" t="s">
        <v>36</v>
      </c>
      <c r="G789" s="626" t="s">
        <v>1832</v>
      </c>
      <c r="H789" s="625" t="s">
        <v>160</v>
      </c>
      <c r="I789" s="627">
        <v>13</v>
      </c>
    </row>
    <row r="790" spans="1:9" ht="13.5">
      <c r="A790" s="621">
        <v>121</v>
      </c>
      <c r="B790" s="153" t="s">
        <v>181</v>
      </c>
      <c r="C790" s="622"/>
      <c r="D790" s="623" t="s">
        <v>22</v>
      </c>
      <c r="E790" s="624"/>
      <c r="F790" s="625" t="s">
        <v>116</v>
      </c>
      <c r="G790" s="626" t="s">
        <v>1854</v>
      </c>
      <c r="H790" s="625" t="s">
        <v>160</v>
      </c>
      <c r="I790" s="627">
        <v>9</v>
      </c>
    </row>
    <row r="791" spans="1:9" ht="13.5">
      <c r="A791" s="621">
        <v>121</v>
      </c>
      <c r="B791" s="153" t="s">
        <v>181</v>
      </c>
      <c r="C791" s="622"/>
      <c r="D791" s="623" t="s">
        <v>22</v>
      </c>
      <c r="E791" s="624"/>
      <c r="F791" s="625" t="s">
        <v>37</v>
      </c>
      <c r="G791" s="626" t="s">
        <v>1799</v>
      </c>
      <c r="H791" s="625" t="s">
        <v>160</v>
      </c>
      <c r="I791" s="627">
        <v>18</v>
      </c>
    </row>
    <row r="792" spans="1:9" ht="13.5">
      <c r="A792" s="621">
        <v>121</v>
      </c>
      <c r="B792" s="153" t="s">
        <v>181</v>
      </c>
      <c r="C792" s="622"/>
      <c r="D792" s="623" t="s">
        <v>22</v>
      </c>
      <c r="E792" s="624"/>
      <c r="F792" s="625" t="s">
        <v>186</v>
      </c>
      <c r="G792" s="626" t="s">
        <v>1855</v>
      </c>
      <c r="H792" s="625" t="s">
        <v>160</v>
      </c>
      <c r="I792" s="627">
        <v>8</v>
      </c>
    </row>
    <row r="793" spans="1:9" ht="13.5">
      <c r="A793" s="621">
        <v>121</v>
      </c>
      <c r="B793" s="153" t="s">
        <v>181</v>
      </c>
      <c r="C793" s="622"/>
      <c r="D793" s="623" t="s">
        <v>22</v>
      </c>
      <c r="E793" s="624"/>
      <c r="F793" s="625" t="s">
        <v>187</v>
      </c>
      <c r="G793" s="626" t="s">
        <v>188</v>
      </c>
      <c r="H793" s="625" t="s">
        <v>160</v>
      </c>
      <c r="I793" s="627">
        <v>7</v>
      </c>
    </row>
    <row r="794" spans="1:9" ht="13.5">
      <c r="A794" s="621">
        <v>121</v>
      </c>
      <c r="B794" s="153" t="s">
        <v>181</v>
      </c>
      <c r="C794" s="622"/>
      <c r="D794" s="623" t="s">
        <v>22</v>
      </c>
      <c r="E794" s="624"/>
      <c r="F794" s="625" t="s">
        <v>41</v>
      </c>
      <c r="G794" s="626" t="s">
        <v>1856</v>
      </c>
      <c r="H794" s="625" t="s">
        <v>160</v>
      </c>
      <c r="I794" s="627">
        <v>16</v>
      </c>
    </row>
    <row r="795" spans="1:9" ht="13.5">
      <c r="A795" s="621">
        <v>121</v>
      </c>
      <c r="B795" s="153" t="s">
        <v>181</v>
      </c>
      <c r="C795" s="622"/>
      <c r="D795" s="623" t="s">
        <v>22</v>
      </c>
      <c r="E795" s="624"/>
      <c r="F795" s="625" t="s">
        <v>189</v>
      </c>
      <c r="G795" s="626" t="s">
        <v>14</v>
      </c>
      <c r="H795" s="625" t="s">
        <v>160</v>
      </c>
      <c r="I795" s="627">
        <v>45</v>
      </c>
    </row>
    <row r="796" spans="1:9" ht="13.5">
      <c r="A796" s="621">
        <v>121</v>
      </c>
      <c r="B796" s="153" t="s">
        <v>181</v>
      </c>
      <c r="C796" s="622"/>
      <c r="D796" s="623" t="s">
        <v>22</v>
      </c>
      <c r="E796" s="624"/>
      <c r="F796" s="625" t="s">
        <v>159</v>
      </c>
      <c r="G796" s="626" t="s">
        <v>1802</v>
      </c>
      <c r="H796" s="625" t="s">
        <v>176</v>
      </c>
      <c r="I796" s="627">
        <v>6</v>
      </c>
    </row>
    <row r="797" spans="1:9" ht="13.5">
      <c r="A797" s="621">
        <v>121</v>
      </c>
      <c r="B797" s="153" t="s">
        <v>181</v>
      </c>
      <c r="C797" s="622"/>
      <c r="D797" s="623" t="s">
        <v>22</v>
      </c>
      <c r="E797" s="624"/>
      <c r="F797" s="625" t="s">
        <v>190</v>
      </c>
      <c r="G797" s="626" t="s">
        <v>1857</v>
      </c>
      <c r="H797" s="625" t="s">
        <v>109</v>
      </c>
      <c r="I797" s="627">
        <v>6</v>
      </c>
    </row>
    <row r="798" spans="1:9" ht="13.5">
      <c r="A798" s="621">
        <v>121</v>
      </c>
      <c r="B798" s="153" t="s">
        <v>181</v>
      </c>
      <c r="C798" s="622"/>
      <c r="D798" s="623" t="s">
        <v>22</v>
      </c>
      <c r="E798" s="624"/>
      <c r="F798" s="625" t="s">
        <v>192</v>
      </c>
      <c r="G798" s="626" t="s">
        <v>1858</v>
      </c>
      <c r="H798" s="625" t="s">
        <v>160</v>
      </c>
      <c r="I798" s="627">
        <v>26</v>
      </c>
    </row>
    <row r="799" spans="1:9" ht="13.5">
      <c r="A799" s="621">
        <v>121</v>
      </c>
      <c r="B799" s="153" t="s">
        <v>181</v>
      </c>
      <c r="C799" s="622"/>
      <c r="D799" s="623" t="s">
        <v>22</v>
      </c>
      <c r="E799" s="624"/>
      <c r="F799" s="625" t="s">
        <v>195</v>
      </c>
      <c r="G799" s="626" t="s">
        <v>1859</v>
      </c>
      <c r="H799" s="625" t="s">
        <v>176</v>
      </c>
      <c r="I799" s="627">
        <v>14</v>
      </c>
    </row>
    <row r="800" spans="1:9" ht="13.5">
      <c r="A800" s="621">
        <v>1001</v>
      </c>
      <c r="B800" s="153" t="s">
        <v>1038</v>
      </c>
      <c r="C800" s="622"/>
      <c r="D800" s="623" t="s">
        <v>1042</v>
      </c>
      <c r="E800" s="624"/>
      <c r="F800" s="625" t="s">
        <v>65</v>
      </c>
      <c r="G800" s="626"/>
      <c r="H800" s="625" t="s">
        <v>68</v>
      </c>
      <c r="I800" s="627">
        <v>6</v>
      </c>
    </row>
    <row r="801" spans="1:9" ht="13.5">
      <c r="A801" s="621">
        <v>1002</v>
      </c>
      <c r="B801" s="153" t="s">
        <v>1069</v>
      </c>
      <c r="C801" s="622"/>
      <c r="D801" s="623" t="s">
        <v>1042</v>
      </c>
      <c r="E801" s="624"/>
      <c r="F801" s="625" t="s">
        <v>1070</v>
      </c>
      <c r="G801" s="626" t="s">
        <v>200</v>
      </c>
      <c r="H801" s="625" t="s">
        <v>109</v>
      </c>
      <c r="I801" s="627">
        <v>14.4</v>
      </c>
    </row>
    <row r="802" spans="1:9" ht="13.5">
      <c r="A802" s="621">
        <v>1002</v>
      </c>
      <c r="B802" s="153" t="s">
        <v>1069</v>
      </c>
      <c r="C802" s="622"/>
      <c r="D802" s="623" t="s">
        <v>1042</v>
      </c>
      <c r="E802" s="624"/>
      <c r="F802" s="625" t="s">
        <v>576</v>
      </c>
      <c r="G802" s="626" t="s">
        <v>215</v>
      </c>
      <c r="H802" s="625" t="s">
        <v>109</v>
      </c>
      <c r="I802" s="627">
        <v>15.72</v>
      </c>
    </row>
    <row r="803" spans="1:9" ht="13.5">
      <c r="A803" s="621">
        <v>1002</v>
      </c>
      <c r="B803" s="153" t="s">
        <v>1069</v>
      </c>
      <c r="C803" s="622"/>
      <c r="D803" s="623" t="s">
        <v>1042</v>
      </c>
      <c r="E803" s="624"/>
      <c r="F803" s="625" t="s">
        <v>143</v>
      </c>
      <c r="G803" s="626" t="s">
        <v>212</v>
      </c>
      <c r="H803" s="625" t="s">
        <v>109</v>
      </c>
      <c r="I803" s="627">
        <v>30</v>
      </c>
    </row>
    <row r="804" spans="1:9" ht="13.5">
      <c r="A804" s="621">
        <v>1002</v>
      </c>
      <c r="B804" s="153" t="s">
        <v>1069</v>
      </c>
      <c r="C804" s="622"/>
      <c r="D804" s="623" t="s">
        <v>1042</v>
      </c>
      <c r="E804" s="624"/>
      <c r="F804" s="625" t="s">
        <v>1043</v>
      </c>
      <c r="G804" s="626" t="s">
        <v>741</v>
      </c>
      <c r="H804" s="625" t="s">
        <v>109</v>
      </c>
      <c r="I804" s="627">
        <v>9.8000000000000007</v>
      </c>
    </row>
    <row r="805" spans="1:9" ht="13.5">
      <c r="A805" s="621">
        <v>1002</v>
      </c>
      <c r="B805" s="153" t="s">
        <v>1069</v>
      </c>
      <c r="C805" s="622"/>
      <c r="D805" s="623" t="s">
        <v>1042</v>
      </c>
      <c r="E805" s="624"/>
      <c r="F805" s="625" t="s">
        <v>1071</v>
      </c>
      <c r="G805" s="626" t="s">
        <v>1074</v>
      </c>
      <c r="H805" s="625" t="s">
        <v>109</v>
      </c>
      <c r="I805" s="627">
        <v>6.16</v>
      </c>
    </row>
    <row r="806" spans="1:9" ht="13.5">
      <c r="A806" s="621">
        <v>1002</v>
      </c>
      <c r="B806" s="153" t="s">
        <v>1069</v>
      </c>
      <c r="C806" s="622"/>
      <c r="D806" s="623" t="s">
        <v>1042</v>
      </c>
      <c r="E806" s="624"/>
      <c r="F806" s="625" t="s">
        <v>1072</v>
      </c>
      <c r="G806" s="626" t="s">
        <v>1074</v>
      </c>
      <c r="H806" s="625" t="s">
        <v>109</v>
      </c>
      <c r="I806" s="627">
        <v>7.7</v>
      </c>
    </row>
    <row r="807" spans="1:9" ht="13.5">
      <c r="A807" s="621">
        <v>1002</v>
      </c>
      <c r="B807" s="153" t="s">
        <v>1069</v>
      </c>
      <c r="C807" s="622"/>
      <c r="D807" s="623" t="s">
        <v>1042</v>
      </c>
      <c r="E807" s="624"/>
      <c r="F807" s="625" t="s">
        <v>1073</v>
      </c>
      <c r="G807" s="626" t="s">
        <v>1074</v>
      </c>
      <c r="H807" s="625" t="s">
        <v>109</v>
      </c>
      <c r="I807" s="627">
        <v>0.7</v>
      </c>
    </row>
    <row r="808" spans="1:9" ht="13.5">
      <c r="A808" s="621">
        <v>1002</v>
      </c>
      <c r="B808" s="153" t="s">
        <v>1069</v>
      </c>
      <c r="C808" s="622"/>
      <c r="D808" s="623" t="s">
        <v>1042</v>
      </c>
      <c r="E808" s="624"/>
      <c r="F808" s="625" t="s">
        <v>1342</v>
      </c>
      <c r="G808" s="626"/>
      <c r="H808" s="625" t="s">
        <v>68</v>
      </c>
      <c r="I808" s="627">
        <v>43</v>
      </c>
    </row>
    <row r="809" spans="1:9" ht="13.5">
      <c r="A809" s="621">
        <v>1002</v>
      </c>
      <c r="B809" s="153" t="s">
        <v>1069</v>
      </c>
      <c r="C809" s="622"/>
      <c r="D809" s="623" t="s">
        <v>1042</v>
      </c>
      <c r="E809" s="624"/>
      <c r="F809" s="625" t="s">
        <v>1342</v>
      </c>
      <c r="G809" s="626"/>
      <c r="H809" s="625" t="s">
        <v>1348</v>
      </c>
      <c r="I809" s="627">
        <v>60</v>
      </c>
    </row>
    <row r="810" spans="1:9" ht="13.5">
      <c r="A810" s="621">
        <v>1002</v>
      </c>
      <c r="B810" s="153" t="s">
        <v>1069</v>
      </c>
      <c r="C810" s="622"/>
      <c r="D810" s="623" t="s">
        <v>1042</v>
      </c>
      <c r="E810" s="624"/>
      <c r="F810" s="625" t="s">
        <v>1342</v>
      </c>
      <c r="G810" s="626"/>
      <c r="H810" s="625" t="s">
        <v>1348</v>
      </c>
      <c r="I810" s="627">
        <v>6.25</v>
      </c>
    </row>
    <row r="811" spans="1:9" ht="13.5">
      <c r="A811" s="621">
        <v>1002</v>
      </c>
      <c r="B811" s="153" t="s">
        <v>1069</v>
      </c>
      <c r="C811" s="622"/>
      <c r="D811" s="623" t="s">
        <v>1042</v>
      </c>
      <c r="E811" s="624"/>
      <c r="F811" s="625" t="s">
        <v>1342</v>
      </c>
      <c r="G811" s="626"/>
      <c r="H811" s="625" t="s">
        <v>1348</v>
      </c>
      <c r="I811" s="627">
        <v>6.25</v>
      </c>
    </row>
    <row r="812" spans="1:9" ht="13.5">
      <c r="A812" s="621">
        <v>1002</v>
      </c>
      <c r="B812" s="153" t="s">
        <v>1069</v>
      </c>
      <c r="C812" s="622"/>
      <c r="D812" s="623" t="s">
        <v>1042</v>
      </c>
      <c r="E812" s="624"/>
      <c r="F812" s="625" t="s">
        <v>1343</v>
      </c>
      <c r="G812" s="626"/>
      <c r="H812" s="625" t="s">
        <v>68</v>
      </c>
      <c r="I812" s="627">
        <v>17.5</v>
      </c>
    </row>
    <row r="813" spans="1:9" ht="13.5">
      <c r="A813" s="621">
        <v>1002</v>
      </c>
      <c r="B813" s="153" t="s">
        <v>1069</v>
      </c>
      <c r="C813" s="622"/>
      <c r="D813" s="623" t="s">
        <v>1042</v>
      </c>
      <c r="E813" s="624"/>
      <c r="F813" s="625" t="s">
        <v>1343</v>
      </c>
      <c r="G813" s="626"/>
      <c r="H813" s="625" t="s">
        <v>68</v>
      </c>
      <c r="I813" s="627">
        <v>25</v>
      </c>
    </row>
    <row r="814" spans="1:9" ht="13.5">
      <c r="A814" s="621">
        <v>1002</v>
      </c>
      <c r="B814" s="153" t="s">
        <v>1069</v>
      </c>
      <c r="C814" s="622"/>
      <c r="D814" s="623" t="s">
        <v>1042</v>
      </c>
      <c r="E814" s="624"/>
      <c r="F814" s="625" t="s">
        <v>1343</v>
      </c>
      <c r="G814" s="626"/>
      <c r="H814" s="625" t="s">
        <v>68</v>
      </c>
      <c r="I814" s="627">
        <v>25</v>
      </c>
    </row>
    <row r="815" spans="1:9" ht="13.5">
      <c r="A815" s="621">
        <v>1002</v>
      </c>
      <c r="B815" s="153" t="s">
        <v>1069</v>
      </c>
      <c r="C815" s="622"/>
      <c r="D815" s="623" t="s">
        <v>1042</v>
      </c>
      <c r="E815" s="624"/>
      <c r="F815" s="625" t="s">
        <v>319</v>
      </c>
      <c r="G815" s="626"/>
      <c r="H815" s="625" t="s">
        <v>68</v>
      </c>
      <c r="I815" s="627">
        <v>18</v>
      </c>
    </row>
    <row r="816" spans="1:9" ht="13.5">
      <c r="A816" s="621">
        <v>1002</v>
      </c>
      <c r="B816" s="153" t="s">
        <v>1069</v>
      </c>
      <c r="C816" s="622"/>
      <c r="D816" s="623" t="s">
        <v>1042</v>
      </c>
      <c r="E816" s="624"/>
      <c r="F816" s="625" t="s">
        <v>319</v>
      </c>
      <c r="G816" s="626"/>
      <c r="H816" s="625" t="s">
        <v>68</v>
      </c>
      <c r="I816" s="627">
        <v>1</v>
      </c>
    </row>
    <row r="817" spans="1:9" ht="13.5">
      <c r="A817" s="621">
        <v>1002</v>
      </c>
      <c r="B817" s="153" t="s">
        <v>1069</v>
      </c>
      <c r="C817" s="622"/>
      <c r="D817" s="623" t="s">
        <v>1042</v>
      </c>
      <c r="E817" s="624"/>
      <c r="F817" s="625" t="s">
        <v>319</v>
      </c>
      <c r="G817" s="626"/>
      <c r="H817" s="625" t="s">
        <v>68</v>
      </c>
      <c r="I817" s="627">
        <v>1.5</v>
      </c>
    </row>
    <row r="818" spans="1:9" ht="13.5">
      <c r="A818" s="621">
        <v>1002</v>
      </c>
      <c r="B818" s="153" t="s">
        <v>1069</v>
      </c>
      <c r="C818" s="622"/>
      <c r="D818" s="623" t="s">
        <v>1042</v>
      </c>
      <c r="E818" s="624"/>
      <c r="F818" s="625" t="s">
        <v>1344</v>
      </c>
      <c r="G818" s="626"/>
      <c r="H818" s="625" t="s">
        <v>68</v>
      </c>
      <c r="I818" s="627">
        <v>8</v>
      </c>
    </row>
    <row r="819" spans="1:9" ht="13.5">
      <c r="A819" s="621">
        <v>1002</v>
      </c>
      <c r="B819" s="153" t="s">
        <v>1069</v>
      </c>
      <c r="C819" s="622"/>
      <c r="D819" s="623" t="s">
        <v>1042</v>
      </c>
      <c r="E819" s="624"/>
      <c r="F819" s="625" t="s">
        <v>123</v>
      </c>
      <c r="G819" s="626"/>
      <c r="H819" s="625" t="s">
        <v>68</v>
      </c>
      <c r="I819" s="627">
        <v>17.5</v>
      </c>
    </row>
    <row r="820" spans="1:9" ht="13.5">
      <c r="A820" s="621">
        <v>1002</v>
      </c>
      <c r="B820" s="153" t="s">
        <v>1069</v>
      </c>
      <c r="C820" s="622"/>
      <c r="D820" s="623" t="s">
        <v>1042</v>
      </c>
      <c r="E820" s="624"/>
      <c r="F820" s="625" t="s">
        <v>123</v>
      </c>
      <c r="G820" s="626"/>
      <c r="H820" s="625" t="s">
        <v>68</v>
      </c>
      <c r="I820" s="627">
        <v>17.5</v>
      </c>
    </row>
    <row r="821" spans="1:9" ht="13.5">
      <c r="A821" s="621">
        <v>301</v>
      </c>
      <c r="B821" s="153" t="s">
        <v>1410</v>
      </c>
      <c r="C821" s="622"/>
      <c r="D821" s="623" t="s">
        <v>1394</v>
      </c>
      <c r="E821" s="624"/>
      <c r="F821" s="625" t="s">
        <v>1545</v>
      </c>
      <c r="G821" s="626" t="s">
        <v>1693</v>
      </c>
      <c r="H821" s="625" t="s">
        <v>109</v>
      </c>
      <c r="I821" s="627">
        <v>20</v>
      </c>
    </row>
    <row r="822" spans="1:9" ht="13.5">
      <c r="A822" s="621">
        <v>301</v>
      </c>
      <c r="B822" s="153" t="s">
        <v>1410</v>
      </c>
      <c r="C822" s="622"/>
      <c r="D822" s="623" t="s">
        <v>1394</v>
      </c>
      <c r="E822" s="624"/>
      <c r="F822" s="625" t="s">
        <v>1546</v>
      </c>
      <c r="G822" s="626" t="s">
        <v>1746</v>
      </c>
      <c r="H822" s="625" t="s">
        <v>109</v>
      </c>
      <c r="I822" s="627">
        <v>2</v>
      </c>
    </row>
    <row r="823" spans="1:9" ht="13.5">
      <c r="A823" s="621">
        <v>301</v>
      </c>
      <c r="B823" s="153" t="s">
        <v>1410</v>
      </c>
      <c r="C823" s="622"/>
      <c r="D823" s="623" t="s">
        <v>1394</v>
      </c>
      <c r="E823" s="624"/>
      <c r="F823" s="625" t="s">
        <v>17</v>
      </c>
      <c r="G823" s="626" t="s">
        <v>188</v>
      </c>
      <c r="H823" s="625" t="s">
        <v>109</v>
      </c>
      <c r="I823" s="627">
        <v>2</v>
      </c>
    </row>
    <row r="824" spans="1:9" ht="13.5">
      <c r="A824" s="621">
        <v>301</v>
      </c>
      <c r="B824" s="153" t="s">
        <v>1410</v>
      </c>
      <c r="C824" s="622"/>
      <c r="D824" s="623" t="s">
        <v>1394</v>
      </c>
      <c r="E824" s="624"/>
      <c r="F824" s="625" t="s">
        <v>70</v>
      </c>
      <c r="G824" s="626" t="s">
        <v>1800</v>
      </c>
      <c r="H824" s="625" t="s">
        <v>109</v>
      </c>
      <c r="I824" s="627">
        <v>2</v>
      </c>
    </row>
    <row r="825" spans="1:9" ht="13.5">
      <c r="A825" s="621">
        <v>301</v>
      </c>
      <c r="B825" s="153" t="s">
        <v>1410</v>
      </c>
      <c r="C825" s="622"/>
      <c r="D825" s="623" t="s">
        <v>1394</v>
      </c>
      <c r="E825" s="624"/>
      <c r="F825" s="625" t="s">
        <v>65</v>
      </c>
      <c r="G825" s="626" t="s">
        <v>14</v>
      </c>
      <c r="H825" s="625" t="s">
        <v>109</v>
      </c>
      <c r="I825" s="627">
        <v>8</v>
      </c>
    </row>
    <row r="826" spans="1:9" ht="13.5">
      <c r="A826" s="621">
        <v>301</v>
      </c>
      <c r="B826" s="153" t="s">
        <v>1410</v>
      </c>
      <c r="C826" s="622"/>
      <c r="D826" s="623" t="s">
        <v>1394</v>
      </c>
      <c r="E826" s="624"/>
      <c r="F826" s="625" t="s">
        <v>65</v>
      </c>
      <c r="G826" s="626" t="s">
        <v>66</v>
      </c>
      <c r="H826" s="625" t="s">
        <v>109</v>
      </c>
      <c r="I826" s="627">
        <v>6</v>
      </c>
    </row>
    <row r="827" spans="1:9" ht="13.5">
      <c r="A827" s="621">
        <v>301</v>
      </c>
      <c r="B827" s="153" t="s">
        <v>1410</v>
      </c>
      <c r="C827" s="622"/>
      <c r="D827" s="623" t="s">
        <v>1394</v>
      </c>
      <c r="E827" s="624"/>
      <c r="F827" s="625" t="s">
        <v>1547</v>
      </c>
      <c r="G827" s="626" t="s">
        <v>194</v>
      </c>
      <c r="H827" s="625" t="s">
        <v>75</v>
      </c>
      <c r="I827" s="627">
        <v>0.5</v>
      </c>
    </row>
    <row r="828" spans="1:9" ht="13.5">
      <c r="A828" s="621">
        <v>302</v>
      </c>
      <c r="B828" s="153" t="s">
        <v>1393</v>
      </c>
      <c r="C828" s="622"/>
      <c r="D828" s="623" t="s">
        <v>1394</v>
      </c>
      <c r="E828" s="624"/>
      <c r="F828" s="625" t="s">
        <v>1555</v>
      </c>
      <c r="G828" s="626" t="s">
        <v>1693</v>
      </c>
      <c r="H828" s="625" t="s">
        <v>12</v>
      </c>
      <c r="I828" s="627">
        <v>10</v>
      </c>
    </row>
    <row r="829" spans="1:9" ht="13.5">
      <c r="A829" s="621">
        <v>302</v>
      </c>
      <c r="B829" s="153" t="s">
        <v>1393</v>
      </c>
      <c r="C829" s="622"/>
      <c r="D829" s="623" t="s">
        <v>1394</v>
      </c>
      <c r="E829" s="624"/>
      <c r="F829" s="625" t="s">
        <v>1556</v>
      </c>
      <c r="G829" s="626" t="s">
        <v>14</v>
      </c>
      <c r="H829" s="625" t="s">
        <v>109</v>
      </c>
      <c r="I829" s="627">
        <v>30</v>
      </c>
    </row>
    <row r="830" spans="1:9" ht="13.5">
      <c r="A830" s="621">
        <v>302</v>
      </c>
      <c r="B830" s="153" t="s">
        <v>1393</v>
      </c>
      <c r="C830" s="622"/>
      <c r="D830" s="623" t="s">
        <v>1394</v>
      </c>
      <c r="E830" s="624"/>
      <c r="F830" s="625" t="s">
        <v>1557</v>
      </c>
      <c r="G830" s="626" t="s">
        <v>66</v>
      </c>
      <c r="H830" s="625" t="s">
        <v>109</v>
      </c>
      <c r="I830" s="627">
        <v>45</v>
      </c>
    </row>
    <row r="831" spans="1:9" ht="13.5">
      <c r="A831" s="621">
        <v>303</v>
      </c>
      <c r="B831" s="153" t="s">
        <v>133</v>
      </c>
      <c r="C831" s="622"/>
      <c r="D831" s="623" t="s">
        <v>1394</v>
      </c>
      <c r="E831" s="624"/>
      <c r="F831" s="625" t="s">
        <v>1565</v>
      </c>
      <c r="G831" s="626" t="s">
        <v>1871</v>
      </c>
      <c r="H831" s="625" t="s">
        <v>12</v>
      </c>
      <c r="I831" s="627">
        <v>7</v>
      </c>
    </row>
    <row r="832" spans="1:9" ht="13.5">
      <c r="A832" s="621">
        <v>303</v>
      </c>
      <c r="B832" s="153" t="s">
        <v>133</v>
      </c>
      <c r="C832" s="622"/>
      <c r="D832" s="623" t="s">
        <v>1394</v>
      </c>
      <c r="E832" s="624"/>
      <c r="F832" s="625" t="s">
        <v>1545</v>
      </c>
      <c r="G832" s="626" t="s">
        <v>1693</v>
      </c>
      <c r="H832" s="625" t="s">
        <v>12</v>
      </c>
      <c r="I832" s="627">
        <v>17</v>
      </c>
    </row>
    <row r="833" spans="1:9" ht="13.5">
      <c r="A833" s="621">
        <v>303</v>
      </c>
      <c r="B833" s="153" t="s">
        <v>133</v>
      </c>
      <c r="C833" s="622"/>
      <c r="D833" s="623" t="s">
        <v>1394</v>
      </c>
      <c r="E833" s="624"/>
      <c r="F833" s="625" t="s">
        <v>1546</v>
      </c>
      <c r="G833" s="626" t="s">
        <v>1746</v>
      </c>
      <c r="H833" s="625" t="s">
        <v>12</v>
      </c>
      <c r="I833" s="627">
        <v>9</v>
      </c>
    </row>
    <row r="834" spans="1:9" ht="13.5">
      <c r="A834" s="621">
        <v>303</v>
      </c>
      <c r="B834" s="153" t="s">
        <v>133</v>
      </c>
      <c r="C834" s="622"/>
      <c r="D834" s="623" t="s">
        <v>1394</v>
      </c>
      <c r="E834" s="624"/>
      <c r="F834" s="625" t="s">
        <v>70</v>
      </c>
      <c r="G834" s="626" t="s">
        <v>1800</v>
      </c>
      <c r="H834" s="625" t="s">
        <v>109</v>
      </c>
      <c r="I834" s="627">
        <v>6</v>
      </c>
    </row>
    <row r="835" spans="1:9" ht="13.5">
      <c r="A835" s="621">
        <v>303</v>
      </c>
      <c r="B835" s="153" t="s">
        <v>133</v>
      </c>
      <c r="C835" s="622"/>
      <c r="D835" s="623" t="s">
        <v>1394</v>
      </c>
      <c r="E835" s="624"/>
      <c r="F835" s="625" t="s">
        <v>1566</v>
      </c>
      <c r="G835" s="626" t="s">
        <v>14</v>
      </c>
      <c r="H835" s="625" t="s">
        <v>109</v>
      </c>
      <c r="I835" s="627">
        <v>64</v>
      </c>
    </row>
    <row r="836" spans="1:9" ht="13.5">
      <c r="A836" s="621">
        <v>303</v>
      </c>
      <c r="B836" s="153" t="s">
        <v>133</v>
      </c>
      <c r="C836" s="622"/>
      <c r="D836" s="623" t="s">
        <v>1394</v>
      </c>
      <c r="E836" s="624"/>
      <c r="F836" s="625" t="s">
        <v>1566</v>
      </c>
      <c r="G836" s="626" t="s">
        <v>66</v>
      </c>
      <c r="H836" s="625" t="s">
        <v>109</v>
      </c>
      <c r="I836" s="627">
        <v>50</v>
      </c>
    </row>
    <row r="837" spans="1:9" ht="13.5">
      <c r="A837" s="621">
        <v>303</v>
      </c>
      <c r="B837" s="153" t="s">
        <v>133</v>
      </c>
      <c r="C837" s="622"/>
      <c r="D837" s="623" t="s">
        <v>1394</v>
      </c>
      <c r="E837" s="624"/>
      <c r="F837" s="625" t="s">
        <v>1567</v>
      </c>
      <c r="G837" s="626"/>
      <c r="H837" s="625" t="s">
        <v>12</v>
      </c>
      <c r="I837" s="627">
        <v>10</v>
      </c>
    </row>
    <row r="838" spans="1:9" ht="13.5">
      <c r="A838" s="621">
        <v>304</v>
      </c>
      <c r="B838" s="153" t="s">
        <v>1397</v>
      </c>
      <c r="C838" s="622"/>
      <c r="D838" s="623" t="s">
        <v>1394</v>
      </c>
      <c r="E838" s="624"/>
      <c r="F838" s="625" t="s">
        <v>17</v>
      </c>
      <c r="G838" s="626" t="s">
        <v>16</v>
      </c>
      <c r="H838" s="625" t="s">
        <v>109</v>
      </c>
      <c r="I838" s="627">
        <v>12</v>
      </c>
    </row>
    <row r="839" spans="1:9" ht="13.5">
      <c r="A839" s="621">
        <v>304</v>
      </c>
      <c r="B839" s="153" t="s">
        <v>1397</v>
      </c>
      <c r="C839" s="622"/>
      <c r="D839" s="623" t="s">
        <v>1394</v>
      </c>
      <c r="E839" s="624"/>
      <c r="F839" s="625" t="s">
        <v>20</v>
      </c>
      <c r="G839" s="626" t="s">
        <v>182</v>
      </c>
      <c r="H839" s="625" t="s">
        <v>109</v>
      </c>
      <c r="I839" s="627">
        <v>8</v>
      </c>
    </row>
    <row r="840" spans="1:9" ht="13.5">
      <c r="A840" s="621">
        <v>304</v>
      </c>
      <c r="B840" s="153" t="s">
        <v>1397</v>
      </c>
      <c r="C840" s="622"/>
      <c r="D840" s="623" t="s">
        <v>1394</v>
      </c>
      <c r="E840" s="624"/>
      <c r="F840" s="625" t="s">
        <v>1545</v>
      </c>
      <c r="G840" s="626" t="s">
        <v>1693</v>
      </c>
      <c r="H840" s="625" t="s">
        <v>109</v>
      </c>
      <c r="I840" s="627">
        <v>10</v>
      </c>
    </row>
    <row r="841" spans="1:9" ht="13.5">
      <c r="A841" s="621">
        <v>304</v>
      </c>
      <c r="B841" s="153" t="s">
        <v>1397</v>
      </c>
      <c r="C841" s="622"/>
      <c r="D841" s="623" t="s">
        <v>1394</v>
      </c>
      <c r="E841" s="624"/>
      <c r="F841" s="625" t="s">
        <v>1546</v>
      </c>
      <c r="G841" s="626" t="s">
        <v>1746</v>
      </c>
      <c r="H841" s="625" t="s">
        <v>109</v>
      </c>
      <c r="I841" s="627">
        <v>8</v>
      </c>
    </row>
    <row r="842" spans="1:9" ht="13.5">
      <c r="A842" s="621">
        <v>304</v>
      </c>
      <c r="B842" s="153" t="s">
        <v>1397</v>
      </c>
      <c r="C842" s="622"/>
      <c r="D842" s="623" t="s">
        <v>1394</v>
      </c>
      <c r="E842" s="624"/>
      <c r="F842" s="625" t="s">
        <v>1546</v>
      </c>
      <c r="G842" s="626" t="s">
        <v>1832</v>
      </c>
      <c r="H842" s="625" t="s">
        <v>109</v>
      </c>
      <c r="I842" s="627">
        <v>1</v>
      </c>
    </row>
    <row r="843" spans="1:9" ht="13.5">
      <c r="A843" s="621">
        <v>304</v>
      </c>
      <c r="B843" s="153" t="s">
        <v>1397</v>
      </c>
      <c r="C843" s="622"/>
      <c r="D843" s="623" t="s">
        <v>1394</v>
      </c>
      <c r="E843" s="624"/>
      <c r="F843" s="625" t="s">
        <v>1577</v>
      </c>
      <c r="G843" s="626" t="s">
        <v>1799</v>
      </c>
      <c r="H843" s="625" t="s">
        <v>109</v>
      </c>
      <c r="I843" s="627">
        <v>10</v>
      </c>
    </row>
    <row r="844" spans="1:9" ht="13.5">
      <c r="A844" s="621">
        <v>304</v>
      </c>
      <c r="B844" s="153" t="s">
        <v>1397</v>
      </c>
      <c r="C844" s="622"/>
      <c r="D844" s="623" t="s">
        <v>1394</v>
      </c>
      <c r="E844" s="624"/>
      <c r="F844" s="625" t="s">
        <v>70</v>
      </c>
      <c r="G844" s="626" t="s">
        <v>1800</v>
      </c>
      <c r="H844" s="625" t="s">
        <v>109</v>
      </c>
      <c r="I844" s="627">
        <v>10</v>
      </c>
    </row>
    <row r="845" spans="1:9" ht="13.5">
      <c r="A845" s="621">
        <v>304</v>
      </c>
      <c r="B845" s="153" t="s">
        <v>1397</v>
      </c>
      <c r="C845" s="622"/>
      <c r="D845" s="623" t="s">
        <v>1394</v>
      </c>
      <c r="E845" s="624"/>
      <c r="F845" s="625" t="s">
        <v>1566</v>
      </c>
      <c r="G845" s="626" t="s">
        <v>14</v>
      </c>
      <c r="H845" s="625" t="s">
        <v>109</v>
      </c>
      <c r="I845" s="627">
        <v>15</v>
      </c>
    </row>
    <row r="846" spans="1:9" ht="13.5">
      <c r="A846" s="621">
        <v>304</v>
      </c>
      <c r="B846" s="153" t="s">
        <v>1397</v>
      </c>
      <c r="C846" s="622"/>
      <c r="D846" s="623" t="s">
        <v>1394</v>
      </c>
      <c r="E846" s="624"/>
      <c r="F846" s="625" t="s">
        <v>1566</v>
      </c>
      <c r="G846" s="626" t="s">
        <v>66</v>
      </c>
      <c r="H846" s="625" t="s">
        <v>109</v>
      </c>
      <c r="I846" s="627">
        <v>11</v>
      </c>
    </row>
    <row r="847" spans="1:9" ht="13.5">
      <c r="A847" s="621">
        <v>305</v>
      </c>
      <c r="B847" s="153" t="s">
        <v>1400</v>
      </c>
      <c r="C847" s="622"/>
      <c r="D847" s="623" t="s">
        <v>1394</v>
      </c>
      <c r="E847" s="624"/>
      <c r="F847" s="625" t="s">
        <v>65</v>
      </c>
      <c r="G847" s="626" t="s">
        <v>1880</v>
      </c>
      <c r="H847" s="625" t="s">
        <v>109</v>
      </c>
      <c r="I847" s="627">
        <v>10</v>
      </c>
    </row>
    <row r="848" spans="1:9" ht="13.5">
      <c r="A848" s="621">
        <v>305</v>
      </c>
      <c r="B848" s="153" t="s">
        <v>1400</v>
      </c>
      <c r="C848" s="622"/>
      <c r="D848" s="623" t="s">
        <v>1394</v>
      </c>
      <c r="E848" s="624"/>
      <c r="F848" s="625" t="s">
        <v>69</v>
      </c>
      <c r="G848" s="626" t="s">
        <v>1882</v>
      </c>
      <c r="H848" s="625" t="s">
        <v>109</v>
      </c>
      <c r="I848" s="627">
        <v>11</v>
      </c>
    </row>
    <row r="849" spans="1:9" ht="13.5">
      <c r="A849" s="621">
        <v>305</v>
      </c>
      <c r="B849" s="153" t="s">
        <v>1400</v>
      </c>
      <c r="C849" s="622"/>
      <c r="D849" s="623" t="s">
        <v>1394</v>
      </c>
      <c r="E849" s="624"/>
      <c r="F849" s="625" t="s">
        <v>70</v>
      </c>
      <c r="G849" s="626" t="s">
        <v>1883</v>
      </c>
      <c r="H849" s="625" t="s">
        <v>109</v>
      </c>
      <c r="I849" s="627">
        <v>5</v>
      </c>
    </row>
    <row r="850" spans="1:9" ht="13.5">
      <c r="A850" s="621">
        <v>305</v>
      </c>
      <c r="B850" s="153" t="s">
        <v>1400</v>
      </c>
      <c r="C850" s="622"/>
      <c r="D850" s="623" t="s">
        <v>1394</v>
      </c>
      <c r="E850" s="624"/>
      <c r="F850" s="625" t="s">
        <v>1584</v>
      </c>
      <c r="G850" s="626" t="s">
        <v>1884</v>
      </c>
      <c r="H850" s="625" t="s">
        <v>109</v>
      </c>
      <c r="I850" s="627">
        <v>2</v>
      </c>
    </row>
    <row r="851" spans="1:9" ht="13.5">
      <c r="A851" s="621">
        <v>306</v>
      </c>
      <c r="B851" s="153" t="s">
        <v>1401</v>
      </c>
      <c r="C851" s="622"/>
      <c r="D851" s="623" t="s">
        <v>1394</v>
      </c>
      <c r="E851" s="624"/>
      <c r="F851" s="625" t="s">
        <v>65</v>
      </c>
      <c r="G851" s="626" t="s">
        <v>1880</v>
      </c>
      <c r="H851" s="625" t="s">
        <v>109</v>
      </c>
      <c r="I851" s="627">
        <v>15</v>
      </c>
    </row>
    <row r="852" spans="1:9" ht="13.5">
      <c r="A852" s="621">
        <v>306</v>
      </c>
      <c r="B852" s="153" t="s">
        <v>1401</v>
      </c>
      <c r="C852" s="622"/>
      <c r="D852" s="623" t="s">
        <v>1394</v>
      </c>
      <c r="E852" s="624"/>
      <c r="F852" s="625" t="s">
        <v>69</v>
      </c>
      <c r="G852" s="626" t="s">
        <v>1882</v>
      </c>
      <c r="H852" s="625" t="s">
        <v>109</v>
      </c>
      <c r="I852" s="627">
        <v>12</v>
      </c>
    </row>
    <row r="853" spans="1:9" ht="13.5">
      <c r="A853" s="621">
        <v>306</v>
      </c>
      <c r="B853" s="153" t="s">
        <v>1401</v>
      </c>
      <c r="C853" s="622"/>
      <c r="D853" s="623" t="s">
        <v>1394</v>
      </c>
      <c r="E853" s="624"/>
      <c r="F853" s="625" t="s">
        <v>70</v>
      </c>
      <c r="G853" s="626" t="s">
        <v>1883</v>
      </c>
      <c r="H853" s="625" t="s">
        <v>109</v>
      </c>
      <c r="I853" s="627">
        <v>6</v>
      </c>
    </row>
    <row r="854" spans="1:9" ht="13.5">
      <c r="A854" s="621">
        <v>306</v>
      </c>
      <c r="B854" s="153" t="s">
        <v>1401</v>
      </c>
      <c r="C854" s="622"/>
      <c r="D854" s="623" t="s">
        <v>1394</v>
      </c>
      <c r="E854" s="624"/>
      <c r="F854" s="625" t="s">
        <v>1584</v>
      </c>
      <c r="G854" s="626" t="s">
        <v>1884</v>
      </c>
      <c r="H854" s="625" t="s">
        <v>109</v>
      </c>
      <c r="I854" s="627">
        <v>2</v>
      </c>
    </row>
    <row r="855" spans="1:9" ht="13.5">
      <c r="A855" s="621">
        <v>306</v>
      </c>
      <c r="B855" s="153" t="s">
        <v>1401</v>
      </c>
      <c r="C855" s="622"/>
      <c r="D855" s="623" t="s">
        <v>1394</v>
      </c>
      <c r="E855" s="624"/>
      <c r="F855" s="625" t="s">
        <v>1586</v>
      </c>
      <c r="G855" s="626" t="s">
        <v>1886</v>
      </c>
      <c r="H855" s="625" t="s">
        <v>109</v>
      </c>
      <c r="I855" s="627">
        <v>13</v>
      </c>
    </row>
    <row r="856" spans="1:9" ht="13.5">
      <c r="A856" s="621">
        <v>307</v>
      </c>
      <c r="B856" s="153" t="s">
        <v>1395</v>
      </c>
      <c r="C856" s="622"/>
      <c r="D856" s="623" t="s">
        <v>1394</v>
      </c>
      <c r="E856" s="624"/>
      <c r="F856" s="625" t="s">
        <v>1420</v>
      </c>
      <c r="G856" s="626" t="s">
        <v>1890</v>
      </c>
      <c r="H856" s="625" t="s">
        <v>176</v>
      </c>
      <c r="I856" s="627">
        <v>53.8</v>
      </c>
    </row>
    <row r="857" spans="1:9" ht="13.5">
      <c r="A857" s="621">
        <v>307</v>
      </c>
      <c r="B857" s="153" t="s">
        <v>1395</v>
      </c>
      <c r="C857" s="622"/>
      <c r="D857" s="623" t="s">
        <v>1394</v>
      </c>
      <c r="E857" s="624"/>
      <c r="F857" s="625" t="s">
        <v>1590</v>
      </c>
      <c r="G857" s="626" t="s">
        <v>14</v>
      </c>
      <c r="H857" s="625" t="s">
        <v>109</v>
      </c>
      <c r="I857" s="627">
        <v>31</v>
      </c>
    </row>
    <row r="858" spans="1:9" ht="13.5">
      <c r="A858" s="621">
        <v>307</v>
      </c>
      <c r="B858" s="153" t="s">
        <v>1395</v>
      </c>
      <c r="C858" s="622"/>
      <c r="D858" s="623" t="s">
        <v>1394</v>
      </c>
      <c r="E858" s="624"/>
      <c r="F858" s="625" t="s">
        <v>1590</v>
      </c>
      <c r="G858" s="626" t="s">
        <v>66</v>
      </c>
      <c r="H858" s="625" t="s">
        <v>109</v>
      </c>
      <c r="I858" s="627">
        <v>5</v>
      </c>
    </row>
    <row r="859" spans="1:9" ht="13.5">
      <c r="A859" s="621">
        <v>307</v>
      </c>
      <c r="B859" s="153" t="s">
        <v>1395</v>
      </c>
      <c r="C859" s="622"/>
      <c r="D859" s="623" t="s">
        <v>1394</v>
      </c>
      <c r="E859" s="624"/>
      <c r="F859" s="625" t="s">
        <v>1590</v>
      </c>
      <c r="G859" s="626" t="s">
        <v>1802</v>
      </c>
      <c r="H859" s="625" t="s">
        <v>109</v>
      </c>
      <c r="I859" s="627">
        <v>36</v>
      </c>
    </row>
    <row r="860" spans="1:9" ht="13.5">
      <c r="A860" s="621">
        <v>307</v>
      </c>
      <c r="B860" s="153" t="s">
        <v>1395</v>
      </c>
      <c r="C860" s="622"/>
      <c r="D860" s="623" t="s">
        <v>1394</v>
      </c>
      <c r="E860" s="624"/>
      <c r="F860" s="625" t="s">
        <v>1590</v>
      </c>
      <c r="G860" s="626" t="s">
        <v>191</v>
      </c>
      <c r="H860" s="625" t="s">
        <v>109</v>
      </c>
      <c r="I860" s="627">
        <v>11</v>
      </c>
    </row>
    <row r="861" spans="1:9" ht="13.5">
      <c r="A861" s="621">
        <v>307</v>
      </c>
      <c r="B861" s="153" t="s">
        <v>1395</v>
      </c>
      <c r="C861" s="622"/>
      <c r="D861" s="623" t="s">
        <v>1394</v>
      </c>
      <c r="E861" s="624"/>
      <c r="F861" s="625" t="s">
        <v>1592</v>
      </c>
      <c r="G861" s="626" t="s">
        <v>1800</v>
      </c>
      <c r="H861" s="625" t="s">
        <v>109</v>
      </c>
      <c r="I861" s="627">
        <v>3</v>
      </c>
    </row>
    <row r="862" spans="1:9" ht="13.5">
      <c r="A862" s="621">
        <v>307</v>
      </c>
      <c r="B862" s="153" t="s">
        <v>1395</v>
      </c>
      <c r="C862" s="622"/>
      <c r="D862" s="623" t="s">
        <v>1394</v>
      </c>
      <c r="E862" s="624"/>
      <c r="F862" s="625" t="s">
        <v>292</v>
      </c>
      <c r="G862" s="626" t="s">
        <v>1693</v>
      </c>
      <c r="H862" s="625" t="s">
        <v>109</v>
      </c>
      <c r="I862" s="627">
        <v>13</v>
      </c>
    </row>
    <row r="863" spans="1:9" ht="13.5">
      <c r="A863" s="621">
        <v>307</v>
      </c>
      <c r="B863" s="153" t="s">
        <v>1395</v>
      </c>
      <c r="C863" s="622"/>
      <c r="D863" s="623" t="s">
        <v>1394</v>
      </c>
      <c r="E863" s="624"/>
      <c r="F863" s="625" t="s">
        <v>1594</v>
      </c>
      <c r="G863" s="626" t="s">
        <v>1746</v>
      </c>
      <c r="H863" s="625" t="s">
        <v>109</v>
      </c>
      <c r="I863" s="627">
        <v>6</v>
      </c>
    </row>
    <row r="864" spans="1:9" ht="13.5">
      <c r="A864" s="621">
        <v>308</v>
      </c>
      <c r="B864" s="153" t="s">
        <v>1402</v>
      </c>
      <c r="C864" s="622"/>
      <c r="D864" s="623" t="s">
        <v>1394</v>
      </c>
      <c r="E864" s="624"/>
      <c r="F864" s="625" t="s">
        <v>1545</v>
      </c>
      <c r="G864" s="626" t="s">
        <v>1693</v>
      </c>
      <c r="H864" s="625" t="s">
        <v>109</v>
      </c>
      <c r="I864" s="627">
        <v>11</v>
      </c>
    </row>
    <row r="865" spans="1:9" ht="13.5">
      <c r="A865" s="621">
        <v>308</v>
      </c>
      <c r="B865" s="153" t="s">
        <v>1402</v>
      </c>
      <c r="C865" s="622"/>
      <c r="D865" s="623" t="s">
        <v>1394</v>
      </c>
      <c r="E865" s="624"/>
      <c r="F865" s="625" t="s">
        <v>1546</v>
      </c>
      <c r="G865" s="626" t="s">
        <v>1746</v>
      </c>
      <c r="H865" s="625" t="s">
        <v>109</v>
      </c>
      <c r="I865" s="627">
        <v>2</v>
      </c>
    </row>
    <row r="866" spans="1:9" ht="13.5">
      <c r="A866" s="621">
        <v>308</v>
      </c>
      <c r="B866" s="153" t="s">
        <v>1402</v>
      </c>
      <c r="C866" s="622"/>
      <c r="D866" s="623" t="s">
        <v>1394</v>
      </c>
      <c r="E866" s="624"/>
      <c r="F866" s="625" t="s">
        <v>70</v>
      </c>
      <c r="G866" s="626" t="s">
        <v>1800</v>
      </c>
      <c r="H866" s="625" t="s">
        <v>109</v>
      </c>
      <c r="I866" s="627">
        <v>6</v>
      </c>
    </row>
    <row r="867" spans="1:9" ht="13.5">
      <c r="A867" s="621">
        <v>308</v>
      </c>
      <c r="B867" s="153" t="s">
        <v>1402</v>
      </c>
      <c r="C867" s="622"/>
      <c r="D867" s="623" t="s">
        <v>1394</v>
      </c>
      <c r="E867" s="624"/>
      <c r="F867" s="625" t="s">
        <v>1566</v>
      </c>
      <c r="G867" s="626" t="s">
        <v>14</v>
      </c>
      <c r="H867" s="625" t="s">
        <v>109</v>
      </c>
      <c r="I867" s="627">
        <v>11</v>
      </c>
    </row>
    <row r="868" spans="1:9" ht="13.5">
      <c r="A868" s="621">
        <v>309</v>
      </c>
      <c r="B868" s="153" t="s">
        <v>1398</v>
      </c>
      <c r="C868" s="622"/>
      <c r="D868" s="623" t="s">
        <v>1394</v>
      </c>
      <c r="E868" s="624"/>
      <c r="F868" s="625" t="s">
        <v>1545</v>
      </c>
      <c r="G868" s="626" t="s">
        <v>1693</v>
      </c>
      <c r="H868" s="625" t="s">
        <v>109</v>
      </c>
      <c r="I868" s="627">
        <v>11</v>
      </c>
    </row>
    <row r="869" spans="1:9" ht="13.5">
      <c r="A869" s="621">
        <v>309</v>
      </c>
      <c r="B869" s="153" t="s">
        <v>1398</v>
      </c>
      <c r="C869" s="622"/>
      <c r="D869" s="623" t="s">
        <v>1394</v>
      </c>
      <c r="E869" s="624"/>
      <c r="F869" s="625" t="s">
        <v>1546</v>
      </c>
      <c r="G869" s="626" t="s">
        <v>1746</v>
      </c>
      <c r="H869" s="625" t="s">
        <v>109</v>
      </c>
      <c r="I869" s="627">
        <v>3</v>
      </c>
    </row>
    <row r="870" spans="1:9" ht="13.5">
      <c r="A870" s="621">
        <v>309</v>
      </c>
      <c r="B870" s="153" t="s">
        <v>1398</v>
      </c>
      <c r="C870" s="622"/>
      <c r="D870" s="623" t="s">
        <v>1394</v>
      </c>
      <c r="E870" s="624"/>
      <c r="F870" s="625" t="s">
        <v>70</v>
      </c>
      <c r="G870" s="626" t="s">
        <v>1800</v>
      </c>
      <c r="H870" s="625" t="s">
        <v>109</v>
      </c>
      <c r="I870" s="627">
        <v>6</v>
      </c>
    </row>
    <row r="871" spans="1:9" ht="13.5">
      <c r="A871" s="621">
        <v>309</v>
      </c>
      <c r="B871" s="153" t="s">
        <v>1398</v>
      </c>
      <c r="C871" s="622"/>
      <c r="D871" s="623" t="s">
        <v>1394</v>
      </c>
      <c r="E871" s="624"/>
      <c r="F871" s="625" t="s">
        <v>1566</v>
      </c>
      <c r="G871" s="626" t="s">
        <v>14</v>
      </c>
      <c r="H871" s="625" t="s">
        <v>109</v>
      </c>
      <c r="I871" s="627">
        <v>10</v>
      </c>
    </row>
    <row r="872" spans="1:9" ht="13.5">
      <c r="A872" s="621">
        <v>310</v>
      </c>
      <c r="B872" s="153" t="s">
        <v>1399</v>
      </c>
      <c r="C872" s="622"/>
      <c r="D872" s="623" t="s">
        <v>1394</v>
      </c>
      <c r="E872" s="624"/>
      <c r="F872" s="625" t="s">
        <v>1600</v>
      </c>
      <c r="G872" s="626" t="s">
        <v>1694</v>
      </c>
      <c r="H872" s="625" t="s">
        <v>109</v>
      </c>
      <c r="I872" s="627">
        <v>13</v>
      </c>
    </row>
    <row r="873" spans="1:9" ht="13.5">
      <c r="A873" s="621">
        <v>310</v>
      </c>
      <c r="B873" s="153" t="s">
        <v>1399</v>
      </c>
      <c r="C873" s="622"/>
      <c r="D873" s="623" t="s">
        <v>1394</v>
      </c>
      <c r="E873" s="624"/>
      <c r="F873" s="625" t="s">
        <v>1545</v>
      </c>
      <c r="G873" s="626" t="s">
        <v>1693</v>
      </c>
      <c r="H873" s="625" t="s">
        <v>109</v>
      </c>
      <c r="I873" s="627">
        <v>11</v>
      </c>
    </row>
    <row r="874" spans="1:9" ht="13.5">
      <c r="A874" s="621">
        <v>310</v>
      </c>
      <c r="B874" s="153" t="s">
        <v>1399</v>
      </c>
      <c r="C874" s="622"/>
      <c r="D874" s="623" t="s">
        <v>1394</v>
      </c>
      <c r="E874" s="624"/>
      <c r="F874" s="625" t="s">
        <v>1546</v>
      </c>
      <c r="G874" s="626" t="s">
        <v>1746</v>
      </c>
      <c r="H874" s="625" t="s">
        <v>109</v>
      </c>
      <c r="I874" s="627">
        <v>2</v>
      </c>
    </row>
    <row r="875" spans="1:9" ht="13.5">
      <c r="A875" s="621">
        <v>310</v>
      </c>
      <c r="B875" s="153" t="s">
        <v>1399</v>
      </c>
      <c r="C875" s="622"/>
      <c r="D875" s="623" t="s">
        <v>1394</v>
      </c>
      <c r="E875" s="624"/>
      <c r="F875" s="625" t="s">
        <v>70</v>
      </c>
      <c r="G875" s="626" t="s">
        <v>1800</v>
      </c>
      <c r="H875" s="625" t="s">
        <v>109</v>
      </c>
      <c r="I875" s="627">
        <v>6</v>
      </c>
    </row>
    <row r="876" spans="1:9" ht="13.5">
      <c r="A876" s="621">
        <v>310</v>
      </c>
      <c r="B876" s="153" t="s">
        <v>1399</v>
      </c>
      <c r="C876" s="622"/>
      <c r="D876" s="623" t="s">
        <v>1394</v>
      </c>
      <c r="E876" s="624"/>
      <c r="F876" s="625" t="s">
        <v>1566</v>
      </c>
      <c r="G876" s="626" t="s">
        <v>14</v>
      </c>
      <c r="H876" s="625" t="s">
        <v>109</v>
      </c>
      <c r="I876" s="627">
        <v>11</v>
      </c>
    </row>
    <row r="877" spans="1:9" ht="13.5">
      <c r="A877" s="621">
        <v>311</v>
      </c>
      <c r="B877" s="153" t="s">
        <v>1396</v>
      </c>
      <c r="C877" s="622"/>
      <c r="D877" s="623" t="s">
        <v>1394</v>
      </c>
      <c r="E877" s="624"/>
      <c r="F877" s="625" t="s">
        <v>70</v>
      </c>
      <c r="G877" s="626" t="s">
        <v>1896</v>
      </c>
      <c r="H877" s="625" t="s">
        <v>176</v>
      </c>
      <c r="I877" s="627">
        <v>12</v>
      </c>
    </row>
    <row r="878" spans="1:9" ht="13.5">
      <c r="A878" s="621">
        <v>311</v>
      </c>
      <c r="B878" s="153" t="s">
        <v>1396</v>
      </c>
      <c r="C878" s="622"/>
      <c r="D878" s="623" t="s">
        <v>1394</v>
      </c>
      <c r="E878" s="624"/>
      <c r="F878" s="625" t="s">
        <v>58</v>
      </c>
      <c r="G878" s="626" t="s">
        <v>200</v>
      </c>
      <c r="H878" s="625" t="s">
        <v>1604</v>
      </c>
      <c r="I878" s="627">
        <v>14</v>
      </c>
    </row>
    <row r="879" spans="1:9" ht="13.5">
      <c r="A879" s="621">
        <v>311</v>
      </c>
      <c r="B879" s="153" t="s">
        <v>1396</v>
      </c>
      <c r="C879" s="622"/>
      <c r="D879" s="623" t="s">
        <v>1394</v>
      </c>
      <c r="E879" s="624"/>
      <c r="F879" s="625" t="s">
        <v>292</v>
      </c>
      <c r="G879" s="626" t="s">
        <v>215</v>
      </c>
      <c r="H879" s="625" t="s">
        <v>1604</v>
      </c>
      <c r="I879" s="627">
        <v>14</v>
      </c>
    </row>
    <row r="880" spans="1:9" ht="13.5">
      <c r="A880" s="621">
        <v>311</v>
      </c>
      <c r="B880" s="153" t="s">
        <v>1396</v>
      </c>
      <c r="C880" s="622"/>
      <c r="D880" s="623" t="s">
        <v>1394</v>
      </c>
      <c r="E880" s="624"/>
      <c r="F880" s="625" t="s">
        <v>1594</v>
      </c>
      <c r="G880" s="626" t="s">
        <v>1898</v>
      </c>
      <c r="H880" s="625" t="s">
        <v>318</v>
      </c>
      <c r="I880" s="627">
        <v>2</v>
      </c>
    </row>
    <row r="881" spans="1:9" ht="13.5">
      <c r="A881" s="621">
        <v>312</v>
      </c>
      <c r="B881" s="153" t="s">
        <v>1411</v>
      </c>
      <c r="C881" s="622"/>
      <c r="D881" s="623" t="s">
        <v>1394</v>
      </c>
      <c r="E881" s="624"/>
      <c r="F881" s="625" t="s">
        <v>1600</v>
      </c>
      <c r="G881" s="626" t="s">
        <v>1694</v>
      </c>
      <c r="H881" s="625" t="s">
        <v>109</v>
      </c>
      <c r="I881" s="627">
        <v>14</v>
      </c>
    </row>
    <row r="882" spans="1:9" ht="13.5">
      <c r="A882" s="621">
        <v>312</v>
      </c>
      <c r="B882" s="153" t="s">
        <v>1411</v>
      </c>
      <c r="C882" s="622"/>
      <c r="D882" s="623" t="s">
        <v>1394</v>
      </c>
      <c r="E882" s="624"/>
      <c r="F882" s="625" t="s">
        <v>1545</v>
      </c>
      <c r="G882" s="626" t="s">
        <v>1693</v>
      </c>
      <c r="H882" s="625" t="s">
        <v>109</v>
      </c>
      <c r="I882" s="627">
        <v>12</v>
      </c>
    </row>
    <row r="883" spans="1:9" ht="13.5">
      <c r="A883" s="621">
        <v>312</v>
      </c>
      <c r="B883" s="153" t="s">
        <v>1411</v>
      </c>
      <c r="C883" s="622"/>
      <c r="D883" s="623" t="s">
        <v>1394</v>
      </c>
      <c r="E883" s="624"/>
      <c r="F883" s="625" t="s">
        <v>1546</v>
      </c>
      <c r="G883" s="626" t="s">
        <v>1746</v>
      </c>
      <c r="H883" s="625" t="s">
        <v>109</v>
      </c>
      <c r="I883" s="627">
        <v>2</v>
      </c>
    </row>
    <row r="884" spans="1:9" ht="13.5">
      <c r="A884" s="621">
        <v>312</v>
      </c>
      <c r="B884" s="153" t="s">
        <v>1411</v>
      </c>
      <c r="C884" s="622"/>
      <c r="D884" s="623" t="s">
        <v>1394</v>
      </c>
      <c r="E884" s="624"/>
      <c r="F884" s="625" t="s">
        <v>70</v>
      </c>
      <c r="G884" s="626" t="s">
        <v>1800</v>
      </c>
      <c r="H884" s="625" t="s">
        <v>109</v>
      </c>
      <c r="I884" s="627">
        <v>6</v>
      </c>
    </row>
    <row r="885" spans="1:9" ht="13.5">
      <c r="A885" s="621">
        <v>312</v>
      </c>
      <c r="B885" s="153" t="s">
        <v>1411</v>
      </c>
      <c r="C885" s="622"/>
      <c r="D885" s="623" t="s">
        <v>1394</v>
      </c>
      <c r="E885" s="624"/>
      <c r="F885" s="625" t="s">
        <v>1607</v>
      </c>
      <c r="G885" s="626" t="s">
        <v>14</v>
      </c>
      <c r="H885" s="625" t="s">
        <v>109</v>
      </c>
      <c r="I885" s="627">
        <v>14</v>
      </c>
    </row>
  </sheetData>
  <autoFilter ref="A75:J744" xr:uid="{31214677-D320-4899-878A-623F847A0B93}"/>
  <mergeCells count="1">
    <mergeCell ref="A12:B12"/>
  </mergeCells>
  <pageMargins left="0.7" right="0.7" top="0.75" bottom="0.75" header="0.3" footer="0.3"/>
  <pageSetup paperSize="9" scale="56" orientation="portrait" r:id="rId1"/>
  <rowBreaks count="1" manualBreakCount="1">
    <brk id="7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Q59"/>
  <sheetViews>
    <sheetView showGridLines="0" tabSelected="1" zoomScale="86" zoomScaleNormal="86" workbookViewId="0">
      <pane ySplit="12" topLeftCell="A25" activePane="bottomLeft" state="frozen"/>
      <selection activeCell="F30" sqref="F30"/>
      <selection pane="bottomLeft"/>
    </sheetView>
  </sheetViews>
  <sheetFormatPr defaultColWidth="9.28515625" defaultRowHeight="13.5"/>
  <cols>
    <col min="1" max="1" width="35.5703125" style="2" customWidth="1"/>
    <col min="2" max="2" width="22.85546875" style="2" bestFit="1" customWidth="1"/>
    <col min="3" max="3" width="16.140625" style="2" customWidth="1"/>
    <col min="4" max="4" width="3.7109375" style="2" customWidth="1"/>
    <col min="5" max="5" width="12.7109375" style="2" customWidth="1"/>
    <col min="6" max="6" width="12" style="2" customWidth="1"/>
    <col min="7" max="7" width="12.7109375" style="2" customWidth="1"/>
    <col min="8" max="8" width="19.85546875" style="2" customWidth="1"/>
    <col min="9" max="9" width="2.42578125" style="2" customWidth="1"/>
    <col min="10" max="11" width="18.7109375" style="2" customWidth="1"/>
    <col min="12" max="12" width="18" style="2" bestFit="1" customWidth="1"/>
    <col min="13" max="13" width="9.28515625" style="2"/>
    <col min="14" max="14" width="11.85546875" style="2" customWidth="1"/>
    <col min="15" max="16" width="9.28515625" style="2"/>
    <col min="17" max="17" width="13.28515625" style="2" customWidth="1"/>
    <col min="18" max="16384" width="9.28515625" style="2"/>
  </cols>
  <sheetData>
    <row r="1" spans="1:17">
      <c r="A1" s="239" t="s">
        <v>2</v>
      </c>
      <c r="B1" s="1"/>
      <c r="C1" s="1"/>
    </row>
    <row r="2" spans="1:17">
      <c r="A2" s="4"/>
      <c r="B2" s="1"/>
      <c r="C2" s="1"/>
    </row>
    <row r="3" spans="1:17" s="29" customFormat="1" ht="17.25">
      <c r="A3" s="240" t="s">
        <v>3</v>
      </c>
      <c r="B3" s="466" t="s">
        <v>2028</v>
      </c>
      <c r="C3" s="241"/>
      <c r="D3" s="242"/>
      <c r="E3" s="7"/>
      <c r="F3" s="7"/>
      <c r="G3" s="2"/>
      <c r="H3" s="8"/>
    </row>
    <row r="4" spans="1:17" s="29" customFormat="1" ht="17.25">
      <c r="A4" s="240" t="s">
        <v>8</v>
      </c>
      <c r="B4" s="241" t="str">
        <f ca="1">MID(CELL("bestandsnaam",$D$11),SEARCH("]",CELL("bestandsnaam",$D$11),1)+1,256)</f>
        <v>1-Inschrijfstaat</v>
      </c>
      <c r="C4" s="241"/>
      <c r="D4" s="242"/>
      <c r="E4" s="7"/>
      <c r="F4" s="7"/>
      <c r="G4" s="2"/>
      <c r="H4" s="2"/>
      <c r="I4" s="2"/>
      <c r="J4" s="2"/>
      <c r="K4" s="2"/>
    </row>
    <row r="5" spans="1:17" s="29" customFormat="1" ht="17.25">
      <c r="A5" s="240" t="s">
        <v>4</v>
      </c>
      <c r="B5" s="241" t="s">
        <v>1078</v>
      </c>
      <c r="C5" s="241"/>
      <c r="D5" s="242"/>
      <c r="E5" s="7"/>
      <c r="F5" s="7"/>
      <c r="G5" s="2"/>
      <c r="H5" s="8"/>
      <c r="L5" s="393"/>
    </row>
    <row r="6" spans="1:17" s="29" customFormat="1" ht="17.25">
      <c r="A6" s="240" t="s">
        <v>9</v>
      </c>
      <c r="B6" s="466" t="s">
        <v>2137</v>
      </c>
      <c r="C6" s="241"/>
      <c r="D6" s="242"/>
      <c r="E6" s="7"/>
      <c r="F6" s="7"/>
      <c r="G6" s="2"/>
      <c r="H6" s="2"/>
      <c r="I6" s="2"/>
      <c r="J6" s="2"/>
      <c r="K6" s="2"/>
    </row>
    <row r="7" spans="1:17" s="29" customFormat="1" ht="17.25">
      <c r="A7" s="240" t="s">
        <v>6</v>
      </c>
      <c r="B7" s="658" t="s">
        <v>2005</v>
      </c>
      <c r="C7" s="658"/>
      <c r="D7" s="659"/>
      <c r="E7" s="7"/>
      <c r="F7" s="7"/>
      <c r="G7" s="2"/>
      <c r="H7" s="8"/>
    </row>
    <row r="8" spans="1:17" s="29" customFormat="1" ht="17.25">
      <c r="A8" s="240" t="s">
        <v>7</v>
      </c>
      <c r="B8" s="424" t="s">
        <v>2071</v>
      </c>
      <c r="C8" s="12"/>
      <c r="D8" s="7"/>
      <c r="E8" s="7"/>
      <c r="F8" s="7"/>
      <c r="G8" s="2"/>
      <c r="H8" s="8"/>
    </row>
    <row r="9" spans="1:17" s="29" customFormat="1" ht="17.25">
      <c r="A9" s="240" t="s">
        <v>0</v>
      </c>
      <c r="B9" s="12" t="s">
        <v>2072</v>
      </c>
      <c r="C9" s="12"/>
      <c r="D9" s="7"/>
      <c r="E9" s="7"/>
      <c r="F9" s="7"/>
      <c r="G9" s="2"/>
      <c r="H9" s="8"/>
    </row>
    <row r="10" spans="1:17" s="29" customFormat="1" ht="17.25">
      <c r="A10" s="457" t="s">
        <v>2017</v>
      </c>
      <c r="B10" s="689">
        <v>44503</v>
      </c>
      <c r="C10" s="12"/>
      <c r="D10" s="7"/>
      <c r="E10" s="7"/>
      <c r="F10" s="7"/>
      <c r="G10" s="2"/>
      <c r="H10" s="8"/>
    </row>
    <row r="11" spans="1:17" s="29" customFormat="1" ht="17.25">
      <c r="A11" s="30"/>
      <c r="H11" s="31"/>
    </row>
    <row r="12" spans="1:17" s="29" customFormat="1" ht="17.25">
      <c r="A12" s="667" t="s">
        <v>1685</v>
      </c>
      <c r="B12" s="668"/>
      <c r="C12" s="668"/>
      <c r="D12" s="668"/>
      <c r="E12" s="668"/>
      <c r="F12" s="668"/>
      <c r="G12" s="668"/>
      <c r="H12" s="669"/>
    </row>
    <row r="13" spans="1:17" ht="17.25">
      <c r="I13" s="29"/>
      <c r="J13" s="29"/>
      <c r="K13" s="29"/>
      <c r="L13" s="29"/>
      <c r="M13" s="29"/>
      <c r="N13" s="29"/>
      <c r="O13" s="29"/>
      <c r="P13" s="29"/>
      <c r="Q13" s="29"/>
    </row>
    <row r="14" spans="1:17" ht="17.25">
      <c r="A14" s="243"/>
      <c r="D14" s="244"/>
      <c r="E14" s="244"/>
      <c r="F14" s="244"/>
      <c r="G14" s="244"/>
      <c r="H14" s="423" t="s">
        <v>1079</v>
      </c>
      <c r="I14" s="32"/>
      <c r="J14" s="29"/>
      <c r="K14" s="29"/>
      <c r="L14" s="29"/>
      <c r="M14" s="29"/>
      <c r="N14" s="29"/>
      <c r="O14" s="29"/>
      <c r="P14" s="29"/>
      <c r="Q14" s="29"/>
    </row>
    <row r="15" spans="1:17" ht="17.25">
      <c r="A15" s="33"/>
      <c r="G15" s="32"/>
      <c r="H15" s="34"/>
      <c r="I15" s="35"/>
      <c r="J15" s="29"/>
      <c r="K15" s="29"/>
      <c r="L15" s="29"/>
      <c r="M15" s="29"/>
      <c r="N15" s="29"/>
      <c r="O15" s="29"/>
      <c r="P15" s="29"/>
      <c r="Q15" s="29"/>
    </row>
    <row r="16" spans="1:17" ht="17.25">
      <c r="A16" s="36" t="str">
        <f ca="1">'4-Reinigen vloeren'!B4</f>
        <v>4-Reinigen vloeren</v>
      </c>
      <c r="H16" s="558" t="e">
        <f>'4-Reinigen vloeren'!N41</f>
        <v>#DIV/0!</v>
      </c>
      <c r="J16" s="29"/>
      <c r="K16" s="29"/>
      <c r="L16" s="29"/>
      <c r="M16" s="29"/>
      <c r="N16" s="29"/>
      <c r="O16" s="29"/>
      <c r="P16" s="29"/>
      <c r="Q16" s="29"/>
    </row>
    <row r="17" spans="1:17" ht="17.25">
      <c r="H17" s="558"/>
      <c r="J17" s="29"/>
      <c r="K17" s="29"/>
      <c r="L17" s="29"/>
      <c r="M17" s="29"/>
      <c r="N17" s="29"/>
      <c r="O17" s="29"/>
      <c r="P17" s="29"/>
      <c r="Q17" s="29"/>
    </row>
    <row r="18" spans="1:17" ht="17.25">
      <c r="A18" s="2" t="str">
        <f ca="1">'5-Aanvullend'!C4</f>
        <v>5-Aanvullend</v>
      </c>
      <c r="H18" s="558">
        <f>'5-Aanvullend'!J48</f>
        <v>0</v>
      </c>
      <c r="J18" s="29"/>
      <c r="K18" s="29"/>
      <c r="L18" s="29"/>
      <c r="M18" s="29"/>
      <c r="N18" s="29"/>
      <c r="O18" s="29"/>
      <c r="P18" s="29"/>
      <c r="Q18" s="29"/>
    </row>
    <row r="19" spans="1:17" ht="17.25">
      <c r="A19" s="36"/>
      <c r="H19" s="558"/>
      <c r="J19" s="29"/>
      <c r="K19" s="29"/>
      <c r="L19" s="29"/>
      <c r="M19" s="29"/>
      <c r="N19" s="29"/>
      <c r="O19" s="29"/>
      <c r="P19" s="29"/>
      <c r="Q19" s="29"/>
    </row>
    <row r="20" spans="1:17" ht="17.25">
      <c r="A20" s="36" t="str">
        <f ca="1">'6-Liftbodems'!C4</f>
        <v>6-Liftbodems</v>
      </c>
      <c r="H20" s="558">
        <f>'6-Liftbodems'!J57</f>
        <v>0</v>
      </c>
      <c r="J20" s="29"/>
      <c r="K20" s="29"/>
      <c r="L20" s="29"/>
      <c r="M20" s="29"/>
      <c r="N20" s="29"/>
      <c r="O20" s="29"/>
      <c r="P20" s="29"/>
      <c r="Q20" s="29"/>
    </row>
    <row r="21" spans="1:17" ht="17.25">
      <c r="H21" s="558"/>
      <c r="J21" s="29"/>
      <c r="K21" s="29"/>
      <c r="L21" s="29"/>
      <c r="M21" s="29"/>
      <c r="N21" s="29"/>
      <c r="O21" s="29"/>
      <c r="P21" s="29"/>
      <c r="Q21" s="29"/>
    </row>
    <row r="22" spans="1:17" ht="17.25">
      <c r="A22" s="36" t="str">
        <f ca="1">'7-Geveldelen  en wanden'!B4</f>
        <v>7-Geveldelen  en wanden</v>
      </c>
      <c r="H22" s="558">
        <f>'7-Geveldelen  en wanden'!J46</f>
        <v>0</v>
      </c>
      <c r="J22" s="29"/>
      <c r="K22" s="29"/>
      <c r="L22" s="29"/>
      <c r="M22" s="29"/>
      <c r="N22" s="29"/>
      <c r="O22" s="29"/>
      <c r="P22" s="29"/>
      <c r="Q22" s="29"/>
    </row>
    <row r="23" spans="1:17" ht="17.25">
      <c r="A23" s="36"/>
      <c r="H23" s="558"/>
      <c r="J23" s="29"/>
      <c r="K23" s="29"/>
      <c r="L23" s="29"/>
      <c r="M23" s="29"/>
      <c r="N23" s="29"/>
      <c r="O23" s="29"/>
      <c r="P23" s="29"/>
      <c r="Q23" s="29"/>
    </row>
    <row r="24" spans="1:17" ht="17.25">
      <c r="A24" s="36" t="str">
        <f ca="1">'8b-Glas kosten totaal'!D4</f>
        <v>8b-Glas kosten totaal</v>
      </c>
      <c r="H24" s="558">
        <f ca="1">'8b-Glas kosten totaal'!M78</f>
        <v>0</v>
      </c>
      <c r="J24" s="29"/>
      <c r="K24" s="562"/>
      <c r="L24" s="29"/>
      <c r="M24" s="29"/>
      <c r="N24" s="29"/>
      <c r="O24" s="29"/>
      <c r="P24" s="29"/>
      <c r="Q24" s="29"/>
    </row>
    <row r="25" spans="1:17" ht="17.25">
      <c r="A25" s="36"/>
      <c r="H25" s="558"/>
      <c r="J25" s="29"/>
      <c r="K25" s="29"/>
      <c r="L25" s="29"/>
      <c r="M25" s="29"/>
      <c r="N25" s="29"/>
      <c r="O25" s="29"/>
      <c r="P25" s="29"/>
      <c r="Q25" s="29"/>
    </row>
    <row r="26" spans="1:17" ht="17.25">
      <c r="A26" s="36" t="str">
        <f ca="1">'9-Machinekosten'!B4</f>
        <v>9-Machinekosten</v>
      </c>
      <c r="H26" s="558">
        <f>'9-Machinekosten'!P39</f>
        <v>0</v>
      </c>
      <c r="J26" s="29"/>
      <c r="K26" s="29"/>
      <c r="L26" s="29"/>
      <c r="M26" s="29"/>
      <c r="N26" s="29"/>
      <c r="O26" s="29"/>
      <c r="P26" s="29"/>
      <c r="Q26" s="29"/>
    </row>
    <row r="27" spans="1:17" ht="17.25">
      <c r="H27" s="558"/>
      <c r="J27" s="29"/>
      <c r="K27" s="29"/>
      <c r="L27" s="29"/>
      <c r="M27" s="29"/>
      <c r="N27" s="29"/>
      <c r="O27" s="29"/>
      <c r="P27" s="29"/>
      <c r="Q27" s="29"/>
    </row>
    <row r="28" spans="1:17" ht="17.25">
      <c r="A28" s="36" t="str">
        <f ca="1">'10a-Periodieke beurt'!C4</f>
        <v>10a-Periodieke beurt</v>
      </c>
      <c r="H28" s="558">
        <f>'10a-Periodieke beurt'!M67</f>
        <v>0</v>
      </c>
      <c r="J28" s="29"/>
      <c r="K28" s="29"/>
      <c r="L28" s="29"/>
      <c r="M28" s="29"/>
      <c r="N28" s="29"/>
      <c r="O28" s="29"/>
      <c r="P28" s="29"/>
      <c r="Q28" s="29"/>
    </row>
    <row r="29" spans="1:17" ht="17.25">
      <c r="A29" s="36"/>
      <c r="H29" s="558"/>
      <c r="J29" s="29"/>
      <c r="K29" s="29"/>
      <c r="L29" s="29"/>
      <c r="M29" s="29"/>
      <c r="N29" s="29"/>
      <c r="O29" s="29"/>
      <c r="P29" s="29"/>
      <c r="Q29" s="29"/>
    </row>
    <row r="30" spans="1:17" ht="17.25">
      <c r="A30" s="36" t="str">
        <f ca="1">'11a- Afroepprijs graffiti'!B4</f>
        <v>11a- Afroepprijs graffiti</v>
      </c>
      <c r="H30" s="558">
        <f>'11a- Afroepprijs graffiti'!E16</f>
        <v>0</v>
      </c>
      <c r="J30" s="29"/>
      <c r="K30" s="29"/>
      <c r="L30" s="29"/>
      <c r="M30" s="29"/>
      <c r="N30" s="29"/>
      <c r="O30" s="29"/>
      <c r="P30" s="29"/>
      <c r="Q30" s="29"/>
    </row>
    <row r="31" spans="1:17" ht="17.25">
      <c r="H31" s="558"/>
      <c r="J31" s="29"/>
      <c r="K31" s="29"/>
      <c r="L31" s="29"/>
      <c r="M31" s="29"/>
      <c r="N31" s="29"/>
      <c r="O31" s="29"/>
      <c r="P31" s="29"/>
      <c r="Q31" s="29"/>
    </row>
    <row r="32" spans="1:17" ht="17.25">
      <c r="A32" s="36" t="str">
        <f ca="1">'12-Gelijkrichter stations'!C4</f>
        <v>12-Gelijkrichter stations</v>
      </c>
      <c r="H32" s="558">
        <f>'12-Gelijkrichter stations'!L32</f>
        <v>0</v>
      </c>
      <c r="J32" s="29"/>
      <c r="K32" s="29"/>
      <c r="L32" s="29"/>
      <c r="M32" s="29"/>
      <c r="N32" s="29"/>
      <c r="O32" s="29"/>
      <c r="P32" s="29"/>
      <c r="Q32" s="29"/>
    </row>
    <row r="33" spans="1:17" ht="17.25">
      <c r="H33" s="558"/>
      <c r="J33" s="29"/>
      <c r="K33" s="29"/>
      <c r="L33" s="29"/>
      <c r="M33" s="29"/>
      <c r="N33" s="29"/>
      <c r="O33" s="29"/>
      <c r="P33" s="29"/>
      <c r="Q33" s="29"/>
    </row>
    <row r="34" spans="1:17" ht="17.25">
      <c r="A34" s="36" t="str">
        <f ca="1">'13- Technischeruimten'!C4</f>
        <v>13- Technischeruimten</v>
      </c>
      <c r="H34" s="558" t="e">
        <f>'13- Technischeruimten'!H69</f>
        <v>#DIV/0!</v>
      </c>
      <c r="J34" s="29"/>
      <c r="K34" s="29"/>
      <c r="L34" s="29"/>
      <c r="M34" s="29"/>
      <c r="N34" s="29"/>
      <c r="O34" s="29"/>
      <c r="P34" s="29"/>
      <c r="Q34" s="29"/>
    </row>
    <row r="35" spans="1:17" ht="17.25">
      <c r="A35" s="36"/>
      <c r="H35" s="558"/>
      <c r="J35" s="29"/>
      <c r="K35" s="29"/>
      <c r="L35" s="29"/>
      <c r="M35" s="29"/>
      <c r="N35" s="29"/>
      <c r="O35" s="29"/>
      <c r="P35" s="29"/>
      <c r="Q35" s="29"/>
    </row>
    <row r="36" spans="1:17" s="391" customFormat="1" ht="17.25">
      <c r="A36" s="419" t="s">
        <v>2002</v>
      </c>
      <c r="B36" s="420"/>
      <c r="C36" s="420"/>
      <c r="D36" s="420"/>
      <c r="E36" s="421"/>
      <c r="F36" s="420" t="s">
        <v>2003</v>
      </c>
      <c r="G36" s="420"/>
      <c r="H36" s="422" t="e">
        <f>SUM(H16:H35)</f>
        <v>#DIV/0!</v>
      </c>
      <c r="J36" s="29"/>
      <c r="K36" s="29"/>
      <c r="L36" s="29"/>
      <c r="M36" s="29"/>
      <c r="N36" s="29"/>
      <c r="O36" s="29"/>
      <c r="P36" s="29"/>
      <c r="Q36" s="29"/>
    </row>
    <row r="37" spans="1:17" ht="17.25">
      <c r="A37" s="33" t="s">
        <v>1080</v>
      </c>
      <c r="G37" s="37">
        <v>0.21</v>
      </c>
      <c r="H37" s="38" t="e">
        <f>G37*H36</f>
        <v>#DIV/0!</v>
      </c>
      <c r="J37" s="29"/>
      <c r="K37" s="29"/>
      <c r="L37" s="29"/>
      <c r="M37" s="29"/>
      <c r="N37" s="29"/>
      <c r="O37" s="29"/>
      <c r="P37" s="29"/>
      <c r="Q37" s="29"/>
    </row>
    <row r="38" spans="1:17" ht="17.25">
      <c r="A38" s="33" t="s">
        <v>1081</v>
      </c>
      <c r="H38" s="39" t="e">
        <f>H36+H37</f>
        <v>#DIV/0!</v>
      </c>
      <c r="J38" s="29"/>
      <c r="K38" s="29"/>
      <c r="L38" s="29"/>
      <c r="M38" s="29"/>
      <c r="N38" s="29"/>
      <c r="O38" s="29"/>
      <c r="P38" s="29"/>
      <c r="Q38" s="29"/>
    </row>
    <row r="39" spans="1:17" s="391" customFormat="1" ht="17.25">
      <c r="A39" s="394"/>
      <c r="H39" s="395"/>
      <c r="J39" s="29"/>
      <c r="K39" s="29"/>
      <c r="L39" s="29"/>
      <c r="M39" s="29"/>
      <c r="N39" s="29"/>
      <c r="O39" s="29"/>
      <c r="P39" s="29"/>
      <c r="Q39" s="29"/>
    </row>
    <row r="40" spans="1:17" s="391" customFormat="1" ht="17.25">
      <c r="A40" s="396" t="s">
        <v>1979</v>
      </c>
      <c r="B40" s="397"/>
      <c r="C40" s="397"/>
      <c r="D40" s="397"/>
      <c r="E40" s="398"/>
      <c r="F40" s="397"/>
      <c r="G40" s="397"/>
      <c r="H40" s="399">
        <v>605000</v>
      </c>
      <c r="J40" s="29"/>
      <c r="K40" s="29"/>
      <c r="L40" s="29"/>
      <c r="M40" s="29"/>
      <c r="N40" s="29"/>
      <c r="O40" s="29"/>
      <c r="P40" s="29"/>
      <c r="Q40" s="29"/>
    </row>
    <row r="41" spans="1:17" s="391" customFormat="1" ht="17.25">
      <c r="A41" s="396" t="s">
        <v>2001</v>
      </c>
      <c r="B41" s="397"/>
      <c r="C41" s="397"/>
      <c r="D41" s="397"/>
      <c r="E41" s="398"/>
      <c r="F41" s="397"/>
      <c r="G41" s="397"/>
      <c r="H41" s="399">
        <v>545000</v>
      </c>
      <c r="J41" s="29"/>
      <c r="K41" s="29"/>
      <c r="L41" s="29"/>
      <c r="M41" s="29"/>
      <c r="N41" s="29"/>
      <c r="O41" s="29"/>
      <c r="P41" s="29"/>
      <c r="Q41" s="29"/>
    </row>
    <row r="42" spans="1:17" s="391" customFormat="1" ht="17.25">
      <c r="A42" s="394"/>
      <c r="H42" s="395"/>
      <c r="J42" s="29"/>
      <c r="K42" s="29"/>
      <c r="L42" s="29"/>
      <c r="M42" s="29"/>
      <c r="N42" s="29"/>
      <c r="O42" s="29"/>
      <c r="P42" s="29"/>
      <c r="Q42" s="29"/>
    </row>
    <row r="43" spans="1:17" ht="17.25">
      <c r="A43" s="245" t="s">
        <v>1327</v>
      </c>
      <c r="C43" s="655" t="s">
        <v>2145</v>
      </c>
      <c r="H43" s="246">
        <v>0</v>
      </c>
      <c r="J43" s="29"/>
      <c r="K43" s="29"/>
      <c r="L43" s="29"/>
      <c r="M43" s="29"/>
      <c r="N43" s="29"/>
      <c r="O43" s="29"/>
      <c r="P43" s="29"/>
      <c r="Q43" s="29"/>
    </row>
    <row r="44" spans="1:17" ht="17.25">
      <c r="C44" s="655"/>
      <c r="J44" s="29"/>
      <c r="K44" s="29"/>
      <c r="L44" s="29"/>
      <c r="M44" s="29"/>
      <c r="N44" s="29"/>
      <c r="O44" s="29"/>
      <c r="P44" s="29"/>
      <c r="Q44" s="29"/>
    </row>
    <row r="45" spans="1:17" s="391" customFormat="1" ht="17.25">
      <c r="A45" s="390" t="s">
        <v>2004</v>
      </c>
      <c r="C45" s="655" t="s">
        <v>2146</v>
      </c>
      <c r="H45" s="392">
        <v>0</v>
      </c>
      <c r="J45" s="29"/>
      <c r="K45" s="29"/>
      <c r="L45" s="29"/>
      <c r="M45" s="29"/>
      <c r="N45" s="29"/>
      <c r="O45" s="29"/>
      <c r="P45" s="29"/>
      <c r="Q45" s="29"/>
    </row>
    <row r="46" spans="1:17" s="391" customFormat="1" ht="17.25">
      <c r="J46" s="29"/>
      <c r="K46" s="29"/>
      <c r="L46" s="29"/>
      <c r="M46" s="29"/>
      <c r="N46" s="29"/>
      <c r="O46" s="29"/>
      <c r="P46" s="29"/>
      <c r="Q46" s="29"/>
    </row>
    <row r="47" spans="1:17" s="391" customFormat="1" ht="17.25">
      <c r="A47" s="661" t="s">
        <v>1980</v>
      </c>
      <c r="B47" s="662"/>
      <c r="C47" s="662"/>
      <c r="D47" s="662"/>
      <c r="E47" s="662"/>
      <c r="F47" s="662"/>
      <c r="G47" s="662"/>
      <c r="H47" s="663"/>
      <c r="J47" s="29"/>
      <c r="K47" s="29"/>
      <c r="L47" s="29"/>
      <c r="M47" s="29"/>
      <c r="N47" s="29"/>
      <c r="O47" s="29"/>
      <c r="P47" s="29"/>
      <c r="Q47" s="29"/>
    </row>
    <row r="48" spans="1:17" s="391" customFormat="1" ht="17.25">
      <c r="A48" s="664"/>
      <c r="B48" s="665"/>
      <c r="C48" s="665"/>
      <c r="D48" s="665"/>
      <c r="E48" s="665"/>
      <c r="F48" s="665"/>
      <c r="G48" s="665"/>
      <c r="H48" s="666"/>
      <c r="J48" s="29"/>
      <c r="K48" s="29"/>
      <c r="L48" s="29"/>
      <c r="M48" s="29"/>
      <c r="N48" s="29"/>
      <c r="O48" s="29"/>
      <c r="P48" s="29"/>
      <c r="Q48" s="29"/>
    </row>
    <row r="49" spans="1:8" s="391" customFormat="1">
      <c r="A49" s="400"/>
      <c r="B49" s="400"/>
      <c r="C49" s="400"/>
      <c r="D49" s="400"/>
      <c r="E49" s="400"/>
      <c r="F49" s="400"/>
      <c r="G49" s="400"/>
      <c r="H49" s="400"/>
    </row>
    <row r="50" spans="1:8" s="391" customFormat="1">
      <c r="A50" s="661" t="s">
        <v>1981</v>
      </c>
      <c r="B50" s="662"/>
      <c r="C50" s="662"/>
      <c r="D50" s="662"/>
      <c r="E50" s="662"/>
      <c r="F50" s="662"/>
      <c r="G50" s="662"/>
      <c r="H50" s="663"/>
    </row>
    <row r="51" spans="1:8" s="391" customFormat="1">
      <c r="A51" s="664"/>
      <c r="B51" s="665"/>
      <c r="C51" s="665"/>
      <c r="D51" s="665"/>
      <c r="E51" s="665"/>
      <c r="F51" s="665"/>
      <c r="G51" s="665"/>
      <c r="H51" s="666"/>
    </row>
    <row r="52" spans="1:8" s="391" customFormat="1"/>
    <row r="53" spans="1:8" s="391" customFormat="1"/>
    <row r="55" spans="1:8" ht="24.75" customHeight="1">
      <c r="A55" s="40" t="s">
        <v>1357</v>
      </c>
      <c r="B55" s="660"/>
      <c r="C55" s="657"/>
      <c r="D55" s="657"/>
      <c r="E55" s="657"/>
    </row>
    <row r="56" spans="1:8" ht="74.25" customHeight="1">
      <c r="A56" s="40" t="s">
        <v>1358</v>
      </c>
      <c r="B56" s="657"/>
      <c r="C56" s="657"/>
      <c r="D56" s="657"/>
      <c r="E56" s="657"/>
    </row>
    <row r="57" spans="1:8" ht="24.75" customHeight="1">
      <c r="A57" s="40" t="s">
        <v>1359</v>
      </c>
      <c r="B57" s="657"/>
      <c r="C57" s="657"/>
      <c r="D57" s="657"/>
      <c r="E57" s="657"/>
    </row>
    <row r="58" spans="1:8" ht="24.75" customHeight="1">
      <c r="A58" s="40" t="s">
        <v>1360</v>
      </c>
      <c r="B58" s="657"/>
      <c r="C58" s="657"/>
      <c r="D58" s="657"/>
      <c r="E58" s="657"/>
    </row>
    <row r="59" spans="1:8" ht="24.75" customHeight="1">
      <c r="A59" s="40" t="s">
        <v>1361</v>
      </c>
      <c r="B59" s="657"/>
      <c r="C59" s="657"/>
      <c r="D59" s="657"/>
      <c r="E59" s="657"/>
    </row>
  </sheetData>
  <mergeCells count="9">
    <mergeCell ref="B59:E59"/>
    <mergeCell ref="B7:D7"/>
    <mergeCell ref="B55:E55"/>
    <mergeCell ref="B56:E56"/>
    <mergeCell ref="B57:E57"/>
    <mergeCell ref="B58:E58"/>
    <mergeCell ref="A47:H48"/>
    <mergeCell ref="A50:H51"/>
    <mergeCell ref="A12:H12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3230-3340-49B2-BA3F-3658F06763DA}">
  <sheetPr>
    <tabColor theme="0" tint="-0.14999847407452621"/>
  </sheetPr>
  <dimension ref="A1:L20"/>
  <sheetViews>
    <sheetView showGridLines="0" zoomScaleNormal="100" workbookViewId="0">
      <pane ySplit="10" topLeftCell="A11" activePane="bottomLeft" state="frozen"/>
      <selection activeCell="F30" sqref="F30"/>
      <selection pane="bottomLeft" activeCell="F30" sqref="F30"/>
    </sheetView>
  </sheetViews>
  <sheetFormatPr defaultColWidth="9.140625" defaultRowHeight="13.5"/>
  <cols>
    <col min="1" max="1" width="31.5703125" style="27" customWidth="1"/>
    <col min="2" max="2" width="35" style="27" customWidth="1"/>
    <col min="3" max="4" width="36.28515625" style="27" customWidth="1"/>
    <col min="5" max="5" width="20.7109375" style="27" customWidth="1"/>
    <col min="6" max="6" width="16.140625" style="27" bestFit="1" customWidth="1"/>
    <col min="7" max="7" width="12.42578125" style="27" bestFit="1" customWidth="1"/>
    <col min="8" max="16384" width="9.140625" style="27"/>
  </cols>
  <sheetData>
    <row r="1" spans="1:12">
      <c r="A1" s="593" t="s">
        <v>2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17.25">
      <c r="A2" s="425"/>
      <c r="B2" s="44"/>
      <c r="C2" s="44"/>
      <c r="D2" s="44"/>
      <c r="E2" s="452"/>
      <c r="F2" s="452"/>
      <c r="G2" s="452"/>
      <c r="H2" s="452"/>
      <c r="I2" s="44"/>
      <c r="J2" s="44"/>
    </row>
    <row r="3" spans="1:12" ht="17.25">
      <c r="A3" s="594" t="s">
        <v>3</v>
      </c>
      <c r="B3" s="241" t="str">
        <f>'1-Inschrijfstaat'!B3</f>
        <v>GVB Infra B.V.</v>
      </c>
      <c r="C3" s="452"/>
      <c r="D3" s="44"/>
      <c r="E3" s="44"/>
      <c r="F3" s="44"/>
      <c r="G3" s="452"/>
      <c r="H3" s="452"/>
      <c r="I3" s="595"/>
      <c r="J3" s="44"/>
    </row>
    <row r="4" spans="1:12" ht="17.25">
      <c r="A4" s="594" t="s">
        <v>1093</v>
      </c>
      <c r="B4" s="241" t="str">
        <f ca="1">MID(CELL("bestandsnaam",$B$9),SEARCH("]",CELL("bestandsnaam",$B$9),1)+1,256)</f>
        <v>14-Sanitaire voorzieningen</v>
      </c>
      <c r="C4" s="452"/>
      <c r="D4" s="44"/>
      <c r="E4" s="452"/>
      <c r="F4" s="452"/>
      <c r="G4" s="452"/>
      <c r="H4" s="452"/>
      <c r="I4" s="452"/>
      <c r="J4" s="452"/>
    </row>
    <row r="5" spans="1:12" ht="17.25">
      <c r="A5" s="594" t="s">
        <v>4</v>
      </c>
      <c r="B5" s="241" t="str">
        <f>'1-Inschrijfstaat'!B5</f>
        <v>Diverse</v>
      </c>
      <c r="C5" s="452"/>
      <c r="D5" s="44"/>
      <c r="E5" s="44"/>
      <c r="F5" s="44"/>
      <c r="G5" s="452"/>
      <c r="H5" s="452"/>
      <c r="I5" s="452"/>
      <c r="J5" s="452"/>
    </row>
    <row r="6" spans="1:12" ht="17.25">
      <c r="A6" s="596" t="s">
        <v>9</v>
      </c>
      <c r="B6" s="241" t="str">
        <f>'1-Inschrijfstaat'!B6</f>
        <v>2021-61</v>
      </c>
      <c r="C6" s="452"/>
      <c r="D6" s="44"/>
      <c r="E6" s="452"/>
      <c r="F6" s="452"/>
      <c r="G6" s="452"/>
      <c r="H6" s="452"/>
      <c r="I6" s="452"/>
      <c r="J6" s="452"/>
    </row>
    <row r="7" spans="1:12" ht="17.25">
      <c r="A7" s="594" t="s">
        <v>6</v>
      </c>
      <c r="B7" s="241" t="str">
        <f>'1-Inschrijfstaat'!B7</f>
        <v>Naam dienstverlener</v>
      </c>
      <c r="C7" s="452"/>
      <c r="D7" s="44"/>
      <c r="E7" s="44"/>
      <c r="F7" s="44"/>
      <c r="G7" s="446"/>
      <c r="H7" s="446"/>
      <c r="I7" s="446"/>
      <c r="J7" s="44"/>
    </row>
    <row r="8" spans="1:12" ht="17.25">
      <c r="A8" s="594" t="s">
        <v>7</v>
      </c>
      <c r="B8" s="613" t="str">
        <f>'1-Inschrijfstaat'!B8</f>
        <v>1 januari 2022</v>
      </c>
      <c r="C8" s="452"/>
      <c r="D8" s="452"/>
      <c r="E8" s="452"/>
      <c r="F8" s="446"/>
      <c r="G8" s="446"/>
      <c r="H8" s="446"/>
      <c r="I8" s="446"/>
      <c r="J8" s="44"/>
    </row>
    <row r="9" spans="1:12" ht="17.25">
      <c r="A9" s="472" t="s">
        <v>0</v>
      </c>
      <c r="B9" s="613" t="str">
        <f>'1-Inschrijfstaat'!B9</f>
        <v>1 Technische schoonmaak Algemeen</v>
      </c>
      <c r="C9" s="452"/>
      <c r="D9" s="452"/>
      <c r="E9" s="452"/>
      <c r="F9" s="446"/>
      <c r="G9" s="446"/>
      <c r="H9" s="446"/>
      <c r="I9" s="446"/>
      <c r="J9" s="44"/>
    </row>
    <row r="10" spans="1:12" ht="17.25">
      <c r="A10" s="594" t="s">
        <v>1085</v>
      </c>
      <c r="B10" s="597" t="s">
        <v>2127</v>
      </c>
      <c r="C10" s="447"/>
      <c r="D10" s="447"/>
      <c r="E10" s="447"/>
      <c r="F10" s="446"/>
      <c r="G10" s="446"/>
      <c r="H10" s="446"/>
      <c r="I10" s="446"/>
      <c r="J10" s="44"/>
    </row>
    <row r="11" spans="1:12" ht="17.25">
      <c r="A11" s="448"/>
      <c r="B11" s="449"/>
      <c r="C11" s="447"/>
      <c r="D11" s="447"/>
      <c r="E11" s="447"/>
      <c r="F11" s="446"/>
      <c r="G11" s="446"/>
      <c r="H11" s="446"/>
      <c r="I11" s="446"/>
      <c r="J11" s="44"/>
    </row>
    <row r="12" spans="1:12" ht="25.5" customHeight="1">
      <c r="A12" s="542" t="s">
        <v>2106</v>
      </c>
      <c r="B12" s="598" t="s">
        <v>2107</v>
      </c>
      <c r="C12" s="598" t="s">
        <v>1987</v>
      </c>
      <c r="D12" s="598" t="s">
        <v>2108</v>
      </c>
      <c r="E12" s="258" t="s">
        <v>2128</v>
      </c>
      <c r="F12" s="446"/>
      <c r="G12" s="446"/>
      <c r="H12" s="446"/>
      <c r="I12" s="446"/>
      <c r="J12" s="449"/>
      <c r="K12" s="449"/>
      <c r="L12" s="599"/>
    </row>
    <row r="13" spans="1:12" ht="18" customHeight="1">
      <c r="A13" s="600" t="s">
        <v>2109</v>
      </c>
      <c r="B13" s="601"/>
      <c r="C13" s="602" t="s">
        <v>2110</v>
      </c>
      <c r="D13" s="603" t="s">
        <v>2111</v>
      </c>
      <c r="E13" s="609">
        <v>0</v>
      </c>
      <c r="F13" s="446"/>
      <c r="G13" s="446"/>
      <c r="H13" s="446"/>
      <c r="I13" s="446"/>
      <c r="J13" s="449"/>
      <c r="K13" s="449"/>
      <c r="L13" s="599"/>
    </row>
    <row r="14" spans="1:12" ht="18" customHeight="1">
      <c r="A14" s="604" t="s">
        <v>2112</v>
      </c>
      <c r="B14" s="601"/>
      <c r="C14" s="605" t="s">
        <v>2113</v>
      </c>
      <c r="D14" s="603" t="s">
        <v>2114</v>
      </c>
      <c r="E14" s="609">
        <v>0</v>
      </c>
      <c r="F14" s="446"/>
      <c r="G14" s="446"/>
      <c r="H14" s="446"/>
      <c r="I14" s="446"/>
      <c r="J14" s="449"/>
      <c r="K14" s="449"/>
      <c r="L14" s="599"/>
    </row>
    <row r="15" spans="1:12" ht="27">
      <c r="A15" s="606" t="s">
        <v>2115</v>
      </c>
      <c r="B15" s="601"/>
      <c r="C15" s="602" t="s">
        <v>2116</v>
      </c>
      <c r="D15" s="603" t="s">
        <v>2117</v>
      </c>
      <c r="E15" s="609">
        <v>0</v>
      </c>
      <c r="F15" s="446"/>
      <c r="G15" s="446"/>
      <c r="H15" s="446"/>
      <c r="I15" s="446"/>
      <c r="J15" s="449"/>
      <c r="K15" s="449"/>
      <c r="L15" s="599"/>
    </row>
    <row r="16" spans="1:12" ht="18" customHeight="1">
      <c r="A16" s="606" t="s">
        <v>2118</v>
      </c>
      <c r="B16" s="601"/>
      <c r="C16" s="602" t="s">
        <v>2119</v>
      </c>
      <c r="D16" s="603" t="s">
        <v>2117</v>
      </c>
      <c r="E16" s="609">
        <v>0</v>
      </c>
      <c r="F16" s="446"/>
      <c r="G16" s="446"/>
      <c r="H16" s="446"/>
      <c r="I16" s="446"/>
      <c r="J16" s="449"/>
      <c r="K16" s="449"/>
      <c r="L16" s="599"/>
    </row>
    <row r="17" spans="1:12" ht="18" customHeight="1">
      <c r="A17" s="606" t="s">
        <v>2120</v>
      </c>
      <c r="B17" s="607"/>
      <c r="C17" s="602" t="s">
        <v>2121</v>
      </c>
      <c r="D17" s="608" t="s">
        <v>2122</v>
      </c>
      <c r="E17" s="609">
        <v>0</v>
      </c>
      <c r="F17" s="446"/>
      <c r="G17" s="446"/>
      <c r="H17" s="446"/>
      <c r="I17" s="446"/>
      <c r="J17" s="599"/>
      <c r="K17" s="599"/>
      <c r="L17" s="599"/>
    </row>
    <row r="18" spans="1:12" ht="27">
      <c r="A18" s="606" t="s">
        <v>2123</v>
      </c>
      <c r="B18" s="607"/>
      <c r="C18" s="602" t="s">
        <v>2124</v>
      </c>
      <c r="D18" s="608" t="s">
        <v>2125</v>
      </c>
      <c r="E18" s="609">
        <v>0</v>
      </c>
      <c r="F18" s="446"/>
      <c r="G18" s="446"/>
      <c r="H18" s="446"/>
      <c r="I18" s="446"/>
      <c r="J18" s="44"/>
    </row>
    <row r="19" spans="1:12" ht="15">
      <c r="A19" s="610"/>
      <c r="B19" s="425"/>
      <c r="C19" s="154"/>
      <c r="D19" s="611"/>
      <c r="E19" s="44"/>
      <c r="F19" s="446"/>
      <c r="G19" s="446"/>
      <c r="H19" s="44"/>
      <c r="I19" s="44"/>
      <c r="J19" s="44"/>
    </row>
    <row r="20" spans="1:12" ht="30.6" customHeight="1">
      <c r="A20" s="688" t="s">
        <v>2126</v>
      </c>
      <c r="B20" s="688"/>
      <c r="C20" s="688"/>
      <c r="D20" s="688"/>
      <c r="E20" s="44"/>
      <c r="F20" s="44"/>
      <c r="G20" s="44"/>
    </row>
  </sheetData>
  <mergeCells count="1">
    <mergeCell ref="A20:D20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O86"/>
  <sheetViews>
    <sheetView showGridLines="0" zoomScale="70" zoomScaleNormal="70" workbookViewId="0">
      <pane ySplit="13" topLeftCell="A14" activePane="bottomLeft" state="frozen"/>
      <selection activeCell="F30" sqref="F30"/>
      <selection pane="bottomLeft" activeCell="F92" sqref="F92:F93"/>
    </sheetView>
  </sheetViews>
  <sheetFormatPr defaultColWidth="9.140625" defaultRowHeight="13.5"/>
  <cols>
    <col min="1" max="1" width="10.7109375" style="27" customWidth="1"/>
    <col min="2" max="2" width="20.140625" style="27" bestFit="1" customWidth="1"/>
    <col min="3" max="3" width="21.7109375" style="27" bestFit="1" customWidth="1"/>
    <col min="4" max="4" width="13.28515625" style="146" customWidth="1"/>
    <col min="5" max="6" width="17" style="27" customWidth="1"/>
    <col min="7" max="7" width="18.85546875" style="149" customWidth="1"/>
    <col min="8" max="8" width="13.7109375" style="149" bestFit="1" customWidth="1"/>
    <col min="9" max="9" width="16.28515625" style="27" bestFit="1" customWidth="1"/>
    <col min="10" max="10" width="18.85546875" style="149" customWidth="1"/>
    <col min="11" max="11" width="16.42578125" style="149" bestFit="1" customWidth="1"/>
    <col min="12" max="14" width="16.42578125" style="149" customWidth="1"/>
    <col min="15" max="15" width="17.28515625" style="27" customWidth="1"/>
    <col min="16" max="16384" width="9.140625" style="27"/>
  </cols>
  <sheetData>
    <row r="1" spans="1:15" s="2" customFormat="1">
      <c r="A1" s="247" t="s">
        <v>2</v>
      </c>
      <c r="B1" s="248"/>
      <c r="D1" s="404"/>
      <c r="G1" s="228"/>
      <c r="H1" s="228"/>
      <c r="J1" s="228"/>
      <c r="K1" s="228"/>
      <c r="L1" s="228"/>
      <c r="M1" s="228"/>
      <c r="N1" s="228"/>
    </row>
    <row r="2" spans="1:15" s="2" customFormat="1">
      <c r="A2" s="4"/>
      <c r="C2" s="4"/>
      <c r="D2" s="404"/>
      <c r="G2" s="228"/>
      <c r="H2" s="228"/>
      <c r="J2" s="228"/>
      <c r="K2" s="228"/>
      <c r="L2" s="228"/>
      <c r="M2" s="228"/>
      <c r="N2" s="228"/>
    </row>
    <row r="3" spans="1:15" s="29" customFormat="1" ht="17.25">
      <c r="A3" s="240" t="s">
        <v>3</v>
      </c>
      <c r="B3" s="249"/>
      <c r="C3" s="241" t="str">
        <f>'1-Inschrijfstaat'!B3</f>
        <v>GVB Infra B.V.</v>
      </c>
      <c r="D3" s="405"/>
      <c r="E3" s="7"/>
      <c r="F3" s="7"/>
      <c r="G3" s="229"/>
      <c r="H3" s="229"/>
      <c r="I3" s="7"/>
      <c r="J3" s="229"/>
      <c r="K3" s="229"/>
      <c r="L3" s="229"/>
      <c r="M3" s="229"/>
      <c r="N3" s="229"/>
    </row>
    <row r="4" spans="1:15" s="29" customFormat="1" ht="17.25">
      <c r="A4" s="240" t="s">
        <v>8</v>
      </c>
      <c r="B4" s="249"/>
      <c r="C4" s="241" t="str">
        <f ca="1">MID(CELL("bestandsnaam",$C$7),SEARCH("]",CELL("bestandsnaam",$C$7),1)+1,256)</f>
        <v>2-Kosten per locatie</v>
      </c>
      <c r="D4" s="405"/>
      <c r="E4" s="7"/>
      <c r="F4" s="7"/>
      <c r="G4" s="229"/>
      <c r="H4" s="229"/>
      <c r="I4" s="7"/>
      <c r="J4" s="229"/>
      <c r="K4" s="229"/>
      <c r="L4" s="229"/>
      <c r="M4" s="229"/>
      <c r="N4" s="229"/>
    </row>
    <row r="5" spans="1:15" s="29" customFormat="1" ht="18.75" customHeight="1">
      <c r="A5" s="240" t="s">
        <v>4</v>
      </c>
      <c r="B5" s="249"/>
      <c r="C5" s="241" t="str">
        <f>'1-Inschrijfstaat'!B5</f>
        <v>Diverse</v>
      </c>
      <c r="D5" s="405"/>
      <c r="E5" s="7"/>
      <c r="F5" s="7"/>
      <c r="G5" s="229"/>
      <c r="H5" s="229"/>
      <c r="I5" s="7"/>
      <c r="J5" s="229"/>
      <c r="K5" s="229"/>
      <c r="L5" s="229"/>
      <c r="M5" s="229"/>
      <c r="N5" s="229"/>
    </row>
    <row r="6" spans="1:15" s="29" customFormat="1" ht="17.25">
      <c r="A6" s="240" t="s">
        <v>9</v>
      </c>
      <c r="B6" s="249"/>
      <c r="C6" s="241" t="str">
        <f>'1-Inschrijfstaat'!B6</f>
        <v>2021-61</v>
      </c>
      <c r="D6" s="405"/>
      <c r="E6" s="7"/>
      <c r="F6" s="7"/>
      <c r="G6" s="229"/>
      <c r="H6" s="229"/>
      <c r="I6" s="7"/>
      <c r="J6" s="229"/>
      <c r="K6" s="229"/>
      <c r="L6" s="229"/>
      <c r="M6" s="229"/>
      <c r="N6" s="229"/>
    </row>
    <row r="7" spans="1:15" s="29" customFormat="1" ht="17.25">
      <c r="A7" s="240" t="s">
        <v>6</v>
      </c>
      <c r="B7" s="249"/>
      <c r="C7" s="241" t="str">
        <f>'1-Inschrijfstaat'!B7</f>
        <v>Naam dienstverlener</v>
      </c>
      <c r="D7" s="406"/>
      <c r="E7" s="8"/>
      <c r="F7" s="8"/>
      <c r="G7" s="230"/>
      <c r="H7" s="230"/>
      <c r="I7" s="8"/>
      <c r="J7" s="230"/>
      <c r="K7" s="230"/>
      <c r="L7" s="230"/>
      <c r="M7" s="230"/>
      <c r="N7" s="230"/>
    </row>
    <row r="8" spans="1:15" s="29" customFormat="1" ht="17.25">
      <c r="A8" s="240" t="s">
        <v>7</v>
      </c>
      <c r="B8" s="249"/>
      <c r="C8" s="11" t="str">
        <f>'1-Inschrijfstaat'!B8</f>
        <v>1 januari 2022</v>
      </c>
      <c r="D8" s="405"/>
      <c r="E8" s="7"/>
      <c r="F8" s="7"/>
      <c r="G8" s="229"/>
      <c r="H8" s="229"/>
      <c r="I8" s="7"/>
      <c r="J8" s="229"/>
      <c r="K8" s="229"/>
      <c r="L8" s="229"/>
      <c r="M8" s="229"/>
      <c r="N8" s="229"/>
    </row>
    <row r="9" spans="1:15" s="29" customFormat="1" ht="17.25">
      <c r="A9" s="250" t="s">
        <v>0</v>
      </c>
      <c r="B9" s="249"/>
      <c r="C9" s="47" t="str">
        <f>'1-Inschrijfstaat'!B9</f>
        <v>1 Technische schoonmaak Algemeen</v>
      </c>
      <c r="D9" s="405"/>
      <c r="E9" s="7"/>
      <c r="F9" s="7"/>
      <c r="G9" s="229"/>
      <c r="H9" s="229"/>
      <c r="I9" s="7"/>
      <c r="J9" s="229"/>
      <c r="K9" s="229"/>
      <c r="L9" s="229"/>
      <c r="M9" s="229"/>
      <c r="N9" s="229"/>
    </row>
    <row r="10" spans="1:15" s="29" customFormat="1" ht="17.25">
      <c r="A10" s="5"/>
      <c r="C10" s="5"/>
      <c r="D10" s="407"/>
      <c r="E10" s="231"/>
      <c r="F10" s="231"/>
      <c r="G10" s="232"/>
      <c r="H10" s="232"/>
      <c r="I10" s="231"/>
      <c r="J10" s="232"/>
      <c r="K10" s="232"/>
      <c r="L10" s="232"/>
      <c r="M10" s="232"/>
      <c r="N10" s="232"/>
    </row>
    <row r="11" spans="1:15" s="29" customFormat="1" ht="17.25">
      <c r="A11" s="251" t="s">
        <v>1084</v>
      </c>
      <c r="B11" s="252"/>
      <c r="C11" s="252"/>
      <c r="D11" s="408"/>
      <c r="E11" s="252"/>
      <c r="F11" s="252"/>
      <c r="G11" s="536"/>
      <c r="H11" s="252"/>
      <c r="I11" s="252"/>
      <c r="J11" s="252"/>
      <c r="K11" s="252"/>
      <c r="L11" s="536"/>
      <c r="M11" s="496"/>
      <c r="N11" s="496"/>
      <c r="O11" s="253"/>
    </row>
    <row r="12" spans="1:15" s="2" customFormat="1">
      <c r="D12" s="404"/>
    </row>
    <row r="13" spans="1:15" s="233" customFormat="1" ht="63" customHeight="1">
      <c r="A13" s="254" t="s">
        <v>289</v>
      </c>
      <c r="B13" s="254" t="s">
        <v>290</v>
      </c>
      <c r="C13" s="254" t="s">
        <v>13</v>
      </c>
      <c r="D13" s="409" t="s">
        <v>1086</v>
      </c>
      <c r="E13" s="254" t="s">
        <v>2133</v>
      </c>
      <c r="F13" s="254" t="s">
        <v>1992</v>
      </c>
      <c r="G13" s="525" t="s">
        <v>2066</v>
      </c>
      <c r="H13" s="254" t="s">
        <v>2065</v>
      </c>
      <c r="I13" s="254" t="s">
        <v>2067</v>
      </c>
      <c r="J13" s="254" t="s">
        <v>2068</v>
      </c>
      <c r="K13" s="254" t="s">
        <v>2069</v>
      </c>
      <c r="L13" s="525" t="s">
        <v>2135</v>
      </c>
      <c r="M13" s="497" t="s">
        <v>2070</v>
      </c>
      <c r="N13" s="497" t="s">
        <v>2132</v>
      </c>
      <c r="O13" s="254" t="s">
        <v>1915</v>
      </c>
    </row>
    <row r="14" spans="1:15">
      <c r="A14" s="28">
        <v>102</v>
      </c>
      <c r="B14" s="28" t="s">
        <v>849</v>
      </c>
      <c r="C14" s="28" t="s">
        <v>180</v>
      </c>
      <c r="D14" s="410">
        <f>SUMIF('3-Ruimtestaat'!B:B,A14,'3-Ruimtestaat'!I:I)</f>
        <v>10070.403</v>
      </c>
      <c r="E14" s="150" t="e">
        <f>SUMIF('4-Reinigen vloeren'!A:A,A14,'4-Reinigen vloeren'!N:N)</f>
        <v>#DIV/0!</v>
      </c>
      <c r="F14" s="234">
        <f>SUMIF('5-Aanvullend'!A:A,A14,'5-Aanvullend'!J:J)</f>
        <v>0</v>
      </c>
      <c r="G14" s="150">
        <f>SUMIF('6-Liftbodems'!A:A,A14,'6-Liftbodems'!J:J)</f>
        <v>0</v>
      </c>
      <c r="H14" s="235">
        <f>SUMIF('7-Geveldelen  en wanden'!A:A,A14,'7-Geveldelen  en wanden'!J:J)</f>
        <v>0</v>
      </c>
      <c r="I14" s="118">
        <f ca="1">SUMIF('8b-Glas kosten totaal'!B:B,A14,'8b-Glas kosten totaal'!M:M)</f>
        <v>0</v>
      </c>
      <c r="J14" s="234">
        <f>'9-Machinekosten'!$P$39/'2-Kosten per locatie'!$D$85*'2-Kosten per locatie'!D14</f>
        <v>0</v>
      </c>
      <c r="K14" s="234">
        <f>SUMIF('10a-Periodieke beurt'!A:A,A14,'10a-Periodieke beurt'!M:M)</f>
        <v>0</v>
      </c>
      <c r="L14" s="629"/>
      <c r="M14" s="150">
        <f>SUMIF('12-Gelijkrichter stations'!$A$15:$A$31,A14,'12-Gelijkrichter stations'!$L$15:$L$31)</f>
        <v>0</v>
      </c>
      <c r="N14" s="150" t="e">
        <f>SUMIF('13- Technischeruimten'!$A$18:$A$68,A14,'13- Technischeruimten'!$H$18:$H$68)</f>
        <v>#DIV/0!</v>
      </c>
      <c r="O14" s="236" t="e">
        <f t="shared" ref="O14:O45" si="0">SUM(E14:N14)</f>
        <v>#DIV/0!</v>
      </c>
    </row>
    <row r="15" spans="1:15">
      <c r="A15" s="28">
        <v>103</v>
      </c>
      <c r="B15" s="28" t="s">
        <v>717</v>
      </c>
      <c r="C15" s="28" t="s">
        <v>180</v>
      </c>
      <c r="D15" s="410">
        <f>SUMIF('3-Ruimtestaat'!B:B,A15,'3-Ruimtestaat'!I:I)</f>
        <v>6256.1357499999995</v>
      </c>
      <c r="E15" s="150" t="e">
        <f>SUMIF('4-Reinigen vloeren'!A:A,A15,'4-Reinigen vloeren'!N:N)</f>
        <v>#DIV/0!</v>
      </c>
      <c r="F15" s="234">
        <f>SUMIF('5-Aanvullend'!A:A,A15,'5-Aanvullend'!J:J)</f>
        <v>0</v>
      </c>
      <c r="G15" s="150">
        <f>SUMIF('6-Liftbodems'!A:A,A15,'6-Liftbodems'!J:J)</f>
        <v>0</v>
      </c>
      <c r="H15" s="235">
        <f>SUMIF('7-Geveldelen  en wanden'!A:A,A15,'7-Geveldelen  en wanden'!J:J)</f>
        <v>0</v>
      </c>
      <c r="I15" s="118">
        <f ca="1">SUMIF('8b-Glas kosten totaal'!B:B,A15,'8b-Glas kosten totaal'!M:M)</f>
        <v>0</v>
      </c>
      <c r="J15" s="234">
        <f>'9-Machinekosten'!$P$39/'2-Kosten per locatie'!$D$85*'2-Kosten per locatie'!D15</f>
        <v>0</v>
      </c>
      <c r="K15" s="234">
        <f>SUMIF('10a-Periodieke beurt'!A:A,A15,'10a-Periodieke beurt'!M:M)</f>
        <v>0</v>
      </c>
      <c r="L15" s="629"/>
      <c r="M15" s="150">
        <f>SUMIF('12-Gelijkrichter stations'!$A$15:$A$31,A15,'12-Gelijkrichter stations'!$L$15:$L$31)</f>
        <v>0</v>
      </c>
      <c r="N15" s="150" t="e">
        <f>SUMIF('13- Technischeruimten'!$A$18:$A$68,A15,'13- Technischeruimten'!$H$18:$H$68)</f>
        <v>#DIV/0!</v>
      </c>
      <c r="O15" s="236" t="e">
        <f t="shared" si="0"/>
        <v>#DIV/0!</v>
      </c>
    </row>
    <row r="16" spans="1:15">
      <c r="A16" s="28">
        <v>104</v>
      </c>
      <c r="B16" s="28" t="s">
        <v>165</v>
      </c>
      <c r="C16" s="28" t="s">
        <v>180</v>
      </c>
      <c r="D16" s="410">
        <f>SUMIF('3-Ruimtestaat'!B:B,A16,'3-Ruimtestaat'!I:I)</f>
        <v>12961.045735000003</v>
      </c>
      <c r="E16" s="150" t="e">
        <f>SUMIF('4-Reinigen vloeren'!A:A,A16,'4-Reinigen vloeren'!N:N)</f>
        <v>#DIV/0!</v>
      </c>
      <c r="F16" s="234">
        <f>SUMIF('5-Aanvullend'!A:A,A16,'5-Aanvullend'!J:J)</f>
        <v>0</v>
      </c>
      <c r="G16" s="150">
        <f>SUMIF('6-Liftbodems'!A:A,A16,'6-Liftbodems'!J:J)</f>
        <v>0</v>
      </c>
      <c r="H16" s="235">
        <f>SUMIF('7-Geveldelen  en wanden'!A:A,A16,'7-Geveldelen  en wanden'!J:J)</f>
        <v>0</v>
      </c>
      <c r="I16" s="118">
        <f ca="1">SUMIF('8b-Glas kosten totaal'!B:B,A16,'8b-Glas kosten totaal'!M:M)</f>
        <v>0</v>
      </c>
      <c r="J16" s="234">
        <f>'9-Machinekosten'!$P$39/'2-Kosten per locatie'!$D$85*'2-Kosten per locatie'!D16</f>
        <v>0</v>
      </c>
      <c r="K16" s="234">
        <f>SUMIF('10a-Periodieke beurt'!A:A,A16,'10a-Periodieke beurt'!M:M)</f>
        <v>0</v>
      </c>
      <c r="L16" s="629"/>
      <c r="M16" s="150">
        <f>SUMIF('12-Gelijkrichter stations'!$A$15:$A$31,A16,'12-Gelijkrichter stations'!$L$15:$L$31)</f>
        <v>0</v>
      </c>
      <c r="N16" s="150" t="e">
        <f>SUMIF('13- Technischeruimten'!$A$18:$A$68,A16,'13- Technischeruimten'!$H$18:$H$68)</f>
        <v>#DIV/0!</v>
      </c>
      <c r="O16" s="236" t="e">
        <f t="shared" si="0"/>
        <v>#DIV/0!</v>
      </c>
    </row>
    <row r="17" spans="1:15">
      <c r="A17" s="28">
        <v>105</v>
      </c>
      <c r="B17" s="28" t="s">
        <v>850</v>
      </c>
      <c r="C17" s="28" t="s">
        <v>180</v>
      </c>
      <c r="D17" s="410">
        <f>SUMIF('3-Ruimtestaat'!B:B,A17,'3-Ruimtestaat'!I:I)</f>
        <v>7458.6242499999989</v>
      </c>
      <c r="E17" s="150" t="e">
        <f>SUMIF('4-Reinigen vloeren'!A:A,A17,'4-Reinigen vloeren'!N:N)</f>
        <v>#DIV/0!</v>
      </c>
      <c r="F17" s="234">
        <f>SUMIF('5-Aanvullend'!A:A,A17,'5-Aanvullend'!J:J)</f>
        <v>0</v>
      </c>
      <c r="G17" s="150">
        <f>SUMIF('6-Liftbodems'!A:A,A17,'6-Liftbodems'!J:J)</f>
        <v>0</v>
      </c>
      <c r="H17" s="235">
        <f>SUMIF('7-Geveldelen  en wanden'!A:A,A17,'7-Geveldelen  en wanden'!J:J)</f>
        <v>0</v>
      </c>
      <c r="I17" s="118">
        <f ca="1">SUMIF('8b-Glas kosten totaal'!B:B,A17,'8b-Glas kosten totaal'!M:M)</f>
        <v>0</v>
      </c>
      <c r="J17" s="234">
        <f>'9-Machinekosten'!$P$39/'2-Kosten per locatie'!$D$85*'2-Kosten per locatie'!D17</f>
        <v>0</v>
      </c>
      <c r="K17" s="234">
        <f>SUMIF('10a-Periodieke beurt'!A:A,A17,'10a-Periodieke beurt'!M:M)</f>
        <v>0</v>
      </c>
      <c r="L17" s="629"/>
      <c r="M17" s="150">
        <f>SUMIF('12-Gelijkrichter stations'!$A$15:$A$31,A17,'12-Gelijkrichter stations'!$L$15:$L$31)</f>
        <v>0</v>
      </c>
      <c r="N17" s="150" t="e">
        <f>SUMIF('13- Technischeruimten'!$A$18:$A$68,A17,'13- Technischeruimten'!$H$18:$H$68)</f>
        <v>#DIV/0!</v>
      </c>
      <c r="O17" s="236" t="e">
        <f t="shared" si="0"/>
        <v>#DIV/0!</v>
      </c>
    </row>
    <row r="18" spans="1:15">
      <c r="A18" s="28">
        <v>106</v>
      </c>
      <c r="B18" s="28" t="s">
        <v>1034</v>
      </c>
      <c r="C18" s="28" t="s">
        <v>22</v>
      </c>
      <c r="D18" s="410">
        <f>SUMIF('3-Ruimtestaat'!B:B,A18,'3-Ruimtestaat'!I:I)</f>
        <v>96</v>
      </c>
      <c r="E18" s="150">
        <f>SUMIF('4-Reinigen vloeren'!A:A,A18,'4-Reinigen vloeren'!N:N)</f>
        <v>0</v>
      </c>
      <c r="F18" s="234">
        <f>SUMIF('5-Aanvullend'!A:A,A18,'5-Aanvullend'!J:J)</f>
        <v>0</v>
      </c>
      <c r="G18" s="150">
        <f>SUMIF('6-Liftbodems'!A:A,A18,'6-Liftbodems'!J:J)</f>
        <v>0</v>
      </c>
      <c r="H18" s="235">
        <f>SUMIF('7-Geveldelen  en wanden'!A:A,A18,'7-Geveldelen  en wanden'!J:J)</f>
        <v>0</v>
      </c>
      <c r="I18" s="118">
        <f>SUMIF('8b-Glas kosten totaal'!B:B,A18,'8b-Glas kosten totaal'!M:M)</f>
        <v>0</v>
      </c>
      <c r="J18" s="234">
        <f>'9-Machinekosten'!$P$39/'2-Kosten per locatie'!$D$85*'2-Kosten per locatie'!D18</f>
        <v>0</v>
      </c>
      <c r="K18" s="234">
        <f>SUMIF('10a-Periodieke beurt'!A:A,A18,'10a-Periodieke beurt'!M:M)</f>
        <v>0</v>
      </c>
      <c r="L18" s="629"/>
      <c r="M18" s="150">
        <f>SUMIF('12-Gelijkrichter stations'!$A$15:$A$31,A18,'12-Gelijkrichter stations'!$L$15:$L$31)</f>
        <v>0</v>
      </c>
      <c r="N18" s="150" t="e">
        <f>SUMIF('13- Technischeruimten'!$A$18:$A$68,A18,'13- Technischeruimten'!$H$18:$H$68)</f>
        <v>#DIV/0!</v>
      </c>
      <c r="O18" s="236" t="e">
        <f t="shared" si="0"/>
        <v>#DIV/0!</v>
      </c>
    </row>
    <row r="19" spans="1:15">
      <c r="A19" s="28">
        <v>107</v>
      </c>
      <c r="B19" s="28" t="s">
        <v>288</v>
      </c>
      <c r="C19" s="28" t="s">
        <v>22</v>
      </c>
      <c r="D19" s="410">
        <f>SUMIF('3-Ruimtestaat'!B:B,A19,'3-Ruimtestaat'!I:I)</f>
        <v>3261.2186440677974</v>
      </c>
      <c r="E19" s="150" t="e">
        <f>SUMIF('4-Reinigen vloeren'!A:A,A19,'4-Reinigen vloeren'!N:N)</f>
        <v>#DIV/0!</v>
      </c>
      <c r="F19" s="234">
        <f>SUMIF('5-Aanvullend'!A:A,A19,'5-Aanvullend'!J:J)</f>
        <v>0</v>
      </c>
      <c r="G19" s="150">
        <f>SUMIF('6-Liftbodems'!A:A,A19,'6-Liftbodems'!J:J)</f>
        <v>0</v>
      </c>
      <c r="H19" s="235">
        <f>SUMIF('7-Geveldelen  en wanden'!A:A,A19,'7-Geveldelen  en wanden'!J:J)</f>
        <v>0</v>
      </c>
      <c r="I19" s="118">
        <f ca="1">SUMIF('8b-Glas kosten totaal'!B:B,A19,'8b-Glas kosten totaal'!M:M)</f>
        <v>0</v>
      </c>
      <c r="J19" s="234">
        <f>'9-Machinekosten'!$P$39/'2-Kosten per locatie'!$D$85*'2-Kosten per locatie'!D19</f>
        <v>0</v>
      </c>
      <c r="K19" s="234">
        <f>SUMIF('10a-Periodieke beurt'!A:A,A19,'10a-Periodieke beurt'!M:M)</f>
        <v>0</v>
      </c>
      <c r="L19" s="629"/>
      <c r="M19" s="150">
        <f>SUMIF('12-Gelijkrichter stations'!$A$15:$A$31,A19,'12-Gelijkrichter stations'!$L$15:$L$31)</f>
        <v>0</v>
      </c>
      <c r="N19" s="150" t="e">
        <f>SUMIF('13- Technischeruimten'!$A$18:$A$68,A19,'13- Technischeruimten'!$H$18:$H$68)</f>
        <v>#DIV/0!</v>
      </c>
      <c r="O19" s="236" t="e">
        <f t="shared" si="0"/>
        <v>#DIV/0!</v>
      </c>
    </row>
    <row r="20" spans="1:15">
      <c r="A20" s="28">
        <v>108</v>
      </c>
      <c r="B20" s="28" t="s">
        <v>254</v>
      </c>
      <c r="C20" s="28" t="s">
        <v>22</v>
      </c>
      <c r="D20" s="410">
        <f>SUMIF('3-Ruimtestaat'!B:B,A20,'3-Ruimtestaat'!I:I)</f>
        <v>3816.99</v>
      </c>
      <c r="E20" s="150" t="e">
        <f>SUMIF('4-Reinigen vloeren'!A:A,A20,'4-Reinigen vloeren'!N:N)</f>
        <v>#DIV/0!</v>
      </c>
      <c r="F20" s="234">
        <f>SUMIF('5-Aanvullend'!A:A,A20,'5-Aanvullend'!J:J)</f>
        <v>0</v>
      </c>
      <c r="G20" s="150">
        <f>SUMIF('6-Liftbodems'!A:A,A20,'6-Liftbodems'!J:J)</f>
        <v>0</v>
      </c>
      <c r="H20" s="235">
        <f>SUMIF('7-Geveldelen  en wanden'!A:A,A20,'7-Geveldelen  en wanden'!J:J)</f>
        <v>0</v>
      </c>
      <c r="I20" s="118">
        <f ca="1">SUMIF('8b-Glas kosten totaal'!B:B,A20,'8b-Glas kosten totaal'!M:M)</f>
        <v>0</v>
      </c>
      <c r="J20" s="234">
        <f>'9-Machinekosten'!$P$39/'2-Kosten per locatie'!$D$85*'2-Kosten per locatie'!D20</f>
        <v>0</v>
      </c>
      <c r="K20" s="234">
        <f>SUMIF('10a-Periodieke beurt'!A:A,A20,'10a-Periodieke beurt'!M:M)</f>
        <v>0</v>
      </c>
      <c r="L20" s="629"/>
      <c r="M20" s="150">
        <f>SUMIF('12-Gelijkrichter stations'!$A$15:$A$31,A20,'12-Gelijkrichter stations'!$L$15:$L$31)</f>
        <v>0</v>
      </c>
      <c r="N20" s="150" t="e">
        <f>SUMIF('13- Technischeruimten'!$A$18:$A$68,A20,'13- Technischeruimten'!$H$18:$H$68)</f>
        <v>#DIV/0!</v>
      </c>
      <c r="O20" s="236" t="e">
        <f t="shared" si="0"/>
        <v>#DIV/0!</v>
      </c>
    </row>
    <row r="21" spans="1:15">
      <c r="A21" s="28">
        <v>109</v>
      </c>
      <c r="B21" s="28" t="s">
        <v>851</v>
      </c>
      <c r="C21" s="28" t="s">
        <v>22</v>
      </c>
      <c r="D21" s="410">
        <f>SUMIF('3-Ruimtestaat'!B:B,A21,'3-Ruimtestaat'!I:I)</f>
        <v>49</v>
      </c>
      <c r="E21" s="150">
        <f>SUMIF('4-Reinigen vloeren'!A:A,A21,'4-Reinigen vloeren'!N:N)</f>
        <v>0</v>
      </c>
      <c r="F21" s="234">
        <f>SUMIF('5-Aanvullend'!A:A,A21,'5-Aanvullend'!J:J)</f>
        <v>0</v>
      </c>
      <c r="G21" s="150">
        <f>SUMIF('6-Liftbodems'!A:A,A21,'6-Liftbodems'!J:J)</f>
        <v>0</v>
      </c>
      <c r="H21" s="235">
        <f>SUMIF('7-Geveldelen  en wanden'!A:A,A21,'7-Geveldelen  en wanden'!J:J)</f>
        <v>0</v>
      </c>
      <c r="I21" s="118">
        <f ca="1">SUMIF('8b-Glas kosten totaal'!B:B,A21,'8b-Glas kosten totaal'!M:M)</f>
        <v>0</v>
      </c>
      <c r="J21" s="234">
        <f>'9-Machinekosten'!$P$39/'2-Kosten per locatie'!$D$85*'2-Kosten per locatie'!D21</f>
        <v>0</v>
      </c>
      <c r="K21" s="234">
        <f>SUMIF('10a-Periodieke beurt'!A:A,A21,'10a-Periodieke beurt'!M:M)</f>
        <v>0</v>
      </c>
      <c r="L21" s="629"/>
      <c r="M21" s="150">
        <f>SUMIF('12-Gelijkrichter stations'!$A$15:$A$31,A21,'12-Gelijkrichter stations'!$L$15:$L$31)</f>
        <v>0</v>
      </c>
      <c r="N21" s="150" t="e">
        <f>SUMIF('13- Technischeruimten'!$A$18:$A$68,A21,'13- Technischeruimten'!$H$18:$H$68)</f>
        <v>#DIV/0!</v>
      </c>
      <c r="O21" s="236" t="e">
        <f t="shared" ca="1" si="0"/>
        <v>#DIV/0!</v>
      </c>
    </row>
    <row r="22" spans="1:15">
      <c r="A22" s="28">
        <v>110</v>
      </c>
      <c r="B22" s="28" t="s">
        <v>103</v>
      </c>
      <c r="C22" s="28" t="s">
        <v>22</v>
      </c>
      <c r="D22" s="410">
        <f>SUMIF('3-Ruimtestaat'!B:B,A22,'3-Ruimtestaat'!I:I)</f>
        <v>2608.1600000000008</v>
      </c>
      <c r="E22" s="150" t="e">
        <f>SUMIF('4-Reinigen vloeren'!A:A,A22,'4-Reinigen vloeren'!N:N)</f>
        <v>#DIV/0!</v>
      </c>
      <c r="F22" s="234">
        <f>SUMIF('5-Aanvullend'!A:A,A22,'5-Aanvullend'!J:J)</f>
        <v>0</v>
      </c>
      <c r="G22" s="150">
        <f>SUMIF('6-Liftbodems'!A:A,A22,'6-Liftbodems'!J:J)</f>
        <v>0</v>
      </c>
      <c r="H22" s="235">
        <f>SUMIF('7-Geveldelen  en wanden'!A:A,A22,'7-Geveldelen  en wanden'!J:J)</f>
        <v>0</v>
      </c>
      <c r="I22" s="118">
        <f ca="1">SUMIF('8b-Glas kosten totaal'!B:B,A22,'8b-Glas kosten totaal'!M:M)</f>
        <v>0</v>
      </c>
      <c r="J22" s="234">
        <f>'9-Machinekosten'!$P$39/'2-Kosten per locatie'!$D$85*'2-Kosten per locatie'!D22</f>
        <v>0</v>
      </c>
      <c r="K22" s="234">
        <f>SUMIF('10a-Periodieke beurt'!A:A,A22,'10a-Periodieke beurt'!M:M)</f>
        <v>0</v>
      </c>
      <c r="L22" s="629"/>
      <c r="M22" s="150">
        <f>SUMIF('12-Gelijkrichter stations'!$A$15:$A$31,A22,'12-Gelijkrichter stations'!$L$15:$L$31)</f>
        <v>0</v>
      </c>
      <c r="N22" s="150" t="e">
        <f>SUMIF('13- Technischeruimten'!$A$18:$A$68,A22,'13- Technischeruimten'!$H$18:$H$68)</f>
        <v>#DIV/0!</v>
      </c>
      <c r="O22" s="236" t="e">
        <f t="shared" si="0"/>
        <v>#DIV/0!</v>
      </c>
    </row>
    <row r="23" spans="1:15">
      <c r="A23" s="28">
        <v>111</v>
      </c>
      <c r="B23" s="28" t="s">
        <v>852</v>
      </c>
      <c r="C23" s="28" t="s">
        <v>22</v>
      </c>
      <c r="D23" s="410">
        <f>SUMIF('3-Ruimtestaat'!B:B,A23,'3-Ruimtestaat'!I:I)</f>
        <v>2752.3200000000006</v>
      </c>
      <c r="E23" s="150" t="e">
        <f>SUMIF('4-Reinigen vloeren'!A:A,A23,'4-Reinigen vloeren'!N:N)</f>
        <v>#DIV/0!</v>
      </c>
      <c r="F23" s="234">
        <f>SUMIF('5-Aanvullend'!A:A,A23,'5-Aanvullend'!J:J)</f>
        <v>0</v>
      </c>
      <c r="G23" s="150">
        <f>SUMIF('6-Liftbodems'!A:A,A23,'6-Liftbodems'!J:J)</f>
        <v>0</v>
      </c>
      <c r="H23" s="235">
        <f>SUMIF('7-Geveldelen  en wanden'!A:A,A23,'7-Geveldelen  en wanden'!J:J)</f>
        <v>0</v>
      </c>
      <c r="I23" s="118">
        <f ca="1">SUMIF('8b-Glas kosten totaal'!B:B,A23,'8b-Glas kosten totaal'!M:M)</f>
        <v>0</v>
      </c>
      <c r="J23" s="234">
        <f>'9-Machinekosten'!$P$39/'2-Kosten per locatie'!$D$85*'2-Kosten per locatie'!D23</f>
        <v>0</v>
      </c>
      <c r="K23" s="234">
        <f>SUMIF('10a-Periodieke beurt'!A:A,A23,'10a-Periodieke beurt'!M:M)</f>
        <v>0</v>
      </c>
      <c r="L23" s="629"/>
      <c r="M23" s="150">
        <f>SUMIF('12-Gelijkrichter stations'!$A$15:$A$31,A23,'12-Gelijkrichter stations'!$L$15:$L$31)</f>
        <v>0</v>
      </c>
      <c r="N23" s="150" t="e">
        <f>SUMIF('13- Technischeruimten'!$A$18:$A$68,A23,'13- Technischeruimten'!$H$18:$H$68)</f>
        <v>#DIV/0!</v>
      </c>
      <c r="O23" s="236" t="e">
        <f t="shared" si="0"/>
        <v>#DIV/0!</v>
      </c>
    </row>
    <row r="24" spans="1:15">
      <c r="A24" s="28">
        <v>112</v>
      </c>
      <c r="B24" s="28" t="s">
        <v>140</v>
      </c>
      <c r="C24" s="28" t="s">
        <v>22</v>
      </c>
      <c r="D24" s="410">
        <f>SUMIF('3-Ruimtestaat'!B:B,A24,'3-Ruimtestaat'!I:I)</f>
        <v>2360.2399999999998</v>
      </c>
      <c r="E24" s="150" t="e">
        <f>SUMIF('4-Reinigen vloeren'!A:A,A24,'4-Reinigen vloeren'!N:N)</f>
        <v>#DIV/0!</v>
      </c>
      <c r="F24" s="234">
        <f>SUMIF('5-Aanvullend'!A:A,A24,'5-Aanvullend'!J:J)</f>
        <v>0</v>
      </c>
      <c r="G24" s="150">
        <f>SUMIF('6-Liftbodems'!A:A,A24,'6-Liftbodems'!J:J)</f>
        <v>0</v>
      </c>
      <c r="H24" s="235">
        <f>SUMIF('7-Geveldelen  en wanden'!A:A,A24,'7-Geveldelen  en wanden'!J:J)</f>
        <v>0</v>
      </c>
      <c r="I24" s="118">
        <f ca="1">SUMIF('8b-Glas kosten totaal'!B:B,A24,'8b-Glas kosten totaal'!M:M)</f>
        <v>0</v>
      </c>
      <c r="J24" s="234">
        <f>'9-Machinekosten'!$P$39/'2-Kosten per locatie'!$D$85*'2-Kosten per locatie'!D24</f>
        <v>0</v>
      </c>
      <c r="K24" s="234">
        <f>SUMIF('10a-Periodieke beurt'!A:A,A24,'10a-Periodieke beurt'!M:M)</f>
        <v>0</v>
      </c>
      <c r="L24" s="629"/>
      <c r="M24" s="150">
        <f>SUMIF('12-Gelijkrichter stations'!$A$15:$A$31,A24,'12-Gelijkrichter stations'!$L$15:$L$31)</f>
        <v>0</v>
      </c>
      <c r="N24" s="150" t="e">
        <f>SUMIF('13- Technischeruimten'!$A$18:$A$68,A24,'13- Technischeruimten'!$H$18:$H$68)</f>
        <v>#DIV/0!</v>
      </c>
      <c r="O24" s="236" t="e">
        <f t="shared" si="0"/>
        <v>#DIV/0!</v>
      </c>
    </row>
    <row r="25" spans="1:15">
      <c r="A25" s="28">
        <v>113</v>
      </c>
      <c r="B25" s="28" t="s">
        <v>853</v>
      </c>
      <c r="C25" s="28" t="s">
        <v>22</v>
      </c>
      <c r="D25" s="410">
        <f>SUMIF('3-Ruimtestaat'!B:B,A25,'3-Ruimtestaat'!I:I)</f>
        <v>2557.4100000000008</v>
      </c>
      <c r="E25" s="150" t="e">
        <f>SUMIF('4-Reinigen vloeren'!A:A,A25,'4-Reinigen vloeren'!N:N)</f>
        <v>#DIV/0!</v>
      </c>
      <c r="F25" s="234">
        <f>SUMIF('5-Aanvullend'!A:A,A25,'5-Aanvullend'!J:J)</f>
        <v>0</v>
      </c>
      <c r="G25" s="150">
        <f>SUMIF('6-Liftbodems'!A:A,A25,'6-Liftbodems'!J:J)</f>
        <v>0</v>
      </c>
      <c r="H25" s="235">
        <f>SUMIF('7-Geveldelen  en wanden'!A:A,A25,'7-Geveldelen  en wanden'!J:J)</f>
        <v>0</v>
      </c>
      <c r="I25" s="118">
        <f ca="1">SUMIF('8b-Glas kosten totaal'!B:B,A25,'8b-Glas kosten totaal'!M:M)</f>
        <v>0</v>
      </c>
      <c r="J25" s="234">
        <f>'9-Machinekosten'!$P$39/'2-Kosten per locatie'!$D$85*'2-Kosten per locatie'!D25</f>
        <v>0</v>
      </c>
      <c r="K25" s="234">
        <f>SUMIF('10a-Periodieke beurt'!A:A,A25,'10a-Periodieke beurt'!M:M)</f>
        <v>0</v>
      </c>
      <c r="L25" s="629"/>
      <c r="M25" s="150">
        <f>SUMIF('12-Gelijkrichter stations'!$A$15:$A$31,A25,'12-Gelijkrichter stations'!$L$15:$L$31)</f>
        <v>0</v>
      </c>
      <c r="N25" s="150" t="e">
        <f>SUMIF('13- Technischeruimten'!$A$18:$A$68,A25,'13- Technischeruimten'!$H$18:$H$68)</f>
        <v>#DIV/0!</v>
      </c>
      <c r="O25" s="236" t="e">
        <f t="shared" si="0"/>
        <v>#DIV/0!</v>
      </c>
    </row>
    <row r="26" spans="1:15">
      <c r="A26" s="28">
        <v>114</v>
      </c>
      <c r="B26" s="28" t="s">
        <v>21</v>
      </c>
      <c r="C26" s="28" t="s">
        <v>22</v>
      </c>
      <c r="D26" s="410">
        <f>SUMIF('3-Ruimtestaat'!B:B,A26,'3-Ruimtestaat'!I:I)</f>
        <v>2505.2599999999998</v>
      </c>
      <c r="E26" s="150" t="e">
        <f>SUMIF('4-Reinigen vloeren'!A:A,A26,'4-Reinigen vloeren'!N:N)</f>
        <v>#DIV/0!</v>
      </c>
      <c r="F26" s="234">
        <f>SUMIF('5-Aanvullend'!A:A,A26,'5-Aanvullend'!J:J)</f>
        <v>0</v>
      </c>
      <c r="G26" s="150">
        <f>SUMIF('6-Liftbodems'!A:A,A26,'6-Liftbodems'!J:J)</f>
        <v>0</v>
      </c>
      <c r="H26" s="235">
        <f>SUMIF('7-Geveldelen  en wanden'!A:A,A26,'7-Geveldelen  en wanden'!J:J)</f>
        <v>0</v>
      </c>
      <c r="I26" s="118">
        <f ca="1">SUMIF('8b-Glas kosten totaal'!B:B,A26,'8b-Glas kosten totaal'!M:M)</f>
        <v>0</v>
      </c>
      <c r="J26" s="234">
        <f>'9-Machinekosten'!$P$39/'2-Kosten per locatie'!$D$85*'2-Kosten per locatie'!D26</f>
        <v>0</v>
      </c>
      <c r="K26" s="234">
        <f>SUMIF('10a-Periodieke beurt'!A:A,A26,'10a-Periodieke beurt'!M:M)</f>
        <v>0</v>
      </c>
      <c r="L26" s="629"/>
      <c r="M26" s="150">
        <f>SUMIF('12-Gelijkrichter stations'!$A$15:$A$31,A26,'12-Gelijkrichter stations'!$L$15:$L$31)</f>
        <v>0</v>
      </c>
      <c r="N26" s="150" t="e">
        <f>SUMIF('13- Technischeruimten'!$A$18:$A$68,A26,'13- Technischeruimten'!$H$18:$H$68)</f>
        <v>#DIV/0!</v>
      </c>
      <c r="O26" s="236" t="e">
        <f t="shared" si="0"/>
        <v>#DIV/0!</v>
      </c>
    </row>
    <row r="27" spans="1:15">
      <c r="A27" s="28">
        <v>115</v>
      </c>
      <c r="B27" s="28" t="s">
        <v>73</v>
      </c>
      <c r="C27" s="28" t="s">
        <v>74</v>
      </c>
      <c r="D27" s="410">
        <f>SUMIF('3-Ruimtestaat'!B:B,A27,'3-Ruimtestaat'!I:I)</f>
        <v>2627.6700000000005</v>
      </c>
      <c r="E27" s="150" t="e">
        <f>SUMIF('4-Reinigen vloeren'!A:A,A27,'4-Reinigen vloeren'!N:N)</f>
        <v>#DIV/0!</v>
      </c>
      <c r="F27" s="234">
        <f>SUMIF('5-Aanvullend'!A:A,A27,'5-Aanvullend'!J:J)</f>
        <v>0</v>
      </c>
      <c r="G27" s="150">
        <f>SUMIF('6-Liftbodems'!A:A,A27,'6-Liftbodems'!J:J)</f>
        <v>0</v>
      </c>
      <c r="H27" s="235">
        <f>SUMIF('7-Geveldelen  en wanden'!A:A,A27,'7-Geveldelen  en wanden'!J:J)</f>
        <v>0</v>
      </c>
      <c r="I27" s="118">
        <f ca="1">SUMIF('8b-Glas kosten totaal'!B:B,A27,'8b-Glas kosten totaal'!M:M)</f>
        <v>0</v>
      </c>
      <c r="J27" s="234">
        <f>'9-Machinekosten'!$P$39/'2-Kosten per locatie'!$D$85*'2-Kosten per locatie'!D27</f>
        <v>0</v>
      </c>
      <c r="K27" s="234">
        <f>SUMIF('10a-Periodieke beurt'!A:A,A27,'10a-Periodieke beurt'!M:M)</f>
        <v>0</v>
      </c>
      <c r="L27" s="629"/>
      <c r="M27" s="150">
        <f>SUMIF('12-Gelijkrichter stations'!$A$15:$A$31,A27,'12-Gelijkrichter stations'!$L$15:$L$31)</f>
        <v>0</v>
      </c>
      <c r="N27" s="150" t="e">
        <f>SUMIF('13- Technischeruimten'!$A$18:$A$68,A27,'13- Technischeruimten'!$H$18:$H$68)</f>
        <v>#DIV/0!</v>
      </c>
      <c r="O27" s="236" t="e">
        <f t="shared" si="0"/>
        <v>#DIV/0!</v>
      </c>
    </row>
    <row r="28" spans="1:15">
      <c r="A28" s="28">
        <v>116</v>
      </c>
      <c r="B28" s="28" t="s">
        <v>237</v>
      </c>
      <c r="C28" s="28" t="s">
        <v>22</v>
      </c>
      <c r="D28" s="410">
        <f>SUMIF('3-Ruimtestaat'!B:B,A28,'3-Ruimtestaat'!I:I)</f>
        <v>2362</v>
      </c>
      <c r="E28" s="150" t="e">
        <f>SUMIF('4-Reinigen vloeren'!A:A,A28,'4-Reinigen vloeren'!N:N)</f>
        <v>#DIV/0!</v>
      </c>
      <c r="F28" s="234">
        <f>SUMIF('5-Aanvullend'!A:A,A28,'5-Aanvullend'!J:J)</f>
        <v>0</v>
      </c>
      <c r="G28" s="150">
        <f>SUMIF('6-Liftbodems'!A:A,A28,'6-Liftbodems'!J:J)</f>
        <v>0</v>
      </c>
      <c r="H28" s="235">
        <f>SUMIF('7-Geveldelen  en wanden'!A:A,A28,'7-Geveldelen  en wanden'!J:J)</f>
        <v>0</v>
      </c>
      <c r="I28" s="118">
        <f ca="1">SUMIF('8b-Glas kosten totaal'!B:B,A28,'8b-Glas kosten totaal'!M:M)</f>
        <v>0</v>
      </c>
      <c r="J28" s="234">
        <f>'9-Machinekosten'!$P$39/'2-Kosten per locatie'!$D$85*'2-Kosten per locatie'!D28</f>
        <v>0</v>
      </c>
      <c r="K28" s="234">
        <f>SUMIF('10a-Periodieke beurt'!A:A,A28,'10a-Periodieke beurt'!M:M)</f>
        <v>0</v>
      </c>
      <c r="L28" s="629"/>
      <c r="M28" s="150">
        <f>SUMIF('12-Gelijkrichter stations'!$A$15:$A$31,A28,'12-Gelijkrichter stations'!$L$15:$L$31)</f>
        <v>0</v>
      </c>
      <c r="N28" s="150" t="e">
        <f>SUMIF('13- Technischeruimten'!$A$18:$A$68,A28,'13- Technischeruimten'!$H$18:$H$68)</f>
        <v>#DIV/0!</v>
      </c>
      <c r="O28" s="236" t="e">
        <f t="shared" si="0"/>
        <v>#DIV/0!</v>
      </c>
    </row>
    <row r="29" spans="1:15">
      <c r="A29" s="28">
        <v>117</v>
      </c>
      <c r="B29" s="28" t="s">
        <v>296</v>
      </c>
      <c r="C29" s="28" t="s">
        <v>22</v>
      </c>
      <c r="D29" s="410">
        <f>SUMIF('3-Ruimtestaat'!B:B,A29,'3-Ruimtestaat'!I:I)</f>
        <v>2462</v>
      </c>
      <c r="E29" s="150" t="e">
        <f>SUMIF('4-Reinigen vloeren'!A:A,A29,'4-Reinigen vloeren'!N:N)</f>
        <v>#DIV/0!</v>
      </c>
      <c r="F29" s="234">
        <f>SUMIF('5-Aanvullend'!A:A,A29,'5-Aanvullend'!J:J)</f>
        <v>0</v>
      </c>
      <c r="G29" s="150">
        <f>SUMIF('6-Liftbodems'!A:A,A29,'6-Liftbodems'!J:J)</f>
        <v>0</v>
      </c>
      <c r="H29" s="235">
        <f>SUMIF('7-Geveldelen  en wanden'!A:A,A29,'7-Geveldelen  en wanden'!J:J)</f>
        <v>0</v>
      </c>
      <c r="I29" s="118">
        <f ca="1">SUMIF('8b-Glas kosten totaal'!B:B,A29,'8b-Glas kosten totaal'!M:M)</f>
        <v>0</v>
      </c>
      <c r="J29" s="234">
        <f>'9-Machinekosten'!$P$39/'2-Kosten per locatie'!$D$85*'2-Kosten per locatie'!D29</f>
        <v>0</v>
      </c>
      <c r="K29" s="234">
        <f>SUMIF('10a-Periodieke beurt'!A:A,A29,'10a-Periodieke beurt'!M:M)</f>
        <v>0</v>
      </c>
      <c r="L29" s="629"/>
      <c r="M29" s="150">
        <f>SUMIF('12-Gelijkrichter stations'!$A$15:$A$31,A29,'12-Gelijkrichter stations'!$L$15:$L$31)</f>
        <v>0</v>
      </c>
      <c r="N29" s="150" t="e">
        <f>SUMIF('13- Technischeruimten'!$A$18:$A$68,A29,'13- Technischeruimten'!$H$18:$H$68)</f>
        <v>#DIV/0!</v>
      </c>
      <c r="O29" s="236" t="e">
        <f t="shared" si="0"/>
        <v>#DIV/0!</v>
      </c>
    </row>
    <row r="30" spans="1:15">
      <c r="A30" s="28">
        <v>118</v>
      </c>
      <c r="B30" s="28" t="s">
        <v>198</v>
      </c>
      <c r="C30" s="28" t="s">
        <v>22</v>
      </c>
      <c r="D30" s="410">
        <f>SUMIF('3-Ruimtestaat'!B:B,A30,'3-Ruimtestaat'!I:I)</f>
        <v>1828</v>
      </c>
      <c r="E30" s="150" t="e">
        <f>SUMIF('4-Reinigen vloeren'!A:A,A30,'4-Reinigen vloeren'!N:N)</f>
        <v>#DIV/0!</v>
      </c>
      <c r="F30" s="234">
        <f>SUMIF('5-Aanvullend'!A:A,A30,'5-Aanvullend'!J:J)</f>
        <v>0</v>
      </c>
      <c r="G30" s="150">
        <f>SUMIF('6-Liftbodems'!A:A,A30,'6-Liftbodems'!J:J)</f>
        <v>0</v>
      </c>
      <c r="H30" s="235">
        <f>SUMIF('7-Geveldelen  en wanden'!A:A,A30,'7-Geveldelen  en wanden'!J:J)</f>
        <v>0</v>
      </c>
      <c r="I30" s="118">
        <f ca="1">SUMIF('8b-Glas kosten totaal'!B:B,A30,'8b-Glas kosten totaal'!M:M)</f>
        <v>0</v>
      </c>
      <c r="J30" s="234">
        <f>'9-Machinekosten'!$P$39/'2-Kosten per locatie'!$D$85*'2-Kosten per locatie'!D30</f>
        <v>0</v>
      </c>
      <c r="K30" s="234">
        <f>SUMIF('10a-Periodieke beurt'!A:A,A30,'10a-Periodieke beurt'!M:M)</f>
        <v>0</v>
      </c>
      <c r="L30" s="629"/>
      <c r="M30" s="150">
        <f>SUMIF('12-Gelijkrichter stations'!$A$15:$A$31,A30,'12-Gelijkrichter stations'!$L$15:$L$31)</f>
        <v>0</v>
      </c>
      <c r="N30" s="150" t="e">
        <f>SUMIF('13- Technischeruimten'!$A$18:$A$68,A30,'13- Technischeruimten'!$H$18:$H$68)</f>
        <v>#DIV/0!</v>
      </c>
      <c r="O30" s="236" t="e">
        <f t="shared" si="0"/>
        <v>#DIV/0!</v>
      </c>
    </row>
    <row r="31" spans="1:15">
      <c r="A31" s="28">
        <v>119</v>
      </c>
      <c r="B31" s="28" t="s">
        <v>310</v>
      </c>
      <c r="C31" s="28" t="s">
        <v>22</v>
      </c>
      <c r="D31" s="410">
        <f>SUMIF('3-Ruimtestaat'!B:B,A31,'3-Ruimtestaat'!I:I)</f>
        <v>2153</v>
      </c>
      <c r="E31" s="150" t="e">
        <f>SUMIF('4-Reinigen vloeren'!A:A,A31,'4-Reinigen vloeren'!N:N)</f>
        <v>#DIV/0!</v>
      </c>
      <c r="F31" s="234">
        <f>SUMIF('5-Aanvullend'!A:A,A31,'5-Aanvullend'!J:J)</f>
        <v>0</v>
      </c>
      <c r="G31" s="150">
        <f>SUMIF('6-Liftbodems'!A:A,A31,'6-Liftbodems'!J:J)</f>
        <v>0</v>
      </c>
      <c r="H31" s="235">
        <f>SUMIF('7-Geveldelen  en wanden'!A:A,A31,'7-Geveldelen  en wanden'!J:J)</f>
        <v>0</v>
      </c>
      <c r="I31" s="118">
        <f ca="1">SUMIF('8b-Glas kosten totaal'!B:B,A31,'8b-Glas kosten totaal'!M:M)</f>
        <v>0</v>
      </c>
      <c r="J31" s="234">
        <f>'9-Machinekosten'!$P$39/'2-Kosten per locatie'!$D$85*'2-Kosten per locatie'!D31</f>
        <v>0</v>
      </c>
      <c r="K31" s="234">
        <f>SUMIF('10a-Periodieke beurt'!A:A,A31,'10a-Periodieke beurt'!M:M)</f>
        <v>0</v>
      </c>
      <c r="L31" s="629"/>
      <c r="M31" s="150">
        <f>SUMIF('12-Gelijkrichter stations'!$A$15:$A$31,A31,'12-Gelijkrichter stations'!$L$15:$L$31)</f>
        <v>0</v>
      </c>
      <c r="N31" s="150" t="e">
        <f>SUMIF('13- Technischeruimten'!$A$18:$A$68,A31,'13- Technischeruimten'!$H$18:$H$68)</f>
        <v>#DIV/0!</v>
      </c>
      <c r="O31" s="236" t="e">
        <f t="shared" si="0"/>
        <v>#DIV/0!</v>
      </c>
    </row>
    <row r="32" spans="1:15">
      <c r="A32" s="28">
        <v>120</v>
      </c>
      <c r="B32" s="28" t="s">
        <v>300</v>
      </c>
      <c r="C32" s="28" t="s">
        <v>22</v>
      </c>
      <c r="D32" s="410">
        <f>SUMIF('3-Ruimtestaat'!B:B,A32,'3-Ruimtestaat'!I:I)</f>
        <v>2486</v>
      </c>
      <c r="E32" s="150" t="e">
        <f>SUMIF('4-Reinigen vloeren'!A:A,A32,'4-Reinigen vloeren'!N:N)</f>
        <v>#DIV/0!</v>
      </c>
      <c r="F32" s="234">
        <f>SUMIF('5-Aanvullend'!A:A,A32,'5-Aanvullend'!J:J)</f>
        <v>0</v>
      </c>
      <c r="G32" s="150">
        <f>SUMIF('6-Liftbodems'!A:A,A32,'6-Liftbodems'!J:J)</f>
        <v>0</v>
      </c>
      <c r="H32" s="235">
        <f>SUMIF('7-Geveldelen  en wanden'!A:A,A32,'7-Geveldelen  en wanden'!J:J)</f>
        <v>0</v>
      </c>
      <c r="I32" s="118">
        <f ca="1">SUMIF('8b-Glas kosten totaal'!B:B,A32,'8b-Glas kosten totaal'!M:M)</f>
        <v>0</v>
      </c>
      <c r="J32" s="234">
        <f>'9-Machinekosten'!$P$39/'2-Kosten per locatie'!$D$85*'2-Kosten per locatie'!D32</f>
        <v>0</v>
      </c>
      <c r="K32" s="234">
        <f>SUMIF('10a-Periodieke beurt'!A:A,A32,'10a-Periodieke beurt'!M:M)</f>
        <v>0</v>
      </c>
      <c r="L32" s="629"/>
      <c r="M32" s="150">
        <f>SUMIF('12-Gelijkrichter stations'!$A$15:$A$31,A32,'12-Gelijkrichter stations'!$L$15:$L$31)</f>
        <v>0</v>
      </c>
      <c r="N32" s="150" t="e">
        <f>SUMIF('13- Technischeruimten'!$A$18:$A$68,A32,'13- Technischeruimten'!$H$18:$H$68)</f>
        <v>#DIV/0!</v>
      </c>
      <c r="O32" s="236" t="e">
        <f t="shared" si="0"/>
        <v>#DIV/0!</v>
      </c>
    </row>
    <row r="33" spans="1:15">
      <c r="A33" s="28">
        <v>121</v>
      </c>
      <c r="B33" s="28" t="s">
        <v>181</v>
      </c>
      <c r="C33" s="28" t="s">
        <v>22</v>
      </c>
      <c r="D33" s="410">
        <f>SUMIF('3-Ruimtestaat'!B:B,A33,'3-Ruimtestaat'!I:I)</f>
        <v>2055.34</v>
      </c>
      <c r="E33" s="150" t="e">
        <f>SUMIF('4-Reinigen vloeren'!A:A,A33,'4-Reinigen vloeren'!N:N)</f>
        <v>#DIV/0!</v>
      </c>
      <c r="F33" s="234">
        <f>SUMIF('5-Aanvullend'!A:A,A33,'5-Aanvullend'!J:J)</f>
        <v>0</v>
      </c>
      <c r="G33" s="150">
        <f>SUMIF('6-Liftbodems'!A:A,A33,'6-Liftbodems'!J:J)</f>
        <v>0</v>
      </c>
      <c r="H33" s="235">
        <f>SUMIF('7-Geveldelen  en wanden'!A:A,A33,'7-Geveldelen  en wanden'!J:J)</f>
        <v>0</v>
      </c>
      <c r="I33" s="118">
        <f ca="1">SUMIF('8b-Glas kosten totaal'!B:B,A33,'8b-Glas kosten totaal'!M:M)</f>
        <v>0</v>
      </c>
      <c r="J33" s="234">
        <f>'9-Machinekosten'!$P$39/'2-Kosten per locatie'!$D$85*'2-Kosten per locatie'!D33</f>
        <v>0</v>
      </c>
      <c r="K33" s="234">
        <f>SUMIF('10a-Periodieke beurt'!A:A,A33,'10a-Periodieke beurt'!M:M)</f>
        <v>0</v>
      </c>
      <c r="L33" s="629"/>
      <c r="M33" s="150">
        <f>SUMIF('12-Gelijkrichter stations'!$A$15:$A$31,A33,'12-Gelijkrichter stations'!$L$15:$L$31)</f>
        <v>0</v>
      </c>
      <c r="N33" s="150" t="e">
        <f>SUMIF('13- Technischeruimten'!$A$18:$A$68,A33,'13- Technischeruimten'!$H$18:$H$68)</f>
        <v>#DIV/0!</v>
      </c>
      <c r="O33" s="236" t="e">
        <f t="shared" si="0"/>
        <v>#DIV/0!</v>
      </c>
    </row>
    <row r="34" spans="1:15">
      <c r="A34" s="28">
        <v>1001</v>
      </c>
      <c r="B34" s="28" t="s">
        <v>1038</v>
      </c>
      <c r="C34" s="28" t="s">
        <v>1042</v>
      </c>
      <c r="D34" s="410">
        <f>SUMIF('3-Ruimtestaat'!B:B,A34,'3-Ruimtestaat'!I:I)</f>
        <v>458</v>
      </c>
      <c r="E34" s="150">
        <f>SUMIF('4-Reinigen vloeren'!A:A,A34,'4-Reinigen vloeren'!N:N)</f>
        <v>0</v>
      </c>
      <c r="F34" s="234">
        <f>SUMIF('5-Aanvullend'!A:A,A34,'5-Aanvullend'!J:J)</f>
        <v>0</v>
      </c>
      <c r="G34" s="150">
        <f>SUMIF('6-Liftbodems'!A:A,A34,'6-Liftbodems'!J:J)</f>
        <v>0</v>
      </c>
      <c r="H34" s="235">
        <f>SUMIF('7-Geveldelen  en wanden'!A:A,A34,'7-Geveldelen  en wanden'!J:J)</f>
        <v>0</v>
      </c>
      <c r="I34" s="118">
        <f ca="1">SUMIF('8b-Glas kosten totaal'!B:B,A34,'8b-Glas kosten totaal'!M:M)</f>
        <v>0</v>
      </c>
      <c r="J34" s="234">
        <f>'9-Machinekosten'!$P$39/'2-Kosten per locatie'!$D$85*'2-Kosten per locatie'!D34</f>
        <v>0</v>
      </c>
      <c r="K34" s="234">
        <f>SUMIF('10a-Periodieke beurt'!A:A,A34,'10a-Periodieke beurt'!M:M)</f>
        <v>0</v>
      </c>
      <c r="L34" s="629"/>
      <c r="M34" s="150">
        <f>SUMIF('12-Gelijkrichter stations'!$A$15:$A$31,A34,'12-Gelijkrichter stations'!$L$15:$L$31)</f>
        <v>0</v>
      </c>
      <c r="N34" s="150" t="e">
        <f>SUMIF('13- Technischeruimten'!$A$18:$A$68,A34,'13- Technischeruimten'!$H$18:$H$68)</f>
        <v>#DIV/0!</v>
      </c>
      <c r="O34" s="236" t="e">
        <f t="shared" ca="1" si="0"/>
        <v>#DIV/0!</v>
      </c>
    </row>
    <row r="35" spans="1:15">
      <c r="A35" s="28">
        <v>1002</v>
      </c>
      <c r="B35" s="28" t="s">
        <v>1069</v>
      </c>
      <c r="C35" s="28" t="s">
        <v>1042</v>
      </c>
      <c r="D35" s="410">
        <f>SUMIF('3-Ruimtestaat'!B:B,A35,'3-Ruimtestaat'!I:I)</f>
        <v>2304.3000000000002</v>
      </c>
      <c r="E35" s="150">
        <f>SUMIF('4-Reinigen vloeren'!A:A,A35,'4-Reinigen vloeren'!N:N)</f>
        <v>0</v>
      </c>
      <c r="F35" s="234">
        <f>SUMIF('5-Aanvullend'!A:A,A35,'5-Aanvullend'!J:J)</f>
        <v>0</v>
      </c>
      <c r="G35" s="150">
        <f>SUMIF('6-Liftbodems'!A:A,A35,'6-Liftbodems'!J:J)</f>
        <v>0</v>
      </c>
      <c r="H35" s="235">
        <f>SUMIF('7-Geveldelen  en wanden'!A:A,A35,'7-Geveldelen  en wanden'!J:J)</f>
        <v>0</v>
      </c>
      <c r="I35" s="118">
        <f ca="1">SUMIF('8b-Glas kosten totaal'!B:B,A35,'8b-Glas kosten totaal'!M:M)</f>
        <v>0</v>
      </c>
      <c r="J35" s="234">
        <f>'9-Machinekosten'!$P$39/'2-Kosten per locatie'!$D$85*'2-Kosten per locatie'!D35</f>
        <v>0</v>
      </c>
      <c r="K35" s="234">
        <f>SUMIF('10a-Periodieke beurt'!A:A,A35,'10a-Periodieke beurt'!M:M)</f>
        <v>0</v>
      </c>
      <c r="L35" s="629"/>
      <c r="M35" s="150">
        <f>SUMIF('12-Gelijkrichter stations'!$A$15:$A$31,A35,'12-Gelijkrichter stations'!$L$15:$L$31)</f>
        <v>0</v>
      </c>
      <c r="N35" s="150" t="e">
        <f>SUMIF('13- Technischeruimten'!$A$18:$A$68,A35,'13- Technischeruimten'!$H$18:$H$68)</f>
        <v>#DIV/0!</v>
      </c>
      <c r="O35" s="236" t="e">
        <f t="shared" ca="1" si="0"/>
        <v>#DIV/0!</v>
      </c>
    </row>
    <row r="36" spans="1:15">
      <c r="A36" s="53">
        <v>201</v>
      </c>
      <c r="B36" s="53" t="s">
        <v>1536</v>
      </c>
      <c r="C36" s="53" t="s">
        <v>1403</v>
      </c>
      <c r="D36" s="410">
        <f>SUMIF('3-Ruimtestaat'!B:B,A36,'3-Ruimtestaat'!I:I)</f>
        <v>507</v>
      </c>
      <c r="E36" s="150">
        <f>SUMIF('4-Reinigen vloeren'!A:A,A36,'4-Reinigen vloeren'!N:N)</f>
        <v>0</v>
      </c>
      <c r="F36" s="234">
        <f>SUMIF('5-Aanvullend'!A:A,A36,'5-Aanvullend'!J:J)</f>
        <v>0</v>
      </c>
      <c r="G36" s="150">
        <f>SUMIF('6-Liftbodems'!A:A,A36,'6-Liftbodems'!J:J)</f>
        <v>0</v>
      </c>
      <c r="H36" s="235">
        <f>SUMIF('7-Geveldelen  en wanden'!A:A,A36,'7-Geveldelen  en wanden'!J:J)</f>
        <v>0</v>
      </c>
      <c r="I36" s="118">
        <f ca="1">SUMIF('8b-Glas kosten totaal'!B:B,A36,'8b-Glas kosten totaal'!M:M)</f>
        <v>0</v>
      </c>
      <c r="J36" s="234">
        <f>'9-Machinekosten'!$P$39/'2-Kosten per locatie'!$D$85*'2-Kosten per locatie'!D36</f>
        <v>0</v>
      </c>
      <c r="K36" s="234">
        <f>SUMIF('10a-Periodieke beurt'!A:A,A36,'10a-Periodieke beurt'!M:M)</f>
        <v>0</v>
      </c>
      <c r="L36" s="629"/>
      <c r="M36" s="150">
        <f>SUMIF('12-Gelijkrichter stations'!$A$15:$A$31,A36,'12-Gelijkrichter stations'!$L$15:$L$31)</f>
        <v>0</v>
      </c>
      <c r="N36" s="150" t="e">
        <f>SUMIF('13- Technischeruimten'!$A$18:$A$68,A36,'13- Technischeruimten'!$H$18:$H$68)</f>
        <v>#DIV/0!</v>
      </c>
      <c r="O36" s="236" t="e">
        <f t="shared" ca="1" si="0"/>
        <v>#DIV/0!</v>
      </c>
    </row>
    <row r="37" spans="1:15">
      <c r="A37" s="53">
        <v>202</v>
      </c>
      <c r="B37" s="53" t="s">
        <v>1404</v>
      </c>
      <c r="C37" s="53" t="s">
        <v>1403</v>
      </c>
      <c r="D37" s="410">
        <f>SUMIF('3-Ruimtestaat'!B:B,A37,'3-Ruimtestaat'!I:I)</f>
        <v>671</v>
      </c>
      <c r="E37" s="150">
        <f>SUMIF('4-Reinigen vloeren'!A:A,A37,'4-Reinigen vloeren'!N:N)</f>
        <v>0</v>
      </c>
      <c r="F37" s="234">
        <f>SUMIF('5-Aanvullend'!A:A,A37,'5-Aanvullend'!J:J)</f>
        <v>0</v>
      </c>
      <c r="G37" s="150">
        <f>SUMIF('6-Liftbodems'!A:A,A37,'6-Liftbodems'!J:J)</f>
        <v>0</v>
      </c>
      <c r="H37" s="235">
        <f>SUMIF('7-Geveldelen  en wanden'!A:A,A37,'7-Geveldelen  en wanden'!J:J)</f>
        <v>0</v>
      </c>
      <c r="I37" s="118">
        <f ca="1">SUMIF('8b-Glas kosten totaal'!B:B,A37,'8b-Glas kosten totaal'!M:M)</f>
        <v>0</v>
      </c>
      <c r="J37" s="234">
        <f>'9-Machinekosten'!$P$39/'2-Kosten per locatie'!$D$85*'2-Kosten per locatie'!D37</f>
        <v>0</v>
      </c>
      <c r="K37" s="234">
        <f>SUMIF('10a-Periodieke beurt'!A:A,A37,'10a-Periodieke beurt'!M:M)</f>
        <v>0</v>
      </c>
      <c r="L37" s="629"/>
      <c r="M37" s="150">
        <f>SUMIF('12-Gelijkrichter stations'!$A$15:$A$31,A37,'12-Gelijkrichter stations'!$L$15:$L$31)</f>
        <v>0</v>
      </c>
      <c r="N37" s="150" t="e">
        <f>SUMIF('13- Technischeruimten'!$A$18:$A$68,A37,'13- Technischeruimten'!$H$18:$H$68)</f>
        <v>#DIV/0!</v>
      </c>
      <c r="O37" s="236" t="e">
        <f t="shared" ca="1" si="0"/>
        <v>#DIV/0!</v>
      </c>
    </row>
    <row r="38" spans="1:15">
      <c r="A38" s="53">
        <v>203</v>
      </c>
      <c r="B38" s="53" t="s">
        <v>1405</v>
      </c>
      <c r="C38" s="53" t="s">
        <v>1403</v>
      </c>
      <c r="D38" s="410">
        <f>SUMIF('3-Ruimtestaat'!B:B,A38,'3-Ruimtestaat'!I:I)</f>
        <v>589</v>
      </c>
      <c r="E38" s="150">
        <f>SUMIF('4-Reinigen vloeren'!A:A,A38,'4-Reinigen vloeren'!N:N)</f>
        <v>0</v>
      </c>
      <c r="F38" s="234">
        <f>SUMIF('5-Aanvullend'!A:A,A38,'5-Aanvullend'!J:J)</f>
        <v>0</v>
      </c>
      <c r="G38" s="150">
        <f>SUMIF('6-Liftbodems'!A:A,A38,'6-Liftbodems'!J:J)</f>
        <v>0</v>
      </c>
      <c r="H38" s="235">
        <f>SUMIF('7-Geveldelen  en wanden'!A:A,A38,'7-Geveldelen  en wanden'!J:J)</f>
        <v>0</v>
      </c>
      <c r="I38" s="118">
        <f ca="1">SUMIF('8b-Glas kosten totaal'!B:B,A38,'8b-Glas kosten totaal'!M:M)</f>
        <v>0</v>
      </c>
      <c r="J38" s="234">
        <f>'9-Machinekosten'!$P$39/'2-Kosten per locatie'!$D$85*'2-Kosten per locatie'!D38</f>
        <v>0</v>
      </c>
      <c r="K38" s="234">
        <f>SUMIF('10a-Periodieke beurt'!A:A,A38,'10a-Periodieke beurt'!M:M)</f>
        <v>0</v>
      </c>
      <c r="L38" s="629"/>
      <c r="M38" s="150">
        <f>SUMIF('12-Gelijkrichter stations'!$A$15:$A$31,A38,'12-Gelijkrichter stations'!$L$15:$L$31)</f>
        <v>0</v>
      </c>
      <c r="N38" s="150" t="e">
        <f>SUMIF('13- Technischeruimten'!$A$18:$A$68,A38,'13- Technischeruimten'!$H$18:$H$68)</f>
        <v>#DIV/0!</v>
      </c>
      <c r="O38" s="236" t="e">
        <f t="shared" ca="1" si="0"/>
        <v>#DIV/0!</v>
      </c>
    </row>
    <row r="39" spans="1:15">
      <c r="A39" s="53">
        <v>204</v>
      </c>
      <c r="B39" s="53" t="s">
        <v>1406</v>
      </c>
      <c r="C39" s="53" t="s">
        <v>1403</v>
      </c>
      <c r="D39" s="410">
        <f>SUMIF('3-Ruimtestaat'!B:B,A39,'3-Ruimtestaat'!I:I)</f>
        <v>662</v>
      </c>
      <c r="E39" s="150">
        <f>SUMIF('4-Reinigen vloeren'!A:A,A39,'4-Reinigen vloeren'!N:N)</f>
        <v>0</v>
      </c>
      <c r="F39" s="234">
        <f>SUMIF('5-Aanvullend'!A:A,A39,'5-Aanvullend'!J:J)</f>
        <v>0</v>
      </c>
      <c r="G39" s="150">
        <f>SUMIF('6-Liftbodems'!A:A,A39,'6-Liftbodems'!J:J)</f>
        <v>0</v>
      </c>
      <c r="H39" s="235">
        <f>SUMIF('7-Geveldelen  en wanden'!A:A,A39,'7-Geveldelen  en wanden'!J:J)</f>
        <v>0</v>
      </c>
      <c r="I39" s="118">
        <f ca="1">SUMIF('8b-Glas kosten totaal'!B:B,A39,'8b-Glas kosten totaal'!M:M)</f>
        <v>0</v>
      </c>
      <c r="J39" s="234">
        <f>'9-Machinekosten'!$P$39/'2-Kosten per locatie'!$D$85*'2-Kosten per locatie'!D39</f>
        <v>0</v>
      </c>
      <c r="K39" s="234">
        <f>SUMIF('10a-Periodieke beurt'!A:A,A39,'10a-Periodieke beurt'!M:M)</f>
        <v>0</v>
      </c>
      <c r="L39" s="629"/>
      <c r="M39" s="150">
        <f>SUMIF('12-Gelijkrichter stations'!$A$15:$A$31,A39,'12-Gelijkrichter stations'!$L$15:$L$31)</f>
        <v>0</v>
      </c>
      <c r="N39" s="150" t="e">
        <f>SUMIF('13- Technischeruimten'!$A$18:$A$68,A39,'13- Technischeruimten'!$H$18:$H$68)</f>
        <v>#DIV/0!</v>
      </c>
      <c r="O39" s="236" t="e">
        <f t="shared" ca="1" si="0"/>
        <v>#DIV/0!</v>
      </c>
    </row>
    <row r="40" spans="1:15">
      <c r="A40" s="53">
        <v>205</v>
      </c>
      <c r="B40" s="53" t="s">
        <v>1407</v>
      </c>
      <c r="C40" s="53" t="s">
        <v>1403</v>
      </c>
      <c r="D40" s="410">
        <f>SUMIF('3-Ruimtestaat'!B:B,A40,'3-Ruimtestaat'!I:I)</f>
        <v>662</v>
      </c>
      <c r="E40" s="150">
        <f>SUMIF('4-Reinigen vloeren'!A:A,A40,'4-Reinigen vloeren'!N:N)</f>
        <v>0</v>
      </c>
      <c r="F40" s="234">
        <f>SUMIF('5-Aanvullend'!A:A,A40,'5-Aanvullend'!J:J)</f>
        <v>0</v>
      </c>
      <c r="G40" s="150">
        <f>SUMIF('6-Liftbodems'!A:A,A40,'6-Liftbodems'!J:J)</f>
        <v>0</v>
      </c>
      <c r="H40" s="235">
        <f>SUMIF('7-Geveldelen  en wanden'!A:A,A40,'7-Geveldelen  en wanden'!J:J)</f>
        <v>0</v>
      </c>
      <c r="I40" s="118">
        <f ca="1">SUMIF('8b-Glas kosten totaal'!B:B,A40,'8b-Glas kosten totaal'!M:M)</f>
        <v>0</v>
      </c>
      <c r="J40" s="234">
        <f>'9-Machinekosten'!$P$39/'2-Kosten per locatie'!$D$85*'2-Kosten per locatie'!D40</f>
        <v>0</v>
      </c>
      <c r="K40" s="234">
        <f>SUMIF('10a-Periodieke beurt'!A:A,A40,'10a-Periodieke beurt'!M:M)</f>
        <v>0</v>
      </c>
      <c r="L40" s="629"/>
      <c r="M40" s="150">
        <f>SUMIF('12-Gelijkrichter stations'!$A$15:$A$31,A40,'12-Gelijkrichter stations'!$L$15:$L$31)</f>
        <v>0</v>
      </c>
      <c r="N40" s="150" t="e">
        <f>SUMIF('13- Technischeruimten'!$A$18:$A$68,A40,'13- Technischeruimten'!$H$18:$H$68)</f>
        <v>#DIV/0!</v>
      </c>
      <c r="O40" s="236" t="e">
        <f t="shared" ca="1" si="0"/>
        <v>#DIV/0!</v>
      </c>
    </row>
    <row r="41" spans="1:15">
      <c r="A41" s="53">
        <v>206</v>
      </c>
      <c r="B41" s="53" t="s">
        <v>1408</v>
      </c>
      <c r="C41" s="53" t="s">
        <v>1403</v>
      </c>
      <c r="D41" s="410">
        <f>SUMIF('3-Ruimtestaat'!B:B,A41,'3-Ruimtestaat'!I:I)</f>
        <v>530</v>
      </c>
      <c r="E41" s="150">
        <f>SUMIF('4-Reinigen vloeren'!A:A,A41,'4-Reinigen vloeren'!N:N)</f>
        <v>0</v>
      </c>
      <c r="F41" s="234">
        <f>SUMIF('5-Aanvullend'!A:A,A41,'5-Aanvullend'!J:J)</f>
        <v>0</v>
      </c>
      <c r="G41" s="150">
        <f>SUMIF('6-Liftbodems'!A:A,A41,'6-Liftbodems'!J:J)</f>
        <v>0</v>
      </c>
      <c r="H41" s="235">
        <f>SUMIF('7-Geveldelen  en wanden'!A:A,A41,'7-Geveldelen  en wanden'!J:J)</f>
        <v>0</v>
      </c>
      <c r="I41" s="118">
        <f ca="1">SUMIF('8b-Glas kosten totaal'!B:B,A41,'8b-Glas kosten totaal'!M:M)</f>
        <v>0</v>
      </c>
      <c r="J41" s="234">
        <f>'9-Machinekosten'!$P$39/'2-Kosten per locatie'!$D$85*'2-Kosten per locatie'!D41</f>
        <v>0</v>
      </c>
      <c r="K41" s="234">
        <f>SUMIF('10a-Periodieke beurt'!A:A,A41,'10a-Periodieke beurt'!M:M)</f>
        <v>0</v>
      </c>
      <c r="L41" s="629"/>
      <c r="M41" s="150">
        <f>SUMIF('12-Gelijkrichter stations'!$A$15:$A$31,A41,'12-Gelijkrichter stations'!$L$15:$L$31)</f>
        <v>0</v>
      </c>
      <c r="N41" s="150" t="e">
        <f>SUMIF('13- Technischeruimten'!$A$18:$A$68,A41,'13- Technischeruimten'!$H$18:$H$68)</f>
        <v>#DIV/0!</v>
      </c>
      <c r="O41" s="236" t="e">
        <f t="shared" ca="1" si="0"/>
        <v>#DIV/0!</v>
      </c>
    </row>
    <row r="42" spans="1:15">
      <c r="A42" s="53">
        <v>207</v>
      </c>
      <c r="B42" s="53" t="s">
        <v>1409</v>
      </c>
      <c r="C42" s="53" t="s">
        <v>1403</v>
      </c>
      <c r="D42" s="410">
        <f>SUMIF('3-Ruimtestaat'!B:B,A42,'3-Ruimtestaat'!I:I)</f>
        <v>600</v>
      </c>
      <c r="E42" s="150">
        <f>SUMIF('4-Reinigen vloeren'!A:A,A42,'4-Reinigen vloeren'!N:N)</f>
        <v>0</v>
      </c>
      <c r="F42" s="234">
        <f>SUMIF('5-Aanvullend'!A:A,A42,'5-Aanvullend'!J:J)</f>
        <v>0</v>
      </c>
      <c r="G42" s="150">
        <f>SUMIF('6-Liftbodems'!A:A,A42,'6-Liftbodems'!J:J)</f>
        <v>0</v>
      </c>
      <c r="H42" s="235">
        <f>SUMIF('7-Geveldelen  en wanden'!A:A,A42,'7-Geveldelen  en wanden'!J:J)</f>
        <v>0</v>
      </c>
      <c r="I42" s="118">
        <f ca="1">SUMIF('8b-Glas kosten totaal'!B:B,A42,'8b-Glas kosten totaal'!M:M)</f>
        <v>0</v>
      </c>
      <c r="J42" s="234">
        <f>'9-Machinekosten'!$P$39/'2-Kosten per locatie'!$D$85*'2-Kosten per locatie'!D42</f>
        <v>0</v>
      </c>
      <c r="K42" s="234">
        <f>SUMIF('10a-Periodieke beurt'!A:A,A42,'10a-Periodieke beurt'!M:M)</f>
        <v>0</v>
      </c>
      <c r="L42" s="629"/>
      <c r="M42" s="150">
        <f>SUMIF('12-Gelijkrichter stations'!$A$15:$A$31,A42,'12-Gelijkrichter stations'!$L$15:$L$31)</f>
        <v>0</v>
      </c>
      <c r="N42" s="150" t="e">
        <f>SUMIF('13- Technischeruimten'!$A$18:$A$68,A42,'13- Technischeruimten'!$H$18:$H$68)</f>
        <v>#DIV/0!</v>
      </c>
      <c r="O42" s="236" t="e">
        <f t="shared" ca="1" si="0"/>
        <v>#DIV/0!</v>
      </c>
    </row>
    <row r="43" spans="1:15">
      <c r="A43" s="53">
        <v>208</v>
      </c>
      <c r="B43" s="53" t="s">
        <v>1668</v>
      </c>
      <c r="C43" s="53" t="s">
        <v>1403</v>
      </c>
      <c r="D43" s="410">
        <f>SUMIF('3-Ruimtestaat'!B:B,A43,'3-Ruimtestaat'!I:I)</f>
        <v>609</v>
      </c>
      <c r="E43" s="150">
        <f>SUMIF('4-Reinigen vloeren'!A:A,A43,'4-Reinigen vloeren'!N:N)</f>
        <v>0</v>
      </c>
      <c r="F43" s="234">
        <f>SUMIF('5-Aanvullend'!A:A,A43,'5-Aanvullend'!J:J)</f>
        <v>0</v>
      </c>
      <c r="G43" s="150">
        <f>SUMIF('6-Liftbodems'!A:A,A43,'6-Liftbodems'!J:J)</f>
        <v>0</v>
      </c>
      <c r="H43" s="235">
        <f>SUMIF('7-Geveldelen  en wanden'!A:A,A43,'7-Geveldelen  en wanden'!J:J)</f>
        <v>0</v>
      </c>
      <c r="I43" s="118">
        <f ca="1">SUMIF('8b-Glas kosten totaal'!B:B,A43,'8b-Glas kosten totaal'!M:M)</f>
        <v>0</v>
      </c>
      <c r="J43" s="234">
        <f>'9-Machinekosten'!$P$39/'2-Kosten per locatie'!$D$85*'2-Kosten per locatie'!D43</f>
        <v>0</v>
      </c>
      <c r="K43" s="234">
        <f>SUMIF('10a-Periodieke beurt'!A:A,A43,'10a-Periodieke beurt'!M:M)</f>
        <v>0</v>
      </c>
      <c r="L43" s="629"/>
      <c r="M43" s="150">
        <f>SUMIF('12-Gelijkrichter stations'!$A$15:$A$31,A43,'12-Gelijkrichter stations'!$L$15:$L$31)</f>
        <v>0</v>
      </c>
      <c r="N43" s="150" t="e">
        <f>SUMIF('13- Technischeruimten'!$A$18:$A$68,A43,'13- Technischeruimten'!$H$18:$H$68)</f>
        <v>#DIV/0!</v>
      </c>
      <c r="O43" s="236" t="e">
        <f t="shared" ca="1" si="0"/>
        <v>#DIV/0!</v>
      </c>
    </row>
    <row r="44" spans="1:15">
      <c r="A44" s="53">
        <v>209</v>
      </c>
      <c r="B44" s="53" t="s">
        <v>1669</v>
      </c>
      <c r="C44" s="53" t="s">
        <v>1403</v>
      </c>
      <c r="D44" s="410">
        <f>SUMIF('3-Ruimtestaat'!B:B,A44,'3-Ruimtestaat'!I:I)</f>
        <v>903</v>
      </c>
      <c r="E44" s="150">
        <f>SUMIF('4-Reinigen vloeren'!A:A,A44,'4-Reinigen vloeren'!N:N)</f>
        <v>0</v>
      </c>
      <c r="F44" s="234">
        <f>SUMIF('5-Aanvullend'!A:A,A44,'5-Aanvullend'!J:J)</f>
        <v>0</v>
      </c>
      <c r="G44" s="150">
        <f>SUMIF('6-Liftbodems'!A:A,A44,'6-Liftbodems'!J:J)</f>
        <v>0</v>
      </c>
      <c r="H44" s="235">
        <f>SUMIF('7-Geveldelen  en wanden'!A:A,A44,'7-Geveldelen  en wanden'!J:J)</f>
        <v>0</v>
      </c>
      <c r="I44" s="118">
        <f ca="1">SUMIF('8b-Glas kosten totaal'!B:B,A44,'8b-Glas kosten totaal'!M:M)</f>
        <v>0</v>
      </c>
      <c r="J44" s="234">
        <f>'9-Machinekosten'!$P$39/'2-Kosten per locatie'!$D$85*'2-Kosten per locatie'!D44</f>
        <v>0</v>
      </c>
      <c r="K44" s="234">
        <f>SUMIF('10a-Periodieke beurt'!A:A,A44,'10a-Periodieke beurt'!M:M)</f>
        <v>0</v>
      </c>
      <c r="L44" s="629"/>
      <c r="M44" s="150">
        <f>SUMIF('12-Gelijkrichter stations'!$A$15:$A$31,A44,'12-Gelijkrichter stations'!$L$15:$L$31)</f>
        <v>0</v>
      </c>
      <c r="N44" s="150" t="e">
        <f>SUMIF('13- Technischeruimten'!$A$18:$A$68,A44,'13- Technischeruimten'!$H$18:$H$68)</f>
        <v>#DIV/0!</v>
      </c>
      <c r="O44" s="236" t="e">
        <f t="shared" ca="1" si="0"/>
        <v>#DIV/0!</v>
      </c>
    </row>
    <row r="45" spans="1:15">
      <c r="A45" s="53">
        <v>210</v>
      </c>
      <c r="B45" s="53" t="s">
        <v>1670</v>
      </c>
      <c r="C45" s="53" t="s">
        <v>1403</v>
      </c>
      <c r="D45" s="410">
        <f>SUMIF('3-Ruimtestaat'!B:B,A45,'3-Ruimtestaat'!I:I)</f>
        <v>662</v>
      </c>
      <c r="E45" s="150">
        <f>SUMIF('4-Reinigen vloeren'!A:A,A45,'4-Reinigen vloeren'!N:N)</f>
        <v>0</v>
      </c>
      <c r="F45" s="234">
        <f>SUMIF('5-Aanvullend'!A:A,A45,'5-Aanvullend'!J:J)</f>
        <v>0</v>
      </c>
      <c r="G45" s="150">
        <f>SUMIF('6-Liftbodems'!A:A,A45,'6-Liftbodems'!J:J)</f>
        <v>0</v>
      </c>
      <c r="H45" s="235">
        <f>SUMIF('7-Geveldelen  en wanden'!A:A,A45,'7-Geveldelen  en wanden'!J:J)</f>
        <v>0</v>
      </c>
      <c r="I45" s="118">
        <f ca="1">SUMIF('8b-Glas kosten totaal'!B:B,A45,'8b-Glas kosten totaal'!M:M)</f>
        <v>0</v>
      </c>
      <c r="J45" s="234">
        <f>'9-Machinekosten'!$P$39/'2-Kosten per locatie'!$D$85*'2-Kosten per locatie'!D45</f>
        <v>0</v>
      </c>
      <c r="K45" s="234">
        <f>SUMIF('10a-Periodieke beurt'!A:A,A45,'10a-Periodieke beurt'!M:M)</f>
        <v>0</v>
      </c>
      <c r="L45" s="629"/>
      <c r="M45" s="150">
        <f>SUMIF('12-Gelijkrichter stations'!$A$15:$A$31,A45,'12-Gelijkrichter stations'!$L$15:$L$31)</f>
        <v>0</v>
      </c>
      <c r="N45" s="150" t="e">
        <f>SUMIF('13- Technischeruimten'!$A$18:$A$68,A45,'13- Technischeruimten'!$H$18:$H$68)</f>
        <v>#DIV/0!</v>
      </c>
      <c r="O45" s="236" t="e">
        <f t="shared" ca="1" si="0"/>
        <v>#DIV/0!</v>
      </c>
    </row>
    <row r="46" spans="1:15">
      <c r="A46" s="53">
        <v>211</v>
      </c>
      <c r="B46" s="53" t="s">
        <v>1671</v>
      </c>
      <c r="C46" s="53" t="s">
        <v>1403</v>
      </c>
      <c r="D46" s="410">
        <f>SUMIF('3-Ruimtestaat'!B:B,A46,'3-Ruimtestaat'!I:I)</f>
        <v>398</v>
      </c>
      <c r="E46" s="150">
        <f>SUMIF('4-Reinigen vloeren'!A:A,A46,'4-Reinigen vloeren'!N:N)</f>
        <v>0</v>
      </c>
      <c r="F46" s="234">
        <f>SUMIF('5-Aanvullend'!A:A,A46,'5-Aanvullend'!J:J)</f>
        <v>0</v>
      </c>
      <c r="G46" s="150">
        <f>SUMIF('6-Liftbodems'!A:A,A46,'6-Liftbodems'!J:J)</f>
        <v>0</v>
      </c>
      <c r="H46" s="235">
        <f>SUMIF('7-Geveldelen  en wanden'!A:A,A46,'7-Geveldelen  en wanden'!J:J)</f>
        <v>0</v>
      </c>
      <c r="I46" s="118">
        <f ca="1">SUMIF('8b-Glas kosten totaal'!B:B,A46,'8b-Glas kosten totaal'!M:M)</f>
        <v>0</v>
      </c>
      <c r="J46" s="234">
        <f>'9-Machinekosten'!$P$39/'2-Kosten per locatie'!$D$85*'2-Kosten per locatie'!D46</f>
        <v>0</v>
      </c>
      <c r="K46" s="234">
        <f>SUMIF('10a-Periodieke beurt'!A:A,A46,'10a-Periodieke beurt'!M:M)</f>
        <v>0</v>
      </c>
      <c r="L46" s="629"/>
      <c r="M46" s="150">
        <f>SUMIF('12-Gelijkrichter stations'!$A$15:$A$31,A46,'12-Gelijkrichter stations'!$L$15:$L$31)</f>
        <v>0</v>
      </c>
      <c r="N46" s="150" t="e">
        <f>SUMIF('13- Technischeruimten'!$A$18:$A$68,A46,'13- Technischeruimten'!$H$18:$H$68)</f>
        <v>#DIV/0!</v>
      </c>
      <c r="O46" s="236" t="e">
        <f t="shared" ref="O46:O77" ca="1" si="1">SUM(E46:N46)</f>
        <v>#DIV/0!</v>
      </c>
    </row>
    <row r="47" spans="1:15">
      <c r="A47" s="53">
        <v>212</v>
      </c>
      <c r="B47" s="53" t="s">
        <v>1672</v>
      </c>
      <c r="C47" s="53" t="s">
        <v>1403</v>
      </c>
      <c r="D47" s="410">
        <f>SUMIF('3-Ruimtestaat'!B:B,A47,'3-Ruimtestaat'!I:I)</f>
        <v>378</v>
      </c>
      <c r="E47" s="150">
        <f>SUMIF('4-Reinigen vloeren'!A:A,A47,'4-Reinigen vloeren'!N:N)</f>
        <v>0</v>
      </c>
      <c r="F47" s="234">
        <f>SUMIF('5-Aanvullend'!A:A,A47,'5-Aanvullend'!J:J)</f>
        <v>0</v>
      </c>
      <c r="G47" s="150">
        <f>SUMIF('6-Liftbodems'!A:A,A47,'6-Liftbodems'!J:J)</f>
        <v>0</v>
      </c>
      <c r="H47" s="235">
        <f>SUMIF('7-Geveldelen  en wanden'!A:A,A47,'7-Geveldelen  en wanden'!J:J)</f>
        <v>0</v>
      </c>
      <c r="I47" s="118">
        <f ca="1">SUMIF('8b-Glas kosten totaal'!B:B,A47,'8b-Glas kosten totaal'!M:M)</f>
        <v>0</v>
      </c>
      <c r="J47" s="234">
        <f>'9-Machinekosten'!$P$39/'2-Kosten per locatie'!$D$85*'2-Kosten per locatie'!D47</f>
        <v>0</v>
      </c>
      <c r="K47" s="234">
        <f>SUMIF('10a-Periodieke beurt'!A:A,A47,'10a-Periodieke beurt'!M:M)</f>
        <v>0</v>
      </c>
      <c r="L47" s="629"/>
      <c r="M47" s="150">
        <f>SUMIF('12-Gelijkrichter stations'!$A$15:$A$31,A47,'12-Gelijkrichter stations'!$L$15:$L$31)</f>
        <v>0</v>
      </c>
      <c r="N47" s="150" t="e">
        <f>SUMIF('13- Technischeruimten'!$A$18:$A$68,A47,'13- Technischeruimten'!$H$18:$H$68)</f>
        <v>#DIV/0!</v>
      </c>
      <c r="O47" s="236" t="e">
        <f t="shared" ca="1" si="1"/>
        <v>#DIV/0!</v>
      </c>
    </row>
    <row r="48" spans="1:15">
      <c r="A48" s="53">
        <v>213</v>
      </c>
      <c r="B48" s="53" t="s">
        <v>1673</v>
      </c>
      <c r="C48" s="53" t="s">
        <v>1403</v>
      </c>
      <c r="D48" s="410">
        <f>SUMIF('3-Ruimtestaat'!B:B,A48,'3-Ruimtestaat'!I:I)</f>
        <v>492</v>
      </c>
      <c r="E48" s="150">
        <f>SUMIF('4-Reinigen vloeren'!A:A,A48,'4-Reinigen vloeren'!N:N)</f>
        <v>0</v>
      </c>
      <c r="F48" s="234">
        <f>SUMIF('5-Aanvullend'!A:A,A48,'5-Aanvullend'!J:J)</f>
        <v>0</v>
      </c>
      <c r="G48" s="150">
        <f>SUMIF('6-Liftbodems'!A:A,A48,'6-Liftbodems'!J:J)</f>
        <v>0</v>
      </c>
      <c r="H48" s="235">
        <f>SUMIF('7-Geveldelen  en wanden'!A:A,A48,'7-Geveldelen  en wanden'!J:J)</f>
        <v>0</v>
      </c>
      <c r="I48" s="118">
        <f ca="1">SUMIF('8b-Glas kosten totaal'!B:B,A48,'8b-Glas kosten totaal'!M:M)</f>
        <v>0</v>
      </c>
      <c r="J48" s="234">
        <f>'9-Machinekosten'!$P$39/'2-Kosten per locatie'!$D$85*'2-Kosten per locatie'!D48</f>
        <v>0</v>
      </c>
      <c r="K48" s="234">
        <f>SUMIF('10a-Periodieke beurt'!A:A,A48,'10a-Periodieke beurt'!M:M)</f>
        <v>0</v>
      </c>
      <c r="L48" s="629"/>
      <c r="M48" s="150">
        <f>SUMIF('12-Gelijkrichter stations'!$A$15:$A$31,A48,'12-Gelijkrichter stations'!$L$15:$L$31)</f>
        <v>0</v>
      </c>
      <c r="N48" s="150" t="e">
        <f>SUMIF('13- Technischeruimten'!$A$18:$A$68,A48,'13- Technischeruimten'!$H$18:$H$68)</f>
        <v>#DIV/0!</v>
      </c>
      <c r="O48" s="236" t="e">
        <f t="shared" ca="1" si="1"/>
        <v>#DIV/0!</v>
      </c>
    </row>
    <row r="49" spans="1:15">
      <c r="A49" s="53">
        <v>214</v>
      </c>
      <c r="B49" s="53" t="s">
        <v>1674</v>
      </c>
      <c r="C49" s="53" t="s">
        <v>1403</v>
      </c>
      <c r="D49" s="410">
        <f>SUMIF('3-Ruimtestaat'!B:B,A49,'3-Ruimtestaat'!I:I)</f>
        <v>467</v>
      </c>
      <c r="E49" s="150">
        <f>SUMIF('4-Reinigen vloeren'!A:A,A49,'4-Reinigen vloeren'!N:N)</f>
        <v>0</v>
      </c>
      <c r="F49" s="234">
        <f>SUMIF('5-Aanvullend'!A:A,A49,'5-Aanvullend'!J:J)</f>
        <v>0</v>
      </c>
      <c r="G49" s="150">
        <f>SUMIF('6-Liftbodems'!A:A,A49,'6-Liftbodems'!J:J)</f>
        <v>0</v>
      </c>
      <c r="H49" s="235">
        <f>SUMIF('7-Geveldelen  en wanden'!A:A,A49,'7-Geveldelen  en wanden'!J:J)</f>
        <v>0</v>
      </c>
      <c r="I49" s="118">
        <f ca="1">SUMIF('8b-Glas kosten totaal'!B:B,A49,'8b-Glas kosten totaal'!M:M)</f>
        <v>0</v>
      </c>
      <c r="J49" s="234">
        <f>'9-Machinekosten'!$P$39/'2-Kosten per locatie'!$D$85*'2-Kosten per locatie'!D49</f>
        <v>0</v>
      </c>
      <c r="K49" s="234">
        <f>SUMIF('10a-Periodieke beurt'!A:A,A49,'10a-Periodieke beurt'!M:M)</f>
        <v>0</v>
      </c>
      <c r="L49" s="629"/>
      <c r="M49" s="150">
        <f>SUMIF('12-Gelijkrichter stations'!$A$15:$A$31,A49,'12-Gelijkrichter stations'!$L$15:$L$31)</f>
        <v>0</v>
      </c>
      <c r="N49" s="150" t="e">
        <f>SUMIF('13- Technischeruimten'!$A$18:$A$68,A49,'13- Technischeruimten'!$H$18:$H$68)</f>
        <v>#DIV/0!</v>
      </c>
      <c r="O49" s="236" t="e">
        <f t="shared" ca="1" si="1"/>
        <v>#DIV/0!</v>
      </c>
    </row>
    <row r="50" spans="1:15">
      <c r="A50" s="53">
        <v>215</v>
      </c>
      <c r="B50" s="53" t="s">
        <v>1675</v>
      </c>
      <c r="C50" s="53" t="s">
        <v>1403</v>
      </c>
      <c r="D50" s="410">
        <f>SUMIF('3-Ruimtestaat'!B:B,A50,'3-Ruimtestaat'!I:I)</f>
        <v>510</v>
      </c>
      <c r="E50" s="150">
        <f>SUMIF('4-Reinigen vloeren'!A:A,A50,'4-Reinigen vloeren'!N:N)</f>
        <v>0</v>
      </c>
      <c r="F50" s="234">
        <f>SUMIF('5-Aanvullend'!A:A,A50,'5-Aanvullend'!J:J)</f>
        <v>0</v>
      </c>
      <c r="G50" s="150">
        <f>SUMIF('6-Liftbodems'!A:A,A50,'6-Liftbodems'!J:J)</f>
        <v>0</v>
      </c>
      <c r="H50" s="235">
        <f>SUMIF('7-Geveldelen  en wanden'!A:A,A50,'7-Geveldelen  en wanden'!J:J)</f>
        <v>0</v>
      </c>
      <c r="I50" s="118">
        <f ca="1">SUMIF('8b-Glas kosten totaal'!B:B,A50,'8b-Glas kosten totaal'!M:M)</f>
        <v>0</v>
      </c>
      <c r="J50" s="234">
        <f>'9-Machinekosten'!$P$39/'2-Kosten per locatie'!$D$85*'2-Kosten per locatie'!D50</f>
        <v>0</v>
      </c>
      <c r="K50" s="234">
        <f>SUMIF('10a-Periodieke beurt'!A:A,A50,'10a-Periodieke beurt'!M:M)</f>
        <v>0</v>
      </c>
      <c r="L50" s="629"/>
      <c r="M50" s="150">
        <f>SUMIF('12-Gelijkrichter stations'!$A$15:$A$31,A50,'12-Gelijkrichter stations'!$L$15:$L$31)</f>
        <v>0</v>
      </c>
      <c r="N50" s="150" t="e">
        <f>SUMIF('13- Technischeruimten'!$A$18:$A$68,A50,'13- Technischeruimten'!$H$18:$H$68)</f>
        <v>#DIV/0!</v>
      </c>
      <c r="O50" s="236" t="e">
        <f t="shared" ca="1" si="1"/>
        <v>#DIV/0!</v>
      </c>
    </row>
    <row r="51" spans="1:15">
      <c r="A51" s="53">
        <v>301</v>
      </c>
      <c r="B51" s="53" t="s">
        <v>1410</v>
      </c>
      <c r="C51" s="53" t="s">
        <v>1394</v>
      </c>
      <c r="D51" s="410">
        <f>SUMIF('3-Ruimtestaat'!B:B,A51,'3-Ruimtestaat'!I:I)</f>
        <v>1893.5</v>
      </c>
      <c r="E51" s="150">
        <f>SUMIF('4-Reinigen vloeren'!A:A,A51,'4-Reinigen vloeren'!N:N)</f>
        <v>0</v>
      </c>
      <c r="F51" s="234">
        <f>SUMIF('5-Aanvullend'!A:A,A51,'5-Aanvullend'!J:J)</f>
        <v>0</v>
      </c>
      <c r="G51" s="150">
        <f>SUMIF('6-Liftbodems'!A:A,A51,'6-Liftbodems'!J:J)</f>
        <v>0</v>
      </c>
      <c r="H51" s="235">
        <f>SUMIF('7-Geveldelen  en wanden'!A:A,A51,'7-Geveldelen  en wanden'!J:J)</f>
        <v>0</v>
      </c>
      <c r="I51" s="118">
        <f ca="1">SUMIF('8b-Glas kosten totaal'!B:B,A51,'8b-Glas kosten totaal'!M:M)</f>
        <v>0</v>
      </c>
      <c r="J51" s="234">
        <f>'9-Machinekosten'!$P$39/'2-Kosten per locatie'!$D$85*'2-Kosten per locatie'!D51</f>
        <v>0</v>
      </c>
      <c r="K51" s="234">
        <f>SUMIF('10a-Periodieke beurt'!A:A,A51,'10a-Periodieke beurt'!M:M)</f>
        <v>0</v>
      </c>
      <c r="L51" s="629"/>
      <c r="M51" s="150">
        <f>SUMIF('12-Gelijkrichter stations'!$A$15:$A$31,A51,'12-Gelijkrichter stations'!$L$15:$L$31)</f>
        <v>0</v>
      </c>
      <c r="N51" s="150" t="e">
        <f>SUMIF('13- Technischeruimten'!$A$18:$A$68,A51,'13- Technischeruimten'!$H$18:$H$68)</f>
        <v>#DIV/0!</v>
      </c>
      <c r="O51" s="236" t="e">
        <f t="shared" ca="1" si="1"/>
        <v>#DIV/0!</v>
      </c>
    </row>
    <row r="52" spans="1:15">
      <c r="A52" s="53">
        <v>302</v>
      </c>
      <c r="B52" s="53" t="s">
        <v>1393</v>
      </c>
      <c r="C52" s="53" t="s">
        <v>1394</v>
      </c>
      <c r="D52" s="410">
        <f>SUMIF('3-Ruimtestaat'!B:B,A52,'3-Ruimtestaat'!I:I)</f>
        <v>1561</v>
      </c>
      <c r="E52" s="150" t="e">
        <f>SUMIF('4-Reinigen vloeren'!A:A,A52,'4-Reinigen vloeren'!N:N)</f>
        <v>#DIV/0!</v>
      </c>
      <c r="F52" s="234">
        <f>SUMIF('5-Aanvullend'!A:A,A52,'5-Aanvullend'!J:J)</f>
        <v>0</v>
      </c>
      <c r="G52" s="150">
        <f>SUMIF('6-Liftbodems'!A:A,A52,'6-Liftbodems'!J:J)</f>
        <v>0</v>
      </c>
      <c r="H52" s="235">
        <f>SUMIF('7-Geveldelen  en wanden'!A:A,A52,'7-Geveldelen  en wanden'!J:J)</f>
        <v>0</v>
      </c>
      <c r="I52" s="118">
        <f ca="1">SUMIF('8b-Glas kosten totaal'!B:B,A52,'8b-Glas kosten totaal'!M:M)</f>
        <v>0</v>
      </c>
      <c r="J52" s="234">
        <f>'9-Machinekosten'!$P$39/'2-Kosten per locatie'!$D$85*'2-Kosten per locatie'!D52</f>
        <v>0</v>
      </c>
      <c r="K52" s="234">
        <f>SUMIF('10a-Periodieke beurt'!A:A,A52,'10a-Periodieke beurt'!M:M)</f>
        <v>0</v>
      </c>
      <c r="L52" s="629"/>
      <c r="M52" s="150">
        <f>SUMIF('12-Gelijkrichter stations'!$A$15:$A$31,A52,'12-Gelijkrichter stations'!$L$15:$L$31)</f>
        <v>0</v>
      </c>
      <c r="N52" s="150" t="e">
        <f>SUMIF('13- Technischeruimten'!$A$18:$A$68,A52,'13- Technischeruimten'!$H$18:$H$68)</f>
        <v>#DIV/0!</v>
      </c>
      <c r="O52" s="236" t="e">
        <f t="shared" si="1"/>
        <v>#DIV/0!</v>
      </c>
    </row>
    <row r="53" spans="1:15">
      <c r="A53" s="53">
        <v>303</v>
      </c>
      <c r="B53" s="53" t="s">
        <v>133</v>
      </c>
      <c r="C53" s="53" t="s">
        <v>1394</v>
      </c>
      <c r="D53" s="410">
        <f>SUMIF('3-Ruimtestaat'!B:B,A53,'3-Ruimtestaat'!I:I)</f>
        <v>3126</v>
      </c>
      <c r="E53" s="150" t="e">
        <f>SUMIF('4-Reinigen vloeren'!A:A,A53,'4-Reinigen vloeren'!N:N)</f>
        <v>#DIV/0!</v>
      </c>
      <c r="F53" s="234">
        <f>SUMIF('5-Aanvullend'!A:A,A53,'5-Aanvullend'!J:J)</f>
        <v>0</v>
      </c>
      <c r="G53" s="150">
        <f>SUMIF('6-Liftbodems'!A:A,A53,'6-Liftbodems'!J:J)</f>
        <v>0</v>
      </c>
      <c r="H53" s="235">
        <f>SUMIF('7-Geveldelen  en wanden'!A:A,A53,'7-Geveldelen  en wanden'!J:J)</f>
        <v>0</v>
      </c>
      <c r="I53" s="118">
        <f ca="1">SUMIF('8b-Glas kosten totaal'!B:B,A53,'8b-Glas kosten totaal'!M:M)</f>
        <v>0</v>
      </c>
      <c r="J53" s="234">
        <f>'9-Machinekosten'!$P$39/'2-Kosten per locatie'!$D$85*'2-Kosten per locatie'!D53</f>
        <v>0</v>
      </c>
      <c r="K53" s="234">
        <f>SUMIF('10a-Periodieke beurt'!A:A,A53,'10a-Periodieke beurt'!M:M)</f>
        <v>0</v>
      </c>
      <c r="L53" s="629"/>
      <c r="M53" s="150">
        <f>SUMIF('12-Gelijkrichter stations'!$A$15:$A$31,A53,'12-Gelijkrichter stations'!$L$15:$L$31)</f>
        <v>0</v>
      </c>
      <c r="N53" s="150" t="e">
        <f>SUMIF('13- Technischeruimten'!$A$18:$A$68,A53,'13- Technischeruimten'!$H$18:$H$68)</f>
        <v>#DIV/0!</v>
      </c>
      <c r="O53" s="236" t="e">
        <f t="shared" si="1"/>
        <v>#DIV/0!</v>
      </c>
    </row>
    <row r="54" spans="1:15">
      <c r="A54" s="537" t="s">
        <v>2057</v>
      </c>
      <c r="B54" s="153" t="s">
        <v>2053</v>
      </c>
      <c r="C54" s="53" t="s">
        <v>1394</v>
      </c>
      <c r="D54" s="410">
        <f>SUMIF('3-Ruimtestaat'!B:B,A54,'3-Ruimtestaat'!I:I)</f>
        <v>7</v>
      </c>
      <c r="E54" s="150">
        <f>SUMIF('4-Reinigen vloeren'!A:A,A54,'4-Reinigen vloeren'!N:N)</f>
        <v>0</v>
      </c>
      <c r="F54" s="234">
        <f>SUMIF('5-Aanvullend'!A:A,A54,'5-Aanvullend'!J:J)</f>
        <v>0</v>
      </c>
      <c r="G54" s="150">
        <f>SUMIF('6-Liftbodems'!A:A,A54,'6-Liftbodems'!J:J)</f>
        <v>0</v>
      </c>
      <c r="H54" s="235">
        <f>SUMIF('7-Geveldelen  en wanden'!A:A,A54,'7-Geveldelen  en wanden'!J:J)</f>
        <v>0</v>
      </c>
      <c r="I54" s="118">
        <f ca="1">SUMIF('8b-Glas kosten totaal'!B:B,A54,'8b-Glas kosten totaal'!M:M)</f>
        <v>0</v>
      </c>
      <c r="J54" s="234">
        <f>'9-Machinekosten'!$P$39/'2-Kosten per locatie'!$D$85*'2-Kosten per locatie'!D54</f>
        <v>0</v>
      </c>
      <c r="K54" s="234">
        <f>SUMIF('10a-Periodieke beurt'!A:A,A54,'10a-Periodieke beurt'!M:M)</f>
        <v>0</v>
      </c>
      <c r="L54" s="629"/>
      <c r="M54" s="150">
        <f>SUMIF('12-Gelijkrichter stations'!$A$15:$A$31,A54,'12-Gelijkrichter stations'!$L$15:$L$31)</f>
        <v>0</v>
      </c>
      <c r="N54" s="150" t="e">
        <f>SUMIF('13- Technischeruimten'!$A$18:$A$68,A54,'13- Technischeruimten'!$H$18:$H$68)</f>
        <v>#DIV/0!</v>
      </c>
      <c r="O54" s="236" t="e">
        <f t="shared" ca="1" si="1"/>
        <v>#DIV/0!</v>
      </c>
    </row>
    <row r="55" spans="1:15">
      <c r="A55" s="53">
        <v>304</v>
      </c>
      <c r="B55" s="508" t="s">
        <v>1397</v>
      </c>
      <c r="C55" s="53" t="s">
        <v>1394</v>
      </c>
      <c r="D55" s="410">
        <f>SUMIF('3-Ruimtestaat'!B:B,A55,'3-Ruimtestaat'!I:I)</f>
        <v>2093</v>
      </c>
      <c r="E55" s="150">
        <f>SUMIF('4-Reinigen vloeren'!A:A,A55,'4-Reinigen vloeren'!N:N)</f>
        <v>0</v>
      </c>
      <c r="F55" s="234">
        <f>SUMIF('5-Aanvullend'!A:A,A55,'5-Aanvullend'!J:J)</f>
        <v>0</v>
      </c>
      <c r="G55" s="150">
        <f>SUMIF('6-Liftbodems'!A:A,A55,'6-Liftbodems'!J:J)</f>
        <v>0</v>
      </c>
      <c r="H55" s="235">
        <f>SUMIF('7-Geveldelen  en wanden'!A:A,A55,'7-Geveldelen  en wanden'!J:J)</f>
        <v>0</v>
      </c>
      <c r="I55" s="118">
        <f ca="1">SUMIF('8b-Glas kosten totaal'!B:B,A55,'8b-Glas kosten totaal'!M:M)</f>
        <v>0</v>
      </c>
      <c r="J55" s="234">
        <f>'9-Machinekosten'!$P$39/'2-Kosten per locatie'!$D$85*'2-Kosten per locatie'!D55</f>
        <v>0</v>
      </c>
      <c r="K55" s="234">
        <f>SUMIF('10a-Periodieke beurt'!A:A,A55,'10a-Periodieke beurt'!M:M)</f>
        <v>0</v>
      </c>
      <c r="L55" s="629"/>
      <c r="M55" s="150">
        <f>SUMIF('12-Gelijkrichter stations'!$A$15:$A$31,A55,'12-Gelijkrichter stations'!$L$15:$L$31)</f>
        <v>0</v>
      </c>
      <c r="N55" s="150" t="e">
        <f>SUMIF('13- Technischeruimten'!$A$18:$A$68,A55,'13- Technischeruimten'!$H$18:$H$68)</f>
        <v>#DIV/0!</v>
      </c>
      <c r="O55" s="236" t="e">
        <f t="shared" ca="1" si="1"/>
        <v>#DIV/0!</v>
      </c>
    </row>
    <row r="56" spans="1:15">
      <c r="A56" s="53">
        <v>305</v>
      </c>
      <c r="B56" s="53" t="s">
        <v>1400</v>
      </c>
      <c r="C56" s="53" t="s">
        <v>1394</v>
      </c>
      <c r="D56" s="410">
        <f>SUMIF('3-Ruimtestaat'!B:B,A56,'3-Ruimtestaat'!I:I)</f>
        <v>1510</v>
      </c>
      <c r="E56" s="150">
        <f>SUMIF('4-Reinigen vloeren'!A:A,A56,'4-Reinigen vloeren'!N:N)</f>
        <v>0</v>
      </c>
      <c r="F56" s="234">
        <f>SUMIF('5-Aanvullend'!A:A,A56,'5-Aanvullend'!J:J)</f>
        <v>0</v>
      </c>
      <c r="G56" s="150">
        <f>SUMIF('6-Liftbodems'!A:A,A56,'6-Liftbodems'!J:J)</f>
        <v>0</v>
      </c>
      <c r="H56" s="235">
        <f>SUMIF('7-Geveldelen  en wanden'!A:A,A56,'7-Geveldelen  en wanden'!J:J)</f>
        <v>0</v>
      </c>
      <c r="I56" s="118">
        <f ca="1">SUMIF('8b-Glas kosten totaal'!B:B,A56,'8b-Glas kosten totaal'!M:M)</f>
        <v>0</v>
      </c>
      <c r="J56" s="234">
        <f>'9-Machinekosten'!$P$39/'2-Kosten per locatie'!$D$85*'2-Kosten per locatie'!D56</f>
        <v>0</v>
      </c>
      <c r="K56" s="234">
        <f>SUMIF('10a-Periodieke beurt'!A:A,A56,'10a-Periodieke beurt'!M:M)</f>
        <v>0</v>
      </c>
      <c r="L56" s="629"/>
      <c r="M56" s="150">
        <f>SUMIF('12-Gelijkrichter stations'!$A$15:$A$31,A56,'12-Gelijkrichter stations'!$L$15:$L$31)</f>
        <v>0</v>
      </c>
      <c r="N56" s="150" t="e">
        <f>SUMIF('13- Technischeruimten'!$A$18:$A$68,A56,'13- Technischeruimten'!$H$18:$H$68)</f>
        <v>#DIV/0!</v>
      </c>
      <c r="O56" s="236" t="e">
        <f t="shared" ca="1" si="1"/>
        <v>#DIV/0!</v>
      </c>
    </row>
    <row r="57" spans="1:15">
      <c r="A57" s="53">
        <v>306</v>
      </c>
      <c r="B57" s="53" t="s">
        <v>1401</v>
      </c>
      <c r="C57" s="53" t="s">
        <v>1394</v>
      </c>
      <c r="D57" s="410">
        <f>SUMIF('3-Ruimtestaat'!B:B,A57,'3-Ruimtestaat'!I:I)</f>
        <v>1720</v>
      </c>
      <c r="E57" s="150">
        <f>SUMIF('4-Reinigen vloeren'!A:A,A57,'4-Reinigen vloeren'!N:N)</f>
        <v>0</v>
      </c>
      <c r="F57" s="234">
        <f>SUMIF('5-Aanvullend'!A:A,A57,'5-Aanvullend'!J:J)</f>
        <v>0</v>
      </c>
      <c r="G57" s="150">
        <f>SUMIF('6-Liftbodems'!A:A,A57,'6-Liftbodems'!J:J)</f>
        <v>0</v>
      </c>
      <c r="H57" s="235">
        <f>SUMIF('7-Geveldelen  en wanden'!A:A,A57,'7-Geveldelen  en wanden'!J:J)</f>
        <v>0</v>
      </c>
      <c r="I57" s="118">
        <f ca="1">SUMIF('8b-Glas kosten totaal'!B:B,A57,'8b-Glas kosten totaal'!M:M)</f>
        <v>0</v>
      </c>
      <c r="J57" s="234">
        <f>'9-Machinekosten'!$P$39/'2-Kosten per locatie'!$D$85*'2-Kosten per locatie'!D57</f>
        <v>0</v>
      </c>
      <c r="K57" s="234">
        <f>SUMIF('10a-Periodieke beurt'!A:A,A57,'10a-Periodieke beurt'!M:M)</f>
        <v>0</v>
      </c>
      <c r="L57" s="629"/>
      <c r="M57" s="150">
        <f>SUMIF('12-Gelijkrichter stations'!$A$15:$A$31,A57,'12-Gelijkrichter stations'!$L$15:$L$31)</f>
        <v>0</v>
      </c>
      <c r="N57" s="150" t="e">
        <f>SUMIF('13- Technischeruimten'!$A$18:$A$68,A57,'13- Technischeruimten'!$H$18:$H$68)</f>
        <v>#DIV/0!</v>
      </c>
      <c r="O57" s="236" t="e">
        <f t="shared" ca="1" si="1"/>
        <v>#DIV/0!</v>
      </c>
    </row>
    <row r="58" spans="1:15">
      <c r="A58" s="53">
        <v>307</v>
      </c>
      <c r="B58" s="53" t="s">
        <v>1395</v>
      </c>
      <c r="C58" s="53" t="s">
        <v>1394</v>
      </c>
      <c r="D58" s="410">
        <f>SUMIF('3-Ruimtestaat'!B:B,A58,'3-Ruimtestaat'!I:I)</f>
        <v>2949.2000000000003</v>
      </c>
      <c r="E58" s="150" t="e">
        <f>SUMIF('4-Reinigen vloeren'!A:A,A58,'4-Reinigen vloeren'!N:N)</f>
        <v>#DIV/0!</v>
      </c>
      <c r="F58" s="234">
        <f>SUMIF('5-Aanvullend'!A:A,A58,'5-Aanvullend'!J:J)</f>
        <v>0</v>
      </c>
      <c r="G58" s="150">
        <f>SUMIF('6-Liftbodems'!A:A,A58,'6-Liftbodems'!J:J)</f>
        <v>0</v>
      </c>
      <c r="H58" s="235">
        <f>SUMIF('7-Geveldelen  en wanden'!A:A,A58,'7-Geveldelen  en wanden'!J:J)</f>
        <v>0</v>
      </c>
      <c r="I58" s="118">
        <f ca="1">SUMIF('8b-Glas kosten totaal'!B:B,A58,'8b-Glas kosten totaal'!M:M)</f>
        <v>0</v>
      </c>
      <c r="J58" s="234">
        <f>'9-Machinekosten'!$P$39/'2-Kosten per locatie'!$D$85*'2-Kosten per locatie'!D58</f>
        <v>0</v>
      </c>
      <c r="K58" s="234">
        <f>SUMIF('10a-Periodieke beurt'!A:A,A58,'10a-Periodieke beurt'!M:M)</f>
        <v>0</v>
      </c>
      <c r="L58" s="629"/>
      <c r="M58" s="150">
        <f>SUMIF('12-Gelijkrichter stations'!$A$15:$A$31,A58,'12-Gelijkrichter stations'!$L$15:$L$31)</f>
        <v>0</v>
      </c>
      <c r="N58" s="150" t="e">
        <f>SUMIF('13- Technischeruimten'!$A$18:$A$68,A58,'13- Technischeruimten'!$H$18:$H$68)</f>
        <v>#DIV/0!</v>
      </c>
      <c r="O58" s="236" t="e">
        <f t="shared" si="1"/>
        <v>#DIV/0!</v>
      </c>
    </row>
    <row r="59" spans="1:15">
      <c r="A59" s="53">
        <v>308</v>
      </c>
      <c r="B59" s="53" t="s">
        <v>1402</v>
      </c>
      <c r="C59" s="53" t="s">
        <v>1394</v>
      </c>
      <c r="D59" s="410">
        <f>SUMIF('3-Ruimtestaat'!B:B,A59,'3-Ruimtestaat'!I:I)</f>
        <v>1400.41</v>
      </c>
      <c r="E59" s="150">
        <f>SUMIF('4-Reinigen vloeren'!A:A,A59,'4-Reinigen vloeren'!N:N)</f>
        <v>0</v>
      </c>
      <c r="F59" s="234">
        <f>SUMIF('5-Aanvullend'!A:A,A59,'5-Aanvullend'!J:J)</f>
        <v>0</v>
      </c>
      <c r="G59" s="150">
        <f>SUMIF('6-Liftbodems'!A:A,A59,'6-Liftbodems'!J:J)</f>
        <v>0</v>
      </c>
      <c r="H59" s="235">
        <f>SUMIF('7-Geveldelen  en wanden'!A:A,A59,'7-Geveldelen  en wanden'!J:J)</f>
        <v>0</v>
      </c>
      <c r="I59" s="118">
        <f ca="1">SUMIF('8b-Glas kosten totaal'!B:B,A59,'8b-Glas kosten totaal'!M:M)</f>
        <v>0</v>
      </c>
      <c r="J59" s="234">
        <f>'9-Machinekosten'!$P$39/'2-Kosten per locatie'!$D$85*'2-Kosten per locatie'!D59</f>
        <v>0</v>
      </c>
      <c r="K59" s="234">
        <f>SUMIF('10a-Periodieke beurt'!A:A,A59,'10a-Periodieke beurt'!M:M)</f>
        <v>0</v>
      </c>
      <c r="L59" s="629"/>
      <c r="M59" s="150">
        <f>SUMIF('12-Gelijkrichter stations'!$A$15:$A$31,A59,'12-Gelijkrichter stations'!$L$15:$L$31)</f>
        <v>0</v>
      </c>
      <c r="N59" s="150" t="e">
        <f>SUMIF('13- Technischeruimten'!$A$18:$A$68,A59,'13- Technischeruimten'!$H$18:$H$68)</f>
        <v>#DIV/0!</v>
      </c>
      <c r="O59" s="236" t="e">
        <f t="shared" ca="1" si="1"/>
        <v>#DIV/0!</v>
      </c>
    </row>
    <row r="60" spans="1:15">
      <c r="A60" s="53">
        <v>309</v>
      </c>
      <c r="B60" s="53" t="s">
        <v>1398</v>
      </c>
      <c r="C60" s="53" t="s">
        <v>1394</v>
      </c>
      <c r="D60" s="410">
        <f>SUMIF('3-Ruimtestaat'!B:B,A60,'3-Ruimtestaat'!I:I)</f>
        <v>1382.41</v>
      </c>
      <c r="E60" s="150">
        <f>SUMIF('4-Reinigen vloeren'!A:A,A60,'4-Reinigen vloeren'!N:N)</f>
        <v>0</v>
      </c>
      <c r="F60" s="234">
        <f>SUMIF('5-Aanvullend'!A:A,A60,'5-Aanvullend'!J:J)</f>
        <v>0</v>
      </c>
      <c r="G60" s="150">
        <f>SUMIF('6-Liftbodems'!A:A,A60,'6-Liftbodems'!J:J)</f>
        <v>0</v>
      </c>
      <c r="H60" s="235">
        <f>SUMIF('7-Geveldelen  en wanden'!A:A,A60,'7-Geveldelen  en wanden'!J:J)</f>
        <v>0</v>
      </c>
      <c r="I60" s="118">
        <f ca="1">SUMIF('8b-Glas kosten totaal'!B:B,A60,'8b-Glas kosten totaal'!M:M)</f>
        <v>0</v>
      </c>
      <c r="J60" s="234">
        <f>'9-Machinekosten'!$P$39/'2-Kosten per locatie'!$D$85*'2-Kosten per locatie'!D60</f>
        <v>0</v>
      </c>
      <c r="K60" s="234">
        <f>SUMIF('10a-Periodieke beurt'!A:A,A60,'10a-Periodieke beurt'!M:M)</f>
        <v>0</v>
      </c>
      <c r="L60" s="629"/>
      <c r="M60" s="150">
        <f>SUMIF('12-Gelijkrichter stations'!$A$15:$A$31,A60,'12-Gelijkrichter stations'!$L$15:$L$31)</f>
        <v>0</v>
      </c>
      <c r="N60" s="150" t="e">
        <f>SUMIF('13- Technischeruimten'!$A$18:$A$68,A60,'13- Technischeruimten'!$H$18:$H$68)</f>
        <v>#DIV/0!</v>
      </c>
      <c r="O60" s="236" t="e">
        <f t="shared" ca="1" si="1"/>
        <v>#DIV/0!</v>
      </c>
    </row>
    <row r="61" spans="1:15">
      <c r="A61" s="53">
        <v>310</v>
      </c>
      <c r="B61" s="53" t="s">
        <v>1399</v>
      </c>
      <c r="C61" s="53" t="s">
        <v>1394</v>
      </c>
      <c r="D61" s="410">
        <f>SUMIF('3-Ruimtestaat'!B:B,A61,'3-Ruimtestaat'!I:I)</f>
        <v>1514.41</v>
      </c>
      <c r="E61" s="150">
        <f>SUMIF('4-Reinigen vloeren'!A:A,A61,'4-Reinigen vloeren'!N:N)</f>
        <v>0</v>
      </c>
      <c r="F61" s="234">
        <f>SUMIF('5-Aanvullend'!A:A,A61,'5-Aanvullend'!J:J)</f>
        <v>0</v>
      </c>
      <c r="G61" s="150">
        <f>SUMIF('6-Liftbodems'!A:A,A61,'6-Liftbodems'!J:J)</f>
        <v>0</v>
      </c>
      <c r="H61" s="235">
        <f>SUMIF('7-Geveldelen  en wanden'!A:A,A61,'7-Geveldelen  en wanden'!J:J)</f>
        <v>0</v>
      </c>
      <c r="I61" s="118">
        <f ca="1">SUMIF('8b-Glas kosten totaal'!B:B,A61,'8b-Glas kosten totaal'!M:M)</f>
        <v>0</v>
      </c>
      <c r="J61" s="234">
        <f>'9-Machinekosten'!$P$39/'2-Kosten per locatie'!$D$85*'2-Kosten per locatie'!D61</f>
        <v>0</v>
      </c>
      <c r="K61" s="234">
        <f>SUMIF('10a-Periodieke beurt'!A:A,A61,'10a-Periodieke beurt'!M:M)</f>
        <v>0</v>
      </c>
      <c r="L61" s="629"/>
      <c r="M61" s="150">
        <f>SUMIF('12-Gelijkrichter stations'!$A$15:$A$31,A61,'12-Gelijkrichter stations'!$L$15:$L$31)</f>
        <v>0</v>
      </c>
      <c r="N61" s="150" t="e">
        <f>SUMIF('13- Technischeruimten'!$A$18:$A$68,A61,'13- Technischeruimten'!$H$18:$H$68)</f>
        <v>#DIV/0!</v>
      </c>
      <c r="O61" s="236" t="e">
        <f t="shared" ca="1" si="1"/>
        <v>#DIV/0!</v>
      </c>
    </row>
    <row r="62" spans="1:15">
      <c r="A62" s="53">
        <v>311</v>
      </c>
      <c r="B62" s="53" t="s">
        <v>1396</v>
      </c>
      <c r="C62" s="53" t="s">
        <v>1394</v>
      </c>
      <c r="D62" s="410">
        <f>SUMIF('3-Ruimtestaat'!B:B,A62,'3-Ruimtestaat'!I:I)</f>
        <v>2181</v>
      </c>
      <c r="E62" s="150" t="e">
        <f>SUMIF('4-Reinigen vloeren'!A:A,A62,'4-Reinigen vloeren'!N:N)</f>
        <v>#DIV/0!</v>
      </c>
      <c r="F62" s="234">
        <f>SUMIF('5-Aanvullend'!A:A,A62,'5-Aanvullend'!J:J)</f>
        <v>0</v>
      </c>
      <c r="G62" s="150">
        <f>SUMIF('6-Liftbodems'!A:A,A62,'6-Liftbodems'!J:J)</f>
        <v>0</v>
      </c>
      <c r="H62" s="235">
        <f>SUMIF('7-Geveldelen  en wanden'!A:A,A62,'7-Geveldelen  en wanden'!J:J)</f>
        <v>0</v>
      </c>
      <c r="I62" s="118">
        <f ca="1">SUMIF('8b-Glas kosten totaal'!B:B,A62,'8b-Glas kosten totaal'!M:M)</f>
        <v>0</v>
      </c>
      <c r="J62" s="234">
        <f>'9-Machinekosten'!$P$39/'2-Kosten per locatie'!$D$85*'2-Kosten per locatie'!D62</f>
        <v>0</v>
      </c>
      <c r="K62" s="234">
        <f>SUMIF('10a-Periodieke beurt'!A:A,A62,'10a-Periodieke beurt'!M:M)</f>
        <v>0</v>
      </c>
      <c r="L62" s="629"/>
      <c r="M62" s="150">
        <f>SUMIF('12-Gelijkrichter stations'!$A$15:$A$31,A62,'12-Gelijkrichter stations'!$L$15:$L$31)</f>
        <v>0</v>
      </c>
      <c r="N62" s="150" t="e">
        <f>SUMIF('13- Technischeruimten'!$A$18:$A$68,A62,'13- Technischeruimten'!$H$18:$H$68)</f>
        <v>#DIV/0!</v>
      </c>
      <c r="O62" s="236" t="e">
        <f t="shared" si="1"/>
        <v>#DIV/0!</v>
      </c>
    </row>
    <row r="63" spans="1:15">
      <c r="A63" s="537" t="s">
        <v>2056</v>
      </c>
      <c r="B63" s="153" t="s">
        <v>2054</v>
      </c>
      <c r="C63" s="53" t="s">
        <v>1394</v>
      </c>
      <c r="D63" s="410">
        <f>SUMIF('3-Ruimtestaat'!B:B,A63,'3-Ruimtestaat'!I:I)</f>
        <v>5</v>
      </c>
      <c r="E63" s="150">
        <f>SUMIF('4-Reinigen vloeren'!A:A,A63,'4-Reinigen vloeren'!N:N)</f>
        <v>0</v>
      </c>
      <c r="F63" s="234">
        <f>SUMIF('5-Aanvullend'!A:A,A63,'5-Aanvullend'!J:J)</f>
        <v>0</v>
      </c>
      <c r="G63" s="150">
        <f>SUMIF('6-Liftbodems'!A:A,A63,'6-Liftbodems'!J:J)</f>
        <v>0</v>
      </c>
      <c r="H63" s="235">
        <f>SUMIF('7-Geveldelen  en wanden'!A:A,A63,'7-Geveldelen  en wanden'!J:J)</f>
        <v>0</v>
      </c>
      <c r="I63" s="118">
        <f ca="1">SUMIF('8b-Glas kosten totaal'!B:B,A63,'8b-Glas kosten totaal'!M:M)</f>
        <v>0</v>
      </c>
      <c r="J63" s="234">
        <f>'9-Machinekosten'!$P$39/'2-Kosten per locatie'!$D$85*'2-Kosten per locatie'!D63</f>
        <v>0</v>
      </c>
      <c r="K63" s="234">
        <f>SUMIF('10a-Periodieke beurt'!A:A,A63,'10a-Periodieke beurt'!M:M)</f>
        <v>0</v>
      </c>
      <c r="L63" s="629"/>
      <c r="M63" s="150">
        <f>SUMIF('12-Gelijkrichter stations'!$A$15:$A$31,A63,'12-Gelijkrichter stations'!$L$15:$L$31)</f>
        <v>0</v>
      </c>
      <c r="N63" s="150" t="e">
        <f>SUMIF('13- Technischeruimten'!$A$18:$A$68,A63,'13- Technischeruimten'!$H$18:$H$68)</f>
        <v>#DIV/0!</v>
      </c>
      <c r="O63" s="236" t="e">
        <f t="shared" ca="1" si="1"/>
        <v>#DIV/0!</v>
      </c>
    </row>
    <row r="64" spans="1:15">
      <c r="A64" s="53">
        <v>312</v>
      </c>
      <c r="B64" s="53" t="s">
        <v>1411</v>
      </c>
      <c r="C64" s="53" t="s">
        <v>1394</v>
      </c>
      <c r="D64" s="410">
        <f>SUMIF('3-Ruimtestaat'!B:B,A64,'3-Ruimtestaat'!I:I)</f>
        <v>1511.41</v>
      </c>
      <c r="E64" s="150">
        <f>SUMIF('4-Reinigen vloeren'!A:A,A64,'4-Reinigen vloeren'!N:N)</f>
        <v>0</v>
      </c>
      <c r="F64" s="234">
        <f>SUMIF('5-Aanvullend'!A:A,A64,'5-Aanvullend'!J:J)</f>
        <v>0</v>
      </c>
      <c r="G64" s="150">
        <f>SUMIF('6-Liftbodems'!A:A,A64,'6-Liftbodems'!J:J)</f>
        <v>0</v>
      </c>
      <c r="H64" s="235">
        <f>SUMIF('7-Geveldelen  en wanden'!A:A,A64,'7-Geveldelen  en wanden'!J:J)</f>
        <v>0</v>
      </c>
      <c r="I64" s="118">
        <f ca="1">SUMIF('8b-Glas kosten totaal'!B:B,A64,'8b-Glas kosten totaal'!M:M)</f>
        <v>0</v>
      </c>
      <c r="J64" s="234">
        <f>'9-Machinekosten'!$P$39/'2-Kosten per locatie'!$D$85*'2-Kosten per locatie'!D64</f>
        <v>0</v>
      </c>
      <c r="K64" s="234">
        <f>SUMIF('10a-Periodieke beurt'!A:A,A64,'10a-Periodieke beurt'!M:M)</f>
        <v>0</v>
      </c>
      <c r="L64" s="629"/>
      <c r="M64" s="150">
        <f>SUMIF('12-Gelijkrichter stations'!$A$15:$A$31,A64,'12-Gelijkrichter stations'!$L$15:$L$31)</f>
        <v>0</v>
      </c>
      <c r="N64" s="150" t="e">
        <f>SUMIF('13- Technischeruimten'!$A$18:$A$68,A64,'13- Technischeruimten'!$H$18:$H$68)</f>
        <v>#DIV/0!</v>
      </c>
      <c r="O64" s="236" t="e">
        <f t="shared" ca="1" si="1"/>
        <v>#DIV/0!</v>
      </c>
    </row>
    <row r="65" spans="1:15">
      <c r="A65" s="53">
        <v>401</v>
      </c>
      <c r="B65" s="53" t="s">
        <v>1537</v>
      </c>
      <c r="C65" s="53" t="s">
        <v>1538</v>
      </c>
      <c r="D65" s="410">
        <f>SUMIF('3-Ruimtestaat'!B:B,A65,'3-Ruimtestaat'!I:I)</f>
        <v>237</v>
      </c>
      <c r="E65" s="150">
        <f>SUMIF('4-Reinigen vloeren'!A:A,A65,'4-Reinigen vloeren'!N:N)</f>
        <v>0</v>
      </c>
      <c r="F65" s="234">
        <f>SUMIF('5-Aanvullend'!A:A,A65,'5-Aanvullend'!J:J)</f>
        <v>0</v>
      </c>
      <c r="G65" s="150">
        <f>SUMIF('6-Liftbodems'!A:A,A65,'6-Liftbodems'!J:J)</f>
        <v>0</v>
      </c>
      <c r="H65" s="235">
        <f>SUMIF('7-Geveldelen  en wanden'!A:A,A65,'7-Geveldelen  en wanden'!J:J)</f>
        <v>0</v>
      </c>
      <c r="I65" s="118">
        <f ca="1">SUMIF('8b-Glas kosten totaal'!B:B,A65,'8b-Glas kosten totaal'!M:M)</f>
        <v>0</v>
      </c>
      <c r="J65" s="234">
        <f>'9-Machinekosten'!$P$39/'2-Kosten per locatie'!$D$85*'2-Kosten per locatie'!D65</f>
        <v>0</v>
      </c>
      <c r="K65" s="234">
        <f>SUMIF('10a-Periodieke beurt'!A:A,A65,'10a-Periodieke beurt'!M:M)</f>
        <v>0</v>
      </c>
      <c r="L65" s="629"/>
      <c r="M65" s="150">
        <f>SUMIF('12-Gelijkrichter stations'!$A$15:$A$31,A65,'12-Gelijkrichter stations'!$L$15:$L$31)</f>
        <v>0</v>
      </c>
      <c r="N65" s="150">
        <f>SUMIF('13- Technischeruimten'!$A$18:$A$68,A65,'13- Technischeruimten'!$H$18:$H$68)</f>
        <v>0</v>
      </c>
      <c r="O65" s="236">
        <f t="shared" ca="1" si="1"/>
        <v>0</v>
      </c>
    </row>
    <row r="66" spans="1:15">
      <c r="A66" s="53">
        <v>402</v>
      </c>
      <c r="B66" s="53" t="s">
        <v>288</v>
      </c>
      <c r="C66" s="53" t="s">
        <v>1538</v>
      </c>
      <c r="D66" s="410">
        <f>SUMIF('3-Ruimtestaat'!B:B,A66,'3-Ruimtestaat'!I:I)</f>
        <v>265</v>
      </c>
      <c r="E66" s="150">
        <f>SUMIF('4-Reinigen vloeren'!A:A,A66,'4-Reinigen vloeren'!N:N)</f>
        <v>0</v>
      </c>
      <c r="F66" s="234">
        <f>SUMIF('5-Aanvullend'!A:A,A66,'5-Aanvullend'!J:J)</f>
        <v>0</v>
      </c>
      <c r="G66" s="150">
        <f>SUMIF('6-Liftbodems'!A:A,A66,'6-Liftbodems'!J:J)</f>
        <v>0</v>
      </c>
      <c r="H66" s="235">
        <f>SUMIF('7-Geveldelen  en wanden'!A:A,A66,'7-Geveldelen  en wanden'!J:J)</f>
        <v>0</v>
      </c>
      <c r="I66" s="118">
        <f ca="1">SUMIF('8b-Glas kosten totaal'!B:B,A66,'8b-Glas kosten totaal'!M:M)</f>
        <v>0</v>
      </c>
      <c r="J66" s="234">
        <f>'9-Machinekosten'!$P$39/'2-Kosten per locatie'!$D$85*'2-Kosten per locatie'!D66</f>
        <v>0</v>
      </c>
      <c r="K66" s="234">
        <f>SUMIF('10a-Periodieke beurt'!A:A,A66,'10a-Periodieke beurt'!M:M)</f>
        <v>0</v>
      </c>
      <c r="L66" s="629"/>
      <c r="M66" s="150">
        <f>SUMIF('12-Gelijkrichter stations'!$A$15:$A$31,A66,'12-Gelijkrichter stations'!$L$15:$L$31)</f>
        <v>0</v>
      </c>
      <c r="N66" s="150">
        <f>SUMIF('13- Technischeruimten'!$A$18:$A$68,A66,'13- Technischeruimten'!$H$18:$H$68)</f>
        <v>0</v>
      </c>
      <c r="O66" s="236">
        <f t="shared" ca="1" si="1"/>
        <v>0</v>
      </c>
    </row>
    <row r="67" spans="1:15">
      <c r="A67" s="53">
        <v>403</v>
      </c>
      <c r="B67" s="53" t="s">
        <v>103</v>
      </c>
      <c r="C67" s="53" t="s">
        <v>1538</v>
      </c>
      <c r="D67" s="410">
        <f>SUMIF('3-Ruimtestaat'!B:B,A67,'3-Ruimtestaat'!I:I)</f>
        <v>486</v>
      </c>
      <c r="E67" s="150">
        <f>SUMIF('4-Reinigen vloeren'!A:A,A67,'4-Reinigen vloeren'!N:N)</f>
        <v>0</v>
      </c>
      <c r="F67" s="234">
        <f>SUMIF('5-Aanvullend'!A:A,A67,'5-Aanvullend'!J:J)</f>
        <v>0</v>
      </c>
      <c r="G67" s="150">
        <f>SUMIF('6-Liftbodems'!A:A,A67,'6-Liftbodems'!J:J)</f>
        <v>0</v>
      </c>
      <c r="H67" s="235">
        <f>SUMIF('7-Geveldelen  en wanden'!A:A,A67,'7-Geveldelen  en wanden'!J:J)</f>
        <v>0</v>
      </c>
      <c r="I67" s="118">
        <f ca="1">SUMIF('8b-Glas kosten totaal'!B:B,A67,'8b-Glas kosten totaal'!M:M)</f>
        <v>0</v>
      </c>
      <c r="J67" s="234">
        <f>'9-Machinekosten'!$P$39/'2-Kosten per locatie'!$D$85*'2-Kosten per locatie'!D67</f>
        <v>0</v>
      </c>
      <c r="K67" s="234">
        <f>SUMIF('10a-Periodieke beurt'!A:A,A67,'10a-Periodieke beurt'!M:M)</f>
        <v>0</v>
      </c>
      <c r="L67" s="629"/>
      <c r="M67" s="150">
        <f>SUMIF('12-Gelijkrichter stations'!$A$15:$A$31,A67,'12-Gelijkrichter stations'!$L$15:$L$31)</f>
        <v>0</v>
      </c>
      <c r="N67" s="150">
        <f>SUMIF('13- Technischeruimten'!$A$18:$A$68,A67,'13- Technischeruimten'!$H$18:$H$68)</f>
        <v>0</v>
      </c>
      <c r="O67" s="236">
        <f t="shared" ca="1" si="1"/>
        <v>0</v>
      </c>
    </row>
    <row r="68" spans="1:15">
      <c r="A68" s="53">
        <v>404</v>
      </c>
      <c r="B68" s="53" t="s">
        <v>140</v>
      </c>
      <c r="C68" s="53" t="s">
        <v>1538</v>
      </c>
      <c r="D68" s="410">
        <f>SUMIF('3-Ruimtestaat'!B:B,A68,'3-Ruimtestaat'!I:I)</f>
        <v>141</v>
      </c>
      <c r="E68" s="150">
        <f>SUMIF('4-Reinigen vloeren'!A:A,A68,'4-Reinigen vloeren'!N:N)</f>
        <v>0</v>
      </c>
      <c r="F68" s="234">
        <f>SUMIF('5-Aanvullend'!A:A,A68,'5-Aanvullend'!J:J)</f>
        <v>0</v>
      </c>
      <c r="G68" s="150">
        <f>SUMIF('6-Liftbodems'!A:A,A68,'6-Liftbodems'!J:J)</f>
        <v>0</v>
      </c>
      <c r="H68" s="235">
        <f>SUMIF('7-Geveldelen  en wanden'!A:A,A68,'7-Geveldelen  en wanden'!J:J)</f>
        <v>0</v>
      </c>
      <c r="I68" s="118">
        <f ca="1">SUMIF('8b-Glas kosten totaal'!B:B,A68,'8b-Glas kosten totaal'!M:M)</f>
        <v>0</v>
      </c>
      <c r="J68" s="234">
        <f>'9-Machinekosten'!$P$39/'2-Kosten per locatie'!$D$85*'2-Kosten per locatie'!D68</f>
        <v>0</v>
      </c>
      <c r="K68" s="234">
        <f>SUMIF('10a-Periodieke beurt'!A:A,A68,'10a-Periodieke beurt'!M:M)</f>
        <v>0</v>
      </c>
      <c r="L68" s="629"/>
      <c r="M68" s="150">
        <f>SUMIF('12-Gelijkrichter stations'!$A$15:$A$31,A68,'12-Gelijkrichter stations'!$L$15:$L$31)</f>
        <v>0</v>
      </c>
      <c r="N68" s="150">
        <f>SUMIF('13- Technischeruimten'!$A$18:$A$68,A68,'13- Technischeruimten'!$H$18:$H$68)</f>
        <v>0</v>
      </c>
      <c r="O68" s="236">
        <f t="shared" ca="1" si="1"/>
        <v>0</v>
      </c>
    </row>
    <row r="69" spans="1:15">
      <c r="A69" s="53">
        <v>405</v>
      </c>
      <c r="B69" s="53" t="s">
        <v>1645</v>
      </c>
      <c r="C69" s="53" t="s">
        <v>1538</v>
      </c>
      <c r="D69" s="410">
        <f>SUMIF('3-Ruimtestaat'!B:B,A69,'3-Ruimtestaat'!I:I)</f>
        <v>237</v>
      </c>
      <c r="E69" s="150">
        <f>SUMIF('4-Reinigen vloeren'!A:A,A69,'4-Reinigen vloeren'!N:N)</f>
        <v>0</v>
      </c>
      <c r="F69" s="234">
        <f>SUMIF('5-Aanvullend'!A:A,A69,'5-Aanvullend'!J:J)</f>
        <v>0</v>
      </c>
      <c r="G69" s="150">
        <f>SUMIF('6-Liftbodems'!A:A,A69,'6-Liftbodems'!J:J)</f>
        <v>0</v>
      </c>
      <c r="H69" s="235">
        <f>SUMIF('7-Geveldelen  en wanden'!A:A,A69,'7-Geveldelen  en wanden'!J:J)</f>
        <v>0</v>
      </c>
      <c r="I69" s="118">
        <f ca="1">SUMIF('8b-Glas kosten totaal'!B:B,A69,'8b-Glas kosten totaal'!M:M)</f>
        <v>0</v>
      </c>
      <c r="J69" s="234">
        <f>'9-Machinekosten'!$P$39/'2-Kosten per locatie'!$D$85*'2-Kosten per locatie'!D69</f>
        <v>0</v>
      </c>
      <c r="K69" s="234">
        <f>SUMIF('10a-Periodieke beurt'!A:A,A69,'10a-Periodieke beurt'!M:M)</f>
        <v>0</v>
      </c>
      <c r="L69" s="629"/>
      <c r="M69" s="150">
        <f>SUMIF('12-Gelijkrichter stations'!$A$15:$A$31,A69,'12-Gelijkrichter stations'!$L$15:$L$31)</f>
        <v>0</v>
      </c>
      <c r="N69" s="150">
        <f>SUMIF('13- Technischeruimten'!$A$18:$A$68,A69,'13- Technischeruimten'!$H$18:$H$68)</f>
        <v>0</v>
      </c>
      <c r="O69" s="236">
        <f t="shared" ca="1" si="1"/>
        <v>0</v>
      </c>
    </row>
    <row r="70" spans="1:15">
      <c r="A70" s="53">
        <v>406</v>
      </c>
      <c r="B70" s="53" t="s">
        <v>300</v>
      </c>
      <c r="C70" s="53" t="s">
        <v>1538</v>
      </c>
      <c r="D70" s="410">
        <f>SUMIF('3-Ruimtestaat'!B:B,A70,'3-Ruimtestaat'!I:I)</f>
        <v>237</v>
      </c>
      <c r="E70" s="150">
        <f>SUMIF('4-Reinigen vloeren'!A:A,A70,'4-Reinigen vloeren'!N:N)</f>
        <v>0</v>
      </c>
      <c r="F70" s="234">
        <f>SUMIF('5-Aanvullend'!A:A,A70,'5-Aanvullend'!J:J)</f>
        <v>0</v>
      </c>
      <c r="G70" s="150">
        <f>SUMIF('6-Liftbodems'!A:A,A70,'6-Liftbodems'!J:J)</f>
        <v>0</v>
      </c>
      <c r="H70" s="235">
        <f>SUMIF('7-Geveldelen  en wanden'!A:A,A70,'7-Geveldelen  en wanden'!J:J)</f>
        <v>0</v>
      </c>
      <c r="I70" s="118">
        <f ca="1">SUMIF('8b-Glas kosten totaal'!B:B,A70,'8b-Glas kosten totaal'!M:M)</f>
        <v>0</v>
      </c>
      <c r="J70" s="234">
        <f>'9-Machinekosten'!$P$39/'2-Kosten per locatie'!$D$85*'2-Kosten per locatie'!D70</f>
        <v>0</v>
      </c>
      <c r="K70" s="234">
        <f>SUMIF('10a-Periodieke beurt'!A:A,A70,'10a-Periodieke beurt'!M:M)</f>
        <v>0</v>
      </c>
      <c r="L70" s="629"/>
      <c r="M70" s="150">
        <f>SUMIF('12-Gelijkrichter stations'!$A$15:$A$31,A70,'12-Gelijkrichter stations'!$L$15:$L$31)</f>
        <v>0</v>
      </c>
      <c r="N70" s="150">
        <f>SUMIF('13- Technischeruimten'!$A$18:$A$68,A70,'13- Technischeruimten'!$H$18:$H$68)</f>
        <v>0</v>
      </c>
      <c r="O70" s="236">
        <f t="shared" ca="1" si="1"/>
        <v>0</v>
      </c>
    </row>
    <row r="71" spans="1:15">
      <c r="A71" s="53">
        <v>407</v>
      </c>
      <c r="B71" s="53" t="s">
        <v>198</v>
      </c>
      <c r="C71" s="53" t="s">
        <v>1538</v>
      </c>
      <c r="D71" s="410">
        <f>SUMIF('3-Ruimtestaat'!B:B,A71,'3-Ruimtestaat'!I:I)</f>
        <v>265</v>
      </c>
      <c r="E71" s="150">
        <f>SUMIF('4-Reinigen vloeren'!A:A,A71,'4-Reinigen vloeren'!N:N)</f>
        <v>0</v>
      </c>
      <c r="F71" s="234">
        <f>SUMIF('5-Aanvullend'!A:A,A71,'5-Aanvullend'!J:J)</f>
        <v>0</v>
      </c>
      <c r="G71" s="150">
        <f>SUMIF('6-Liftbodems'!A:A,A71,'6-Liftbodems'!J:J)</f>
        <v>0</v>
      </c>
      <c r="H71" s="235">
        <f>SUMIF('7-Geveldelen  en wanden'!A:A,A71,'7-Geveldelen  en wanden'!J:J)</f>
        <v>0</v>
      </c>
      <c r="I71" s="118">
        <f ca="1">SUMIF('8b-Glas kosten totaal'!B:B,A71,'8b-Glas kosten totaal'!M:M)</f>
        <v>0</v>
      </c>
      <c r="J71" s="234">
        <f>'9-Machinekosten'!$P$39/'2-Kosten per locatie'!$D$85*'2-Kosten per locatie'!D71</f>
        <v>0</v>
      </c>
      <c r="K71" s="234">
        <f>SUMIF('10a-Periodieke beurt'!A:A,A71,'10a-Periodieke beurt'!M:M)</f>
        <v>0</v>
      </c>
      <c r="L71" s="629"/>
      <c r="M71" s="150">
        <f>SUMIF('12-Gelijkrichter stations'!$A$15:$A$31,A71,'12-Gelijkrichter stations'!$L$15:$L$31)</f>
        <v>0</v>
      </c>
      <c r="N71" s="150">
        <f>SUMIF('13- Technischeruimten'!$A$18:$A$68,A71,'13- Technischeruimten'!$H$18:$H$68)</f>
        <v>0</v>
      </c>
      <c r="O71" s="236">
        <f t="shared" ca="1" si="1"/>
        <v>0</v>
      </c>
    </row>
    <row r="72" spans="1:15">
      <c r="A72" s="53">
        <v>408</v>
      </c>
      <c r="B72" s="53" t="s">
        <v>237</v>
      </c>
      <c r="C72" s="53" t="s">
        <v>1538</v>
      </c>
      <c r="D72" s="410">
        <f>SUMIF('3-Ruimtestaat'!B:B,A72,'3-Ruimtestaat'!I:I)</f>
        <v>234</v>
      </c>
      <c r="E72" s="150">
        <f>SUMIF('4-Reinigen vloeren'!A:A,A72,'4-Reinigen vloeren'!N:N)</f>
        <v>0</v>
      </c>
      <c r="F72" s="234">
        <f>SUMIF('5-Aanvullend'!A:A,A72,'5-Aanvullend'!J:J)</f>
        <v>0</v>
      </c>
      <c r="G72" s="150">
        <f>SUMIF('6-Liftbodems'!A:A,A72,'6-Liftbodems'!J:J)</f>
        <v>0</v>
      </c>
      <c r="H72" s="235">
        <f>SUMIF('7-Geveldelen  en wanden'!A:A,A72,'7-Geveldelen  en wanden'!J:J)</f>
        <v>0</v>
      </c>
      <c r="I72" s="118">
        <f ca="1">SUMIF('8b-Glas kosten totaal'!B:B,A72,'8b-Glas kosten totaal'!M:M)</f>
        <v>0</v>
      </c>
      <c r="J72" s="234">
        <f>'9-Machinekosten'!$P$39/'2-Kosten per locatie'!$D$85*'2-Kosten per locatie'!D72</f>
        <v>0</v>
      </c>
      <c r="K72" s="234">
        <f>SUMIF('10a-Periodieke beurt'!A:A,A72,'10a-Periodieke beurt'!M:M)</f>
        <v>0</v>
      </c>
      <c r="L72" s="629"/>
      <c r="M72" s="150">
        <f>SUMIF('12-Gelijkrichter stations'!$A$15:$A$31,A72,'12-Gelijkrichter stations'!$L$15:$L$31)</f>
        <v>0</v>
      </c>
      <c r="N72" s="150">
        <f>SUMIF('13- Technischeruimten'!$A$18:$A$68,A72,'13- Technischeruimten'!$H$18:$H$68)</f>
        <v>0</v>
      </c>
      <c r="O72" s="236">
        <f t="shared" ca="1" si="1"/>
        <v>0</v>
      </c>
    </row>
    <row r="73" spans="1:15">
      <c r="A73" s="53">
        <v>409</v>
      </c>
      <c r="B73" s="53" t="s">
        <v>133</v>
      </c>
      <c r="C73" s="53" t="s">
        <v>1538</v>
      </c>
      <c r="D73" s="410">
        <f>SUMIF('3-Ruimtestaat'!B:B,A73,'3-Ruimtestaat'!I:I)</f>
        <v>81</v>
      </c>
      <c r="E73" s="150">
        <f>SUMIF('4-Reinigen vloeren'!A:A,A73,'4-Reinigen vloeren'!N:N)</f>
        <v>0</v>
      </c>
      <c r="F73" s="234">
        <f>SUMIF('5-Aanvullend'!A:A,A73,'5-Aanvullend'!J:J)</f>
        <v>0</v>
      </c>
      <c r="G73" s="150">
        <f>SUMIF('6-Liftbodems'!A:A,A73,'6-Liftbodems'!J:J)</f>
        <v>0</v>
      </c>
      <c r="H73" s="235">
        <f>SUMIF('7-Geveldelen  en wanden'!A:A,A73,'7-Geveldelen  en wanden'!J:J)</f>
        <v>0</v>
      </c>
      <c r="I73" s="118">
        <f ca="1">SUMIF('8b-Glas kosten totaal'!B:B,A73,'8b-Glas kosten totaal'!M:M)</f>
        <v>0</v>
      </c>
      <c r="J73" s="234">
        <f>'9-Machinekosten'!$P$39/'2-Kosten per locatie'!$D$85*'2-Kosten per locatie'!D73</f>
        <v>0</v>
      </c>
      <c r="K73" s="234">
        <f>SUMIF('10a-Periodieke beurt'!A:A,A73,'10a-Periodieke beurt'!M:M)</f>
        <v>0</v>
      </c>
      <c r="L73" s="629"/>
      <c r="M73" s="150">
        <f>SUMIF('12-Gelijkrichter stations'!$A$15:$A$31,A73,'12-Gelijkrichter stations'!$L$15:$L$31)</f>
        <v>0</v>
      </c>
      <c r="N73" s="150">
        <f>SUMIF('13- Technischeruimten'!$A$18:$A$68,A73,'13- Technischeruimten'!$H$18:$H$68)</f>
        <v>0</v>
      </c>
      <c r="O73" s="236">
        <f t="shared" ca="1" si="1"/>
        <v>0</v>
      </c>
    </row>
    <row r="74" spans="1:15">
      <c r="A74" s="53">
        <v>410</v>
      </c>
      <c r="B74" s="53" t="s">
        <v>1655</v>
      </c>
      <c r="C74" s="53" t="s">
        <v>1538</v>
      </c>
      <c r="D74" s="410">
        <f>SUMIF('3-Ruimtestaat'!B:B,A74,'3-Ruimtestaat'!I:I)</f>
        <v>105</v>
      </c>
      <c r="E74" s="150">
        <f>SUMIF('4-Reinigen vloeren'!A:A,A74,'4-Reinigen vloeren'!N:N)</f>
        <v>0</v>
      </c>
      <c r="F74" s="234">
        <f>SUMIF('5-Aanvullend'!A:A,A74,'5-Aanvullend'!J:J)</f>
        <v>0</v>
      </c>
      <c r="G74" s="150">
        <f>SUMIF('6-Liftbodems'!A:A,A74,'6-Liftbodems'!J:J)</f>
        <v>0</v>
      </c>
      <c r="H74" s="235">
        <f>SUMIF('7-Geveldelen  en wanden'!A:A,A74,'7-Geveldelen  en wanden'!J:J)</f>
        <v>0</v>
      </c>
      <c r="I74" s="118">
        <f ca="1">SUMIF('8b-Glas kosten totaal'!B:B,A74,'8b-Glas kosten totaal'!M:M)</f>
        <v>0</v>
      </c>
      <c r="J74" s="234">
        <f>'9-Machinekosten'!$P$39/'2-Kosten per locatie'!$D$85*'2-Kosten per locatie'!D74</f>
        <v>0</v>
      </c>
      <c r="K74" s="234">
        <f>SUMIF('10a-Periodieke beurt'!A:A,A74,'10a-Periodieke beurt'!M:M)</f>
        <v>0</v>
      </c>
      <c r="L74" s="629"/>
      <c r="M74" s="150">
        <f>SUMIF('12-Gelijkrichter stations'!$A$15:$A$31,A74,'12-Gelijkrichter stations'!$L$15:$L$31)</f>
        <v>0</v>
      </c>
      <c r="N74" s="150">
        <f>SUMIF('13- Technischeruimten'!$A$18:$A$68,A74,'13- Technischeruimten'!$H$18:$H$68)</f>
        <v>0</v>
      </c>
      <c r="O74" s="236">
        <f t="shared" ca="1" si="1"/>
        <v>0</v>
      </c>
    </row>
    <row r="75" spans="1:15">
      <c r="A75" s="53">
        <v>411</v>
      </c>
      <c r="B75" s="53" t="s">
        <v>1658</v>
      </c>
      <c r="C75" s="53" t="s">
        <v>1538</v>
      </c>
      <c r="D75" s="410">
        <f>SUMIF('3-Ruimtestaat'!B:B,A75,'3-Ruimtestaat'!I:I)</f>
        <v>155</v>
      </c>
      <c r="E75" s="150">
        <f>SUMIF('4-Reinigen vloeren'!A:A,A75,'4-Reinigen vloeren'!N:N)</f>
        <v>0</v>
      </c>
      <c r="F75" s="234">
        <f>SUMIF('5-Aanvullend'!A:A,A75,'5-Aanvullend'!J:J)</f>
        <v>0</v>
      </c>
      <c r="G75" s="150">
        <f>SUMIF('6-Liftbodems'!A:A,A75,'6-Liftbodems'!J:J)</f>
        <v>0</v>
      </c>
      <c r="H75" s="235">
        <f>SUMIF('7-Geveldelen  en wanden'!A:A,A75,'7-Geveldelen  en wanden'!J:J)</f>
        <v>0</v>
      </c>
      <c r="I75" s="118">
        <f ca="1">SUMIF('8b-Glas kosten totaal'!B:B,A75,'8b-Glas kosten totaal'!M:M)</f>
        <v>0</v>
      </c>
      <c r="J75" s="234">
        <f>'9-Machinekosten'!$P$39/'2-Kosten per locatie'!$D$85*'2-Kosten per locatie'!D75</f>
        <v>0</v>
      </c>
      <c r="K75" s="234">
        <f>SUMIF('10a-Periodieke beurt'!A:A,A75,'10a-Periodieke beurt'!M:M)</f>
        <v>0</v>
      </c>
      <c r="L75" s="629"/>
      <c r="M75" s="150">
        <f>SUMIF('12-Gelijkrichter stations'!$A$15:$A$31,A75,'12-Gelijkrichter stations'!$L$15:$L$31)</f>
        <v>0</v>
      </c>
      <c r="N75" s="150">
        <f>SUMIF('13- Technischeruimten'!$A$18:$A$68,A75,'13- Technischeruimten'!$H$18:$H$68)</f>
        <v>0</v>
      </c>
      <c r="O75" s="236">
        <f t="shared" ca="1" si="1"/>
        <v>0</v>
      </c>
    </row>
    <row r="76" spans="1:15">
      <c r="A76" s="53">
        <v>412</v>
      </c>
      <c r="B76" s="53" t="s">
        <v>1660</v>
      </c>
      <c r="C76" s="53" t="s">
        <v>1538</v>
      </c>
      <c r="D76" s="410">
        <f>SUMIF('3-Ruimtestaat'!B:B,A76,'3-Ruimtestaat'!I:I)</f>
        <v>129</v>
      </c>
      <c r="E76" s="150">
        <f>SUMIF('4-Reinigen vloeren'!A:A,A76,'4-Reinigen vloeren'!N:N)</f>
        <v>0</v>
      </c>
      <c r="F76" s="234">
        <f>SUMIF('5-Aanvullend'!A:A,A76,'5-Aanvullend'!J:J)</f>
        <v>0</v>
      </c>
      <c r="G76" s="150">
        <f>SUMIF('6-Liftbodems'!A:A,A76,'6-Liftbodems'!J:J)</f>
        <v>0</v>
      </c>
      <c r="H76" s="235">
        <f>SUMIF('7-Geveldelen  en wanden'!A:A,A76,'7-Geveldelen  en wanden'!J:J)</f>
        <v>0</v>
      </c>
      <c r="I76" s="118">
        <f ca="1">SUMIF('8b-Glas kosten totaal'!B:B,A76,'8b-Glas kosten totaal'!M:M)</f>
        <v>0</v>
      </c>
      <c r="J76" s="234">
        <f>'9-Machinekosten'!$P$39/'2-Kosten per locatie'!$D$85*'2-Kosten per locatie'!D76</f>
        <v>0</v>
      </c>
      <c r="K76" s="234">
        <f>SUMIF('10a-Periodieke beurt'!A:A,A76,'10a-Periodieke beurt'!M:M)</f>
        <v>0</v>
      </c>
      <c r="L76" s="629"/>
      <c r="M76" s="150">
        <f>SUMIF('12-Gelijkrichter stations'!$A$15:$A$31,A76,'12-Gelijkrichter stations'!$L$15:$L$31)</f>
        <v>0</v>
      </c>
      <c r="N76" s="150">
        <f>SUMIF('13- Technischeruimten'!$A$18:$A$68,A76,'13- Technischeruimten'!$H$18:$H$68)</f>
        <v>0</v>
      </c>
      <c r="O76" s="236">
        <f t="shared" ca="1" si="1"/>
        <v>0</v>
      </c>
    </row>
    <row r="77" spans="1:15">
      <c r="A77" s="53">
        <v>413</v>
      </c>
      <c r="B77" s="53" t="s">
        <v>1401</v>
      </c>
      <c r="C77" s="53" t="s">
        <v>1538</v>
      </c>
      <c r="D77" s="410">
        <f>SUMIF('3-Ruimtestaat'!B:B,A77,'3-Ruimtestaat'!I:I)</f>
        <v>42</v>
      </c>
      <c r="E77" s="150">
        <f>SUMIF('4-Reinigen vloeren'!A:A,A77,'4-Reinigen vloeren'!N:N)</f>
        <v>0</v>
      </c>
      <c r="F77" s="234">
        <f>SUMIF('5-Aanvullend'!A:A,A77,'5-Aanvullend'!J:J)</f>
        <v>0</v>
      </c>
      <c r="G77" s="150">
        <f>SUMIF('6-Liftbodems'!A:A,A77,'6-Liftbodems'!J:J)</f>
        <v>0</v>
      </c>
      <c r="H77" s="235">
        <f>SUMIF('7-Geveldelen  en wanden'!A:A,A77,'7-Geveldelen  en wanden'!J:J)</f>
        <v>0</v>
      </c>
      <c r="I77" s="118">
        <f ca="1">SUMIF('8b-Glas kosten totaal'!B:B,A77,'8b-Glas kosten totaal'!M:M)</f>
        <v>0</v>
      </c>
      <c r="J77" s="234">
        <f>'9-Machinekosten'!$P$39/'2-Kosten per locatie'!$D$85*'2-Kosten per locatie'!D77</f>
        <v>0</v>
      </c>
      <c r="K77" s="234">
        <f>SUMIF('10a-Periodieke beurt'!A:A,A77,'10a-Periodieke beurt'!M:M)</f>
        <v>0</v>
      </c>
      <c r="L77" s="629"/>
      <c r="M77" s="150">
        <f>SUMIF('12-Gelijkrichter stations'!$A$15:$A$31,A77,'12-Gelijkrichter stations'!$L$15:$L$31)</f>
        <v>0</v>
      </c>
      <c r="N77" s="150">
        <f>SUMIF('13- Technischeruimten'!$A$18:$A$68,A77,'13- Technischeruimten'!$H$18:$H$68)</f>
        <v>0</v>
      </c>
      <c r="O77" s="236">
        <f t="shared" ca="1" si="1"/>
        <v>0</v>
      </c>
    </row>
    <row r="78" spans="1:15">
      <c r="A78" s="53">
        <v>414</v>
      </c>
      <c r="B78" s="53" t="s">
        <v>1402</v>
      </c>
      <c r="C78" s="53" t="s">
        <v>1538</v>
      </c>
      <c r="D78" s="410">
        <f>SUMIF('3-Ruimtestaat'!B:B,A78,'3-Ruimtestaat'!I:I)</f>
        <v>41</v>
      </c>
      <c r="E78" s="150">
        <f>SUMIF('4-Reinigen vloeren'!A:A,A78,'4-Reinigen vloeren'!N:N)</f>
        <v>0</v>
      </c>
      <c r="F78" s="234">
        <f>SUMIF('5-Aanvullend'!A:A,A78,'5-Aanvullend'!J:J)</f>
        <v>0</v>
      </c>
      <c r="G78" s="150">
        <f>SUMIF('6-Liftbodems'!A:A,A78,'6-Liftbodems'!J:J)</f>
        <v>0</v>
      </c>
      <c r="H78" s="235">
        <f>SUMIF('7-Geveldelen  en wanden'!A:A,A78,'7-Geveldelen  en wanden'!J:J)</f>
        <v>0</v>
      </c>
      <c r="I78" s="118">
        <f ca="1">SUMIF('8b-Glas kosten totaal'!B:B,A78,'8b-Glas kosten totaal'!M:M)</f>
        <v>0</v>
      </c>
      <c r="J78" s="234">
        <f>'9-Machinekosten'!$P$39/'2-Kosten per locatie'!$D$85*'2-Kosten per locatie'!D78</f>
        <v>0</v>
      </c>
      <c r="K78" s="234">
        <f>SUMIF('10a-Periodieke beurt'!A:A,A78,'10a-Periodieke beurt'!M:M)</f>
        <v>0</v>
      </c>
      <c r="L78" s="629"/>
      <c r="M78" s="150">
        <f>SUMIF('12-Gelijkrichter stations'!$A$15:$A$31,A78,'12-Gelijkrichter stations'!$L$15:$L$31)</f>
        <v>0</v>
      </c>
      <c r="N78" s="150">
        <f>SUMIF('13- Technischeruimten'!$A$18:$A$68,A78,'13- Technischeruimten'!$H$18:$H$68)</f>
        <v>0</v>
      </c>
      <c r="O78" s="236">
        <f t="shared" ref="O78:O83" ca="1" si="2">SUM(E78:N78)</f>
        <v>0</v>
      </c>
    </row>
    <row r="79" spans="1:15">
      <c r="A79" s="53">
        <v>415</v>
      </c>
      <c r="B79" s="53" t="s">
        <v>1411</v>
      </c>
      <c r="C79" s="53" t="s">
        <v>1538</v>
      </c>
      <c r="D79" s="410">
        <f>SUMIF('3-Ruimtestaat'!B:B,A79,'3-Ruimtestaat'!I:I)</f>
        <v>42</v>
      </c>
      <c r="E79" s="150">
        <f>SUMIF('4-Reinigen vloeren'!A:A,A79,'4-Reinigen vloeren'!N:N)</f>
        <v>0</v>
      </c>
      <c r="F79" s="234">
        <f>SUMIF('5-Aanvullend'!A:A,A79,'5-Aanvullend'!J:J)</f>
        <v>0</v>
      </c>
      <c r="G79" s="150">
        <f>SUMIF('6-Liftbodems'!A:A,A79,'6-Liftbodems'!J:J)</f>
        <v>0</v>
      </c>
      <c r="H79" s="235">
        <f>SUMIF('7-Geveldelen  en wanden'!A:A,A79,'7-Geveldelen  en wanden'!J:J)</f>
        <v>0</v>
      </c>
      <c r="I79" s="118">
        <f ca="1">SUMIF('8b-Glas kosten totaal'!B:B,A79,'8b-Glas kosten totaal'!M:M)</f>
        <v>0</v>
      </c>
      <c r="J79" s="234">
        <f>'9-Machinekosten'!$P$39/'2-Kosten per locatie'!$D$85*'2-Kosten per locatie'!D79</f>
        <v>0</v>
      </c>
      <c r="K79" s="234">
        <f>SUMIF('10a-Periodieke beurt'!A:A,A79,'10a-Periodieke beurt'!M:M)</f>
        <v>0</v>
      </c>
      <c r="L79" s="629"/>
      <c r="M79" s="150">
        <f>SUMIF('12-Gelijkrichter stations'!$A$15:$A$31,A79,'12-Gelijkrichter stations'!$L$15:$L$31)</f>
        <v>0</v>
      </c>
      <c r="N79" s="150">
        <f>SUMIF('13- Technischeruimten'!$A$18:$A$68,A79,'13- Technischeruimten'!$H$18:$H$68)</f>
        <v>0</v>
      </c>
      <c r="O79" s="236">
        <f t="shared" ca="1" si="2"/>
        <v>0</v>
      </c>
    </row>
    <row r="80" spans="1:15">
      <c r="A80" s="526">
        <v>421</v>
      </c>
      <c r="B80" s="628" t="s">
        <v>2064</v>
      </c>
      <c r="C80" s="549" t="s">
        <v>1538</v>
      </c>
      <c r="D80" s="410">
        <f>SUMIF('3-Ruimtestaat'!B:B,A80,'3-Ruimtestaat'!I:I)</f>
        <v>182</v>
      </c>
      <c r="E80" s="150">
        <f>SUMIF('4-Reinigen vloeren'!A:A,A80,'4-Reinigen vloeren'!N:N)</f>
        <v>0</v>
      </c>
      <c r="F80" s="234">
        <f>SUMIF('5-Aanvullend'!A:A,A80,'5-Aanvullend'!J:J)</f>
        <v>0</v>
      </c>
      <c r="G80" s="150">
        <f>SUMIF('6-Liftbodems'!A:A,A80,'6-Liftbodems'!J:J)</f>
        <v>0</v>
      </c>
      <c r="H80" s="235">
        <f>SUMIF('7-Geveldelen  en wanden'!A:A,A80,'7-Geveldelen  en wanden'!J:J)</f>
        <v>0</v>
      </c>
      <c r="I80" s="118">
        <f>SUMIF('8b-Glas kosten totaal'!B:B,A80,'8b-Glas kosten totaal'!M:M)</f>
        <v>0</v>
      </c>
      <c r="J80" s="234">
        <f>'9-Machinekosten'!$P$39/'2-Kosten per locatie'!$D$85*'2-Kosten per locatie'!D80</f>
        <v>0</v>
      </c>
      <c r="K80" s="234">
        <f>SUMIF('10a-Periodieke beurt'!A:A,A80,'10a-Periodieke beurt'!M:M)</f>
        <v>0</v>
      </c>
      <c r="L80" s="629"/>
      <c r="M80" s="150">
        <f>SUMIF('12-Gelijkrichter stations'!$A$15:$A$31,A80,'12-Gelijkrichter stations'!$L$15:$L$31)</f>
        <v>0</v>
      </c>
      <c r="N80" s="150">
        <f>SUMIF('13- Technischeruimten'!$A$18:$A$68,A80,'13- Technischeruimten'!$H$18:$H$68)</f>
        <v>0</v>
      </c>
      <c r="O80" s="236">
        <f t="shared" si="2"/>
        <v>0</v>
      </c>
    </row>
    <row r="81" spans="1:15">
      <c r="A81" s="53" t="s">
        <v>2141</v>
      </c>
      <c r="B81" s="553" t="s">
        <v>1078</v>
      </c>
      <c r="C81" s="635" t="s">
        <v>1078</v>
      </c>
      <c r="D81" s="410">
        <f>SUMIF('3-Ruimtestaat'!B:B,A81,'3-Ruimtestaat'!I:I)</f>
        <v>0</v>
      </c>
      <c r="E81" s="150">
        <f>SUMIF('4-Reinigen vloeren'!A:A,A81,'4-Reinigen vloeren'!N:N)</f>
        <v>0</v>
      </c>
      <c r="F81" s="234">
        <f>SUMIF('5-Aanvullend'!A:A,A81,'5-Aanvullend'!J:J)</f>
        <v>0</v>
      </c>
      <c r="G81" s="150">
        <f>SUMIF('6-Liftbodems'!A:A,A81,'6-Liftbodems'!J:J)</f>
        <v>0</v>
      </c>
      <c r="H81" s="235">
        <f>SUMIF('7-Geveldelen  en wanden'!A:A,A81,'7-Geveldelen  en wanden'!J:J)</f>
        <v>0</v>
      </c>
      <c r="I81" s="118">
        <f>SUMIF('8b-Glas kosten totaal'!B:B,A81,'8b-Glas kosten totaal'!M:M)</f>
        <v>0</v>
      </c>
      <c r="J81" s="234">
        <f>'9-Machinekosten'!$P$39/'2-Kosten per locatie'!$D$85*'2-Kosten per locatie'!D81</f>
        <v>0</v>
      </c>
      <c r="K81" s="234">
        <f>SUMIF('10a-Periodieke beurt'!A:A,A81,'10a-Periodieke beurt'!M:M)</f>
        <v>0</v>
      </c>
      <c r="L81" s="629"/>
      <c r="M81" s="150">
        <f>SUMIF('12-Gelijkrichter stations'!$A$15:$A$31,A81,'12-Gelijkrichter stations'!$L$15:$L$31)</f>
        <v>0</v>
      </c>
      <c r="N81" s="150">
        <f>SUMIF('13- Technischeruimten'!$A$18:$A$68,A81,'13- Technischeruimten'!$H$18:$H$68)</f>
        <v>0</v>
      </c>
      <c r="O81" s="236">
        <f t="shared" ref="O81" si="3">SUM(E81:N81)</f>
        <v>0</v>
      </c>
    </row>
    <row r="82" spans="1:15">
      <c r="A82" s="53" t="s">
        <v>2140</v>
      </c>
      <c r="B82" s="53" t="s">
        <v>2050</v>
      </c>
      <c r="C82" s="53" t="s">
        <v>180</v>
      </c>
      <c r="D82" s="410">
        <f>SUMIF('3-Ruimtestaat'!B:B,A82,'3-Ruimtestaat'!I:I)</f>
        <v>0</v>
      </c>
      <c r="E82" s="150">
        <f>SUMIF('4-Reinigen vloeren'!A:A,A82,'4-Reinigen vloeren'!N:N)</f>
        <v>0</v>
      </c>
      <c r="F82" s="234">
        <f>SUMIF('5-Aanvullend'!A:A,A82,'5-Aanvullend'!J:J)</f>
        <v>0</v>
      </c>
      <c r="G82" s="150">
        <f>SUMIF('6-Liftbodems'!A:A,A82,'6-Liftbodems'!J:J)</f>
        <v>0</v>
      </c>
      <c r="H82" s="235">
        <f>SUMIF('7-Geveldelen  en wanden'!A:A,A82,'7-Geveldelen  en wanden'!J:J)</f>
        <v>0</v>
      </c>
      <c r="I82" s="118">
        <f>SUMIF('8b-Glas kosten totaal'!B:B,A82,'8b-Glas kosten totaal'!M:M)</f>
        <v>0</v>
      </c>
      <c r="J82" s="234">
        <f>'9-Machinekosten'!$P$39/'2-Kosten per locatie'!$D$85*'2-Kosten per locatie'!D82</f>
        <v>0</v>
      </c>
      <c r="K82" s="234">
        <f>SUMIF('10a-Periodieke beurt'!A:A,A82,'10a-Periodieke beurt'!M:M)</f>
        <v>0</v>
      </c>
      <c r="L82" s="629"/>
      <c r="M82" s="150">
        <f>SUMIF('12-Gelijkrichter stations'!$A$15:$A$31,A82,'12-Gelijkrichter stations'!$L$15:$L$31)</f>
        <v>0</v>
      </c>
      <c r="N82" s="150">
        <f>SUMIF('13- Technischeruimten'!$A$18:$A$68,A82,'13- Technischeruimten'!$H$18:$H$68)</f>
        <v>0</v>
      </c>
      <c r="O82" s="236">
        <f t="shared" si="2"/>
        <v>0</v>
      </c>
    </row>
    <row r="83" spans="1:15">
      <c r="A83" s="53" t="s">
        <v>2063</v>
      </c>
      <c r="B83" s="53" t="s">
        <v>2134</v>
      </c>
      <c r="C83" s="53" t="s">
        <v>180</v>
      </c>
      <c r="D83" s="410"/>
      <c r="E83" s="150"/>
      <c r="F83" s="234"/>
      <c r="G83" s="150"/>
      <c r="H83" s="235"/>
      <c r="I83" s="118"/>
      <c r="J83" s="234"/>
      <c r="K83" s="234"/>
      <c r="L83" s="629">
        <f>'11a- Afroepprijs graffiti'!E16</f>
        <v>0</v>
      </c>
      <c r="M83" s="150"/>
      <c r="N83" s="150"/>
      <c r="O83" s="236">
        <f t="shared" si="2"/>
        <v>0</v>
      </c>
    </row>
    <row r="84" spans="1:15" ht="14.25" thickBot="1">
      <c r="F84" s="234"/>
      <c r="J84" s="234"/>
      <c r="K84" s="234"/>
      <c r="L84" s="152"/>
      <c r="M84" s="152"/>
      <c r="N84" s="152"/>
    </row>
    <row r="85" spans="1:15" s="196" customFormat="1" thickBot="1">
      <c r="A85" s="403"/>
      <c r="B85" s="237" t="s">
        <v>1338</v>
      </c>
      <c r="C85" s="237"/>
      <c r="D85" s="411">
        <f t="shared" ref="D85:O85" si="4">SUM(D14:D83)</f>
        <v>109862.45737906781</v>
      </c>
      <c r="E85" s="255" t="e">
        <f t="shared" si="4"/>
        <v>#DIV/0!</v>
      </c>
      <c r="F85" s="255">
        <f t="shared" si="4"/>
        <v>0</v>
      </c>
      <c r="G85" s="255">
        <f t="shared" si="4"/>
        <v>0</v>
      </c>
      <c r="H85" s="255">
        <f t="shared" si="4"/>
        <v>0</v>
      </c>
      <c r="I85" s="255">
        <f t="shared" ca="1" si="4"/>
        <v>0</v>
      </c>
      <c r="J85" s="255">
        <f t="shared" si="4"/>
        <v>0</v>
      </c>
      <c r="K85" s="255">
        <f t="shared" si="4"/>
        <v>0</v>
      </c>
      <c r="L85" s="255"/>
      <c r="M85" s="255">
        <f t="shared" si="4"/>
        <v>0</v>
      </c>
      <c r="N85" s="255" t="e">
        <f t="shared" si="4"/>
        <v>#DIV/0!</v>
      </c>
      <c r="O85" s="255" t="e">
        <f t="shared" si="4"/>
        <v>#DIV/0!</v>
      </c>
    </row>
    <row r="86" spans="1:15">
      <c r="I86" s="238"/>
    </row>
  </sheetData>
  <autoFilter ref="A13:O85" xr:uid="{E7F9568E-A4F1-428F-9CA5-9F24B7932071}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S1626"/>
  <sheetViews>
    <sheetView showGridLines="0" zoomScale="70" zoomScaleNormal="70" workbookViewId="0">
      <pane xSplit="2" ySplit="11" topLeftCell="C12" activePane="bottomRight" state="frozen"/>
      <selection activeCell="F30" sqref="F30"/>
      <selection pane="topRight" activeCell="F30" sqref="F30"/>
      <selection pane="bottomLeft" activeCell="F30" sqref="F30"/>
      <selection pane="bottomRight" activeCell="C1" sqref="B1:C1"/>
    </sheetView>
  </sheetViews>
  <sheetFormatPr defaultColWidth="9.140625" defaultRowHeight="15" customHeight="1"/>
  <cols>
    <col min="1" max="1" width="9" style="146" customWidth="1"/>
    <col min="2" max="2" width="13.7109375" style="226" customWidth="1"/>
    <col min="3" max="3" width="31.28515625" style="187" bestFit="1" customWidth="1"/>
    <col min="4" max="4" width="21.5703125" style="27" customWidth="1"/>
    <col min="5" max="5" width="21.5703125" style="188" customWidth="1"/>
    <col min="6" max="6" width="55.5703125" style="27" bestFit="1" customWidth="1"/>
    <col min="7" max="7" width="15.28515625" style="27" customWidth="1"/>
    <col min="8" max="8" width="24.7109375" style="27" customWidth="1"/>
    <col min="9" max="9" width="12.140625" style="201" customWidth="1"/>
    <col min="10" max="18" width="9.5703125" style="146" customWidth="1"/>
    <col min="19" max="19" width="53" style="227" customWidth="1"/>
    <col min="20" max="16384" width="9.140625" style="27"/>
  </cols>
  <sheetData>
    <row r="1" spans="1:19" ht="12.75" customHeight="1">
      <c r="A1" s="412">
        <v>1</v>
      </c>
      <c r="B1" s="187"/>
      <c r="D1" s="187"/>
      <c r="I1" s="189"/>
      <c r="J1" s="190"/>
      <c r="K1" s="190"/>
      <c r="L1" s="190"/>
      <c r="M1" s="190"/>
      <c r="N1" s="190"/>
      <c r="O1" s="190"/>
      <c r="P1" s="190"/>
      <c r="Q1" s="190"/>
      <c r="R1" s="190"/>
      <c r="S1" s="191"/>
    </row>
    <row r="2" spans="1:19" ht="12.75" customHeight="1">
      <c r="A2" s="413">
        <f>1+A1</f>
        <v>2</v>
      </c>
      <c r="B2" s="192"/>
      <c r="D2" s="193"/>
      <c r="E2" s="194"/>
      <c r="I2" s="189"/>
      <c r="J2" s="190"/>
      <c r="K2" s="190"/>
      <c r="L2" s="190"/>
      <c r="M2" s="190"/>
      <c r="N2" s="190"/>
      <c r="O2" s="196"/>
      <c r="P2" s="196"/>
      <c r="Q2" s="196"/>
      <c r="R2" s="196"/>
      <c r="S2" s="198"/>
    </row>
    <row r="3" spans="1:19" ht="17.25">
      <c r="A3" s="413">
        <f t="shared" ref="A3:A66" si="0">1+A2</f>
        <v>3</v>
      </c>
      <c r="B3" s="250" t="s">
        <v>3</v>
      </c>
      <c r="D3" s="241" t="str">
        <f>'1-Inschrijfstaat'!B3</f>
        <v>GVB Infra B.V.</v>
      </c>
      <c r="E3" s="194"/>
      <c r="I3" s="189"/>
      <c r="J3" s="190"/>
      <c r="K3" s="190"/>
      <c r="L3" s="190"/>
      <c r="M3" s="190"/>
      <c r="N3" s="190"/>
      <c r="O3" s="200"/>
      <c r="P3" s="200"/>
      <c r="Q3" s="200"/>
      <c r="R3" s="200"/>
      <c r="S3" s="198"/>
    </row>
    <row r="4" spans="1:19" ht="17.25">
      <c r="A4" s="413">
        <f t="shared" si="0"/>
        <v>4</v>
      </c>
      <c r="B4" s="250" t="s">
        <v>8</v>
      </c>
      <c r="D4" s="241" t="str">
        <f ca="1">MID(CELL("bestandsnaam",$C$9),SEARCH("]",CELL("bestandsnaam",$C$9),1)+1,256)</f>
        <v>3-Ruimtestaat</v>
      </c>
      <c r="E4" s="194"/>
      <c r="I4" s="189"/>
      <c r="J4" s="190"/>
      <c r="K4" s="190"/>
      <c r="L4" s="190"/>
      <c r="M4" s="190"/>
      <c r="N4" s="190"/>
      <c r="S4" s="198"/>
    </row>
    <row r="5" spans="1:19" ht="17.25">
      <c r="A5" s="413">
        <f t="shared" si="0"/>
        <v>5</v>
      </c>
      <c r="B5" s="250" t="s">
        <v>4</v>
      </c>
      <c r="D5" s="241" t="str">
        <f>'1-Inschrijfstaat'!B5</f>
        <v>Diverse</v>
      </c>
      <c r="E5" s="194"/>
      <c r="I5" s="189"/>
      <c r="J5" s="190"/>
      <c r="K5" s="190"/>
      <c r="L5" s="190"/>
      <c r="M5" s="190"/>
      <c r="N5" s="190"/>
      <c r="S5" s="198"/>
    </row>
    <row r="6" spans="1:19" ht="17.25">
      <c r="A6" s="413">
        <f t="shared" si="0"/>
        <v>6</v>
      </c>
      <c r="B6" s="250" t="s">
        <v>9</v>
      </c>
      <c r="D6" s="241" t="str">
        <f>'1-Inschrijfstaat'!B6</f>
        <v>2021-61</v>
      </c>
      <c r="E6" s="194"/>
      <c r="I6" s="189"/>
      <c r="J6" s="190"/>
      <c r="K6" s="190"/>
      <c r="L6" s="190"/>
      <c r="M6" s="190"/>
      <c r="N6" s="190"/>
      <c r="S6" s="198"/>
    </row>
    <row r="7" spans="1:19" ht="17.25">
      <c r="A7" s="413">
        <f t="shared" si="0"/>
        <v>7</v>
      </c>
      <c r="B7" s="250" t="s">
        <v>6</v>
      </c>
      <c r="D7" s="241" t="str">
        <f>'1-Inschrijfstaat'!B7</f>
        <v>Naam dienstverlener</v>
      </c>
      <c r="E7" s="194"/>
      <c r="I7" s="189"/>
      <c r="J7" s="190"/>
      <c r="K7" s="190"/>
      <c r="L7" s="190"/>
      <c r="M7" s="190"/>
      <c r="N7" s="190"/>
      <c r="S7" s="198"/>
    </row>
    <row r="8" spans="1:19" ht="15.75">
      <c r="A8" s="413">
        <f t="shared" si="0"/>
        <v>8</v>
      </c>
      <c r="B8" s="250" t="s">
        <v>7</v>
      </c>
      <c r="D8" s="11" t="str">
        <f>'1-Inschrijfstaat'!B8</f>
        <v>1 januari 2022</v>
      </c>
      <c r="E8" s="194"/>
      <c r="I8" s="189"/>
      <c r="J8" s="190"/>
      <c r="K8" s="190"/>
      <c r="L8" s="190"/>
      <c r="M8" s="190"/>
      <c r="N8" s="190"/>
      <c r="S8" s="198"/>
    </row>
    <row r="9" spans="1:19">
      <c r="A9" s="413">
        <f t="shared" si="0"/>
        <v>9</v>
      </c>
      <c r="B9" s="256" t="s">
        <v>0</v>
      </c>
      <c r="D9" s="202" t="str">
        <f>'1-Inschrijfstaat'!B9</f>
        <v>1 Technische schoonmaak Algemeen</v>
      </c>
      <c r="E9" s="203"/>
      <c r="I9" s="189"/>
      <c r="J9" s="190"/>
      <c r="K9" s="190"/>
      <c r="L9" s="190"/>
      <c r="M9" s="190"/>
      <c r="N9" s="190"/>
      <c r="S9" s="198"/>
    </row>
    <row r="10" spans="1:19" s="210" customFormat="1" ht="13.5">
      <c r="A10" s="413">
        <f t="shared" si="0"/>
        <v>10</v>
      </c>
      <c r="B10" s="204"/>
      <c r="C10" s="205"/>
      <c r="D10" s="27"/>
      <c r="E10" s="206"/>
      <c r="F10" s="27"/>
      <c r="G10" s="205"/>
      <c r="H10" s="207"/>
      <c r="I10" s="208"/>
      <c r="J10" s="670" t="s">
        <v>1912</v>
      </c>
      <c r="K10" s="671"/>
      <c r="L10" s="671"/>
      <c r="M10" s="671"/>
      <c r="N10" s="671"/>
      <c r="O10" s="671"/>
      <c r="P10" s="671"/>
      <c r="Q10" s="671"/>
      <c r="R10" s="672"/>
      <c r="S10" s="209"/>
    </row>
    <row r="11" spans="1:19" ht="50.25" customHeight="1">
      <c r="A11" s="413">
        <f t="shared" si="0"/>
        <v>11</v>
      </c>
      <c r="B11" s="257" t="s">
        <v>289</v>
      </c>
      <c r="C11" s="257" t="s">
        <v>290</v>
      </c>
      <c r="D11" s="257" t="s">
        <v>13</v>
      </c>
      <c r="E11" s="257" t="s">
        <v>179</v>
      </c>
      <c r="F11" s="257" t="s">
        <v>1076</v>
      </c>
      <c r="G11" s="257" t="s">
        <v>1686</v>
      </c>
      <c r="H11" s="257" t="s">
        <v>1077</v>
      </c>
      <c r="I11" s="258" t="s">
        <v>1916</v>
      </c>
      <c r="J11" s="258" t="s">
        <v>1917</v>
      </c>
      <c r="K11" s="258" t="s">
        <v>1918</v>
      </c>
      <c r="L11" s="258" t="s">
        <v>1919</v>
      </c>
      <c r="M11" s="258" t="s">
        <v>1920</v>
      </c>
      <c r="N11" s="258" t="s">
        <v>1921</v>
      </c>
      <c r="O11" s="258" t="s">
        <v>295</v>
      </c>
      <c r="P11" s="258" t="s">
        <v>293</v>
      </c>
      <c r="Q11" s="258" t="s">
        <v>294</v>
      </c>
      <c r="R11" s="258" t="s">
        <v>1922</v>
      </c>
      <c r="S11" s="257" t="s">
        <v>11</v>
      </c>
    </row>
    <row r="12" spans="1:19" ht="15" customHeight="1">
      <c r="A12" s="413">
        <f t="shared" si="0"/>
        <v>12</v>
      </c>
      <c r="B12" s="26">
        <v>102</v>
      </c>
      <c r="C12" s="153" t="s">
        <v>849</v>
      </c>
      <c r="D12" s="211" t="s">
        <v>180</v>
      </c>
      <c r="E12" s="212" t="s">
        <v>716</v>
      </c>
      <c r="F12" s="213" t="s">
        <v>855</v>
      </c>
      <c r="G12" s="214" t="s">
        <v>856</v>
      </c>
      <c r="H12" s="213" t="s">
        <v>1312</v>
      </c>
      <c r="I12" s="215">
        <v>23</v>
      </c>
      <c r="J12" s="216"/>
      <c r="K12" s="216"/>
      <c r="L12" s="216"/>
      <c r="M12" s="216"/>
      <c r="N12" s="216"/>
      <c r="O12" s="217"/>
      <c r="P12" s="217"/>
      <c r="Q12" s="217"/>
      <c r="R12" s="217"/>
      <c r="S12" s="218"/>
    </row>
    <row r="13" spans="1:19" ht="15" customHeight="1">
      <c r="A13" s="413">
        <f t="shared" si="0"/>
        <v>13</v>
      </c>
      <c r="B13" s="26">
        <v>102</v>
      </c>
      <c r="C13" s="153" t="s">
        <v>849</v>
      </c>
      <c r="D13" s="211" t="s">
        <v>180</v>
      </c>
      <c r="E13" s="212" t="s">
        <v>716</v>
      </c>
      <c r="F13" s="213" t="s">
        <v>857</v>
      </c>
      <c r="G13" s="214" t="s">
        <v>858</v>
      </c>
      <c r="H13" s="213" t="s">
        <v>1311</v>
      </c>
      <c r="I13" s="215">
        <v>0</v>
      </c>
      <c r="J13" s="216"/>
      <c r="K13" s="216"/>
      <c r="L13" s="216"/>
      <c r="M13" s="216"/>
      <c r="N13" s="216"/>
      <c r="O13" s="217"/>
      <c r="P13" s="217"/>
      <c r="Q13" s="217"/>
      <c r="R13" s="217"/>
      <c r="S13" s="218" t="s">
        <v>947</v>
      </c>
    </row>
    <row r="14" spans="1:19" ht="15" customHeight="1">
      <c r="A14" s="413">
        <f t="shared" si="0"/>
        <v>14</v>
      </c>
      <c r="B14" s="26">
        <v>102</v>
      </c>
      <c r="C14" s="153" t="s">
        <v>849</v>
      </c>
      <c r="D14" s="211" t="s">
        <v>180</v>
      </c>
      <c r="E14" s="212" t="s">
        <v>716</v>
      </c>
      <c r="F14" s="213" t="s">
        <v>859</v>
      </c>
      <c r="G14" s="214" t="s">
        <v>860</v>
      </c>
      <c r="H14" s="213" t="s">
        <v>1312</v>
      </c>
      <c r="I14" s="215">
        <v>25</v>
      </c>
      <c r="J14" s="216"/>
      <c r="K14" s="216">
        <v>20</v>
      </c>
      <c r="L14" s="216"/>
      <c r="M14" s="216"/>
      <c r="N14" s="216"/>
      <c r="O14" s="217"/>
      <c r="P14" s="217"/>
      <c r="Q14" s="217"/>
      <c r="R14" s="217"/>
      <c r="S14" s="218" t="s">
        <v>1134</v>
      </c>
    </row>
    <row r="15" spans="1:19" ht="15" customHeight="1">
      <c r="A15" s="413">
        <f t="shared" si="0"/>
        <v>15</v>
      </c>
      <c r="B15" s="26">
        <v>102</v>
      </c>
      <c r="C15" s="153" t="s">
        <v>849</v>
      </c>
      <c r="D15" s="211" t="s">
        <v>180</v>
      </c>
      <c r="E15" s="212" t="s">
        <v>716</v>
      </c>
      <c r="F15" s="213" t="s">
        <v>861</v>
      </c>
      <c r="G15" s="214" t="s">
        <v>862</v>
      </c>
      <c r="H15" s="213" t="s">
        <v>1311</v>
      </c>
      <c r="I15" s="215">
        <v>0</v>
      </c>
      <c r="J15" s="216"/>
      <c r="K15" s="216"/>
      <c r="L15" s="216"/>
      <c r="M15" s="216"/>
      <c r="N15" s="216"/>
      <c r="O15" s="217"/>
      <c r="P15" s="217"/>
      <c r="Q15" s="217"/>
      <c r="R15" s="217"/>
      <c r="S15" s="218" t="s">
        <v>610</v>
      </c>
    </row>
    <row r="16" spans="1:19" ht="15" customHeight="1">
      <c r="A16" s="413">
        <f t="shared" si="0"/>
        <v>16</v>
      </c>
      <c r="B16" s="26">
        <v>102</v>
      </c>
      <c r="C16" s="153" t="s">
        <v>849</v>
      </c>
      <c r="D16" s="211" t="s">
        <v>180</v>
      </c>
      <c r="E16" s="212" t="s">
        <v>716</v>
      </c>
      <c r="F16" s="213" t="s">
        <v>647</v>
      </c>
      <c r="G16" s="214" t="s">
        <v>863</v>
      </c>
      <c r="H16" s="213" t="s">
        <v>19</v>
      </c>
      <c r="I16" s="215">
        <v>99</v>
      </c>
      <c r="J16" s="216"/>
      <c r="K16" s="216"/>
      <c r="L16" s="216">
        <v>84</v>
      </c>
      <c r="M16" s="216"/>
      <c r="N16" s="216"/>
      <c r="O16" s="217"/>
      <c r="P16" s="217">
        <v>99</v>
      </c>
      <c r="Q16" s="217"/>
      <c r="R16" s="217"/>
      <c r="S16" s="218" t="s">
        <v>527</v>
      </c>
    </row>
    <row r="17" spans="1:19" ht="15" customHeight="1">
      <c r="A17" s="413">
        <f t="shared" si="0"/>
        <v>17</v>
      </c>
      <c r="B17" s="26">
        <v>102</v>
      </c>
      <c r="C17" s="153" t="s">
        <v>849</v>
      </c>
      <c r="D17" s="211" t="s">
        <v>180</v>
      </c>
      <c r="E17" s="212" t="s">
        <v>716</v>
      </c>
      <c r="F17" s="213" t="s">
        <v>864</v>
      </c>
      <c r="G17" s="214" t="s">
        <v>865</v>
      </c>
      <c r="H17" s="213" t="s">
        <v>19</v>
      </c>
      <c r="I17" s="215">
        <v>8</v>
      </c>
      <c r="J17" s="216"/>
      <c r="K17" s="216"/>
      <c r="L17" s="216">
        <v>57</v>
      </c>
      <c r="M17" s="216"/>
      <c r="N17" s="216"/>
      <c r="O17" s="217"/>
      <c r="P17" s="217">
        <v>8</v>
      </c>
      <c r="Q17" s="217"/>
      <c r="R17" s="217"/>
      <c r="S17" s="218" t="s">
        <v>527</v>
      </c>
    </row>
    <row r="18" spans="1:19" ht="15" customHeight="1">
      <c r="A18" s="413">
        <f t="shared" si="0"/>
        <v>18</v>
      </c>
      <c r="B18" s="26">
        <v>102</v>
      </c>
      <c r="C18" s="153" t="s">
        <v>849</v>
      </c>
      <c r="D18" s="211" t="s">
        <v>180</v>
      </c>
      <c r="E18" s="212" t="s">
        <v>716</v>
      </c>
      <c r="F18" s="213" t="s">
        <v>866</v>
      </c>
      <c r="G18" s="214" t="s">
        <v>867</v>
      </c>
      <c r="H18" s="213" t="s">
        <v>298</v>
      </c>
      <c r="I18" s="215">
        <v>7.8000000000000007</v>
      </c>
      <c r="J18" s="216"/>
      <c r="K18" s="216">
        <v>58</v>
      </c>
      <c r="L18" s="216"/>
      <c r="M18" s="216"/>
      <c r="N18" s="216"/>
      <c r="O18" s="217"/>
      <c r="P18" s="217"/>
      <c r="Q18" s="217"/>
      <c r="R18" s="217"/>
      <c r="S18" s="218" t="s">
        <v>1134</v>
      </c>
    </row>
    <row r="19" spans="1:19" ht="15" customHeight="1">
      <c r="A19" s="413">
        <f t="shared" si="0"/>
        <v>19</v>
      </c>
      <c r="B19" s="26">
        <v>102</v>
      </c>
      <c r="C19" s="153" t="s">
        <v>849</v>
      </c>
      <c r="D19" s="211" t="s">
        <v>180</v>
      </c>
      <c r="E19" s="212" t="s">
        <v>716</v>
      </c>
      <c r="F19" s="213" t="s">
        <v>868</v>
      </c>
      <c r="G19" s="214" t="s">
        <v>869</v>
      </c>
      <c r="H19" s="213" t="s">
        <v>298</v>
      </c>
      <c r="I19" s="215">
        <v>7.8000000000000007</v>
      </c>
      <c r="J19" s="216"/>
      <c r="K19" s="216">
        <v>50</v>
      </c>
      <c r="L19" s="216"/>
      <c r="M19" s="216"/>
      <c r="N19" s="216"/>
      <c r="O19" s="217"/>
      <c r="P19" s="217"/>
      <c r="Q19" s="217"/>
      <c r="R19" s="217"/>
      <c r="S19" s="218" t="s">
        <v>1134</v>
      </c>
    </row>
    <row r="20" spans="1:19" ht="15" customHeight="1">
      <c r="A20" s="413">
        <f t="shared" si="0"/>
        <v>20</v>
      </c>
      <c r="B20" s="26">
        <v>102</v>
      </c>
      <c r="C20" s="153" t="s">
        <v>849</v>
      </c>
      <c r="D20" s="211" t="s">
        <v>180</v>
      </c>
      <c r="E20" s="212" t="s">
        <v>854</v>
      </c>
      <c r="F20" s="213" t="s">
        <v>870</v>
      </c>
      <c r="G20" s="214" t="s">
        <v>359</v>
      </c>
      <c r="H20" s="213" t="s">
        <v>1312</v>
      </c>
      <c r="I20" s="215">
        <v>26</v>
      </c>
      <c r="J20" s="216"/>
      <c r="K20" s="216"/>
      <c r="L20" s="216"/>
      <c r="M20" s="216"/>
      <c r="N20" s="216"/>
      <c r="O20" s="217"/>
      <c r="P20" s="217"/>
      <c r="Q20" s="217"/>
      <c r="R20" s="217"/>
      <c r="S20" s="218"/>
    </row>
    <row r="21" spans="1:19" ht="15" customHeight="1">
      <c r="A21" s="413">
        <f t="shared" si="0"/>
        <v>21</v>
      </c>
      <c r="B21" s="26">
        <v>102</v>
      </c>
      <c r="C21" s="153" t="s">
        <v>849</v>
      </c>
      <c r="D21" s="211" t="s">
        <v>180</v>
      </c>
      <c r="E21" s="212" t="s">
        <v>854</v>
      </c>
      <c r="F21" s="213" t="s">
        <v>871</v>
      </c>
      <c r="G21" s="214" t="s">
        <v>362</v>
      </c>
      <c r="H21" s="213" t="s">
        <v>1311</v>
      </c>
      <c r="I21" s="215">
        <f>(+(5.4+2+5.4)*2.7+4.7*2.5)*1.3</f>
        <v>60.203000000000003</v>
      </c>
      <c r="J21" s="216"/>
      <c r="K21" s="216">
        <f>2*(11.6*3.4+7*3.3)+4.7*3.4-23</f>
        <v>118.05999999999997</v>
      </c>
      <c r="L21" s="216"/>
      <c r="M21" s="216"/>
      <c r="N21" s="216"/>
      <c r="O21" s="217"/>
      <c r="P21" s="217"/>
      <c r="Q21" s="217">
        <v>87</v>
      </c>
      <c r="R21" s="217"/>
      <c r="S21" s="218" t="s">
        <v>948</v>
      </c>
    </row>
    <row r="22" spans="1:19" ht="15" customHeight="1">
      <c r="A22" s="413">
        <f t="shared" si="0"/>
        <v>22</v>
      </c>
      <c r="B22" s="26">
        <v>102</v>
      </c>
      <c r="C22" s="153" t="s">
        <v>849</v>
      </c>
      <c r="D22" s="211" t="s">
        <v>180</v>
      </c>
      <c r="E22" s="212" t="s">
        <v>854</v>
      </c>
      <c r="F22" s="213" t="s">
        <v>363</v>
      </c>
      <c r="G22" s="214" t="s">
        <v>361</v>
      </c>
      <c r="H22" s="213" t="s">
        <v>109</v>
      </c>
      <c r="I22" s="215">
        <f>(82+212+308)*1.3</f>
        <v>782.6</v>
      </c>
      <c r="J22" s="216"/>
      <c r="K22" s="216">
        <f>90+72+71+146+157+23</f>
        <v>559</v>
      </c>
      <c r="L22" s="216"/>
      <c r="M22" s="216"/>
      <c r="N22" s="216"/>
      <c r="O22" s="217"/>
      <c r="P22" s="217"/>
      <c r="Q22" s="217">
        <f>90+212</f>
        <v>302</v>
      </c>
      <c r="R22" s="217"/>
      <c r="S22" s="218" t="s">
        <v>949</v>
      </c>
    </row>
    <row r="23" spans="1:19" ht="15" customHeight="1">
      <c r="A23" s="413">
        <f t="shared" si="0"/>
        <v>23</v>
      </c>
      <c r="B23" s="26">
        <v>102</v>
      </c>
      <c r="C23" s="153" t="s">
        <v>849</v>
      </c>
      <c r="D23" s="211" t="s">
        <v>180</v>
      </c>
      <c r="E23" s="212" t="s">
        <v>854</v>
      </c>
      <c r="F23" s="213" t="s">
        <v>855</v>
      </c>
      <c r="G23" s="214" t="s">
        <v>365</v>
      </c>
      <c r="H23" s="213" t="s">
        <v>174</v>
      </c>
      <c r="I23" s="215"/>
      <c r="J23" s="216"/>
      <c r="K23" s="216"/>
      <c r="L23" s="216"/>
      <c r="M23" s="216"/>
      <c r="N23" s="216"/>
      <c r="O23" s="217"/>
      <c r="P23" s="217"/>
      <c r="Q23" s="217"/>
      <c r="R23" s="217"/>
      <c r="S23" s="218" t="s">
        <v>1135</v>
      </c>
    </row>
    <row r="24" spans="1:19" ht="15" customHeight="1">
      <c r="A24" s="413">
        <f t="shared" si="0"/>
        <v>24</v>
      </c>
      <c r="B24" s="26">
        <v>102</v>
      </c>
      <c r="C24" s="153" t="s">
        <v>849</v>
      </c>
      <c r="D24" s="211" t="s">
        <v>180</v>
      </c>
      <c r="E24" s="212" t="s">
        <v>854</v>
      </c>
      <c r="F24" s="213" t="s">
        <v>872</v>
      </c>
      <c r="G24" s="214" t="s">
        <v>366</v>
      </c>
      <c r="H24" s="213" t="s">
        <v>1311</v>
      </c>
      <c r="I24" s="215">
        <v>46.800000000000004</v>
      </c>
      <c r="J24" s="216"/>
      <c r="K24" s="216">
        <f>84+27</f>
        <v>111</v>
      </c>
      <c r="L24" s="216"/>
      <c r="M24" s="216"/>
      <c r="N24" s="216"/>
      <c r="O24" s="217"/>
      <c r="P24" s="217"/>
      <c r="Q24" s="217">
        <v>20</v>
      </c>
      <c r="R24" s="217"/>
      <c r="S24" s="218" t="s">
        <v>1136</v>
      </c>
    </row>
    <row r="25" spans="1:19" ht="15" customHeight="1">
      <c r="A25" s="413">
        <f t="shared" si="0"/>
        <v>25</v>
      </c>
      <c r="B25" s="26">
        <v>102</v>
      </c>
      <c r="C25" s="153" t="s">
        <v>849</v>
      </c>
      <c r="D25" s="211" t="s">
        <v>180</v>
      </c>
      <c r="E25" s="212" t="s">
        <v>854</v>
      </c>
      <c r="F25" s="213" t="s">
        <v>373</v>
      </c>
      <c r="G25" s="214" t="s">
        <v>367</v>
      </c>
      <c r="H25" s="213" t="s">
        <v>1312</v>
      </c>
      <c r="I25" s="215">
        <v>20</v>
      </c>
      <c r="J25" s="216"/>
      <c r="K25" s="216"/>
      <c r="L25" s="216"/>
      <c r="M25" s="216"/>
      <c r="N25" s="216"/>
      <c r="O25" s="217"/>
      <c r="P25" s="217"/>
      <c r="Q25" s="217"/>
      <c r="R25" s="217"/>
      <c r="S25" s="218"/>
    </row>
    <row r="26" spans="1:19" ht="15" customHeight="1">
      <c r="A26" s="413">
        <f t="shared" si="0"/>
        <v>26</v>
      </c>
      <c r="B26" s="26">
        <v>102</v>
      </c>
      <c r="C26" s="153" t="s">
        <v>849</v>
      </c>
      <c r="D26" s="211" t="s">
        <v>180</v>
      </c>
      <c r="E26" s="212" t="s">
        <v>854</v>
      </c>
      <c r="F26" s="213" t="s">
        <v>375</v>
      </c>
      <c r="G26" s="214" t="s">
        <v>369</v>
      </c>
      <c r="H26" s="213" t="s">
        <v>1311</v>
      </c>
      <c r="I26" s="215">
        <v>29.900000000000002</v>
      </c>
      <c r="J26" s="216"/>
      <c r="K26" s="216">
        <v>12</v>
      </c>
      <c r="L26" s="216"/>
      <c r="M26" s="216"/>
      <c r="N26" s="216"/>
      <c r="O26" s="217"/>
      <c r="P26" s="217"/>
      <c r="Q26" s="217">
        <v>23</v>
      </c>
      <c r="R26" s="217"/>
      <c r="S26" s="218" t="s">
        <v>521</v>
      </c>
    </row>
    <row r="27" spans="1:19" ht="15" customHeight="1">
      <c r="A27" s="413">
        <f t="shared" si="0"/>
        <v>27</v>
      </c>
      <c r="B27" s="26">
        <v>102</v>
      </c>
      <c r="C27" s="153" t="s">
        <v>849</v>
      </c>
      <c r="D27" s="211" t="s">
        <v>180</v>
      </c>
      <c r="E27" s="212" t="s">
        <v>854</v>
      </c>
      <c r="F27" s="213" t="s">
        <v>375</v>
      </c>
      <c r="G27" s="214" t="s">
        <v>371</v>
      </c>
      <c r="H27" s="213" t="s">
        <v>1311</v>
      </c>
      <c r="I27" s="215">
        <v>32.5</v>
      </c>
      <c r="J27" s="216"/>
      <c r="K27" s="216">
        <v>12</v>
      </c>
      <c r="L27" s="216"/>
      <c r="M27" s="216"/>
      <c r="N27" s="216"/>
      <c r="O27" s="217"/>
      <c r="P27" s="217"/>
      <c r="Q27" s="217">
        <v>25</v>
      </c>
      <c r="R27" s="217"/>
      <c r="S27" s="218" t="s">
        <v>521</v>
      </c>
    </row>
    <row r="28" spans="1:19" ht="15" customHeight="1">
      <c r="A28" s="413">
        <f t="shared" si="0"/>
        <v>28</v>
      </c>
      <c r="B28" s="26">
        <v>102</v>
      </c>
      <c r="C28" s="153" t="s">
        <v>849</v>
      </c>
      <c r="D28" s="211" t="s">
        <v>180</v>
      </c>
      <c r="E28" s="212" t="s">
        <v>854</v>
      </c>
      <c r="F28" s="213" t="s">
        <v>373</v>
      </c>
      <c r="G28" s="214" t="s">
        <v>372</v>
      </c>
      <c r="H28" s="213" t="s">
        <v>1312</v>
      </c>
      <c r="I28" s="215">
        <v>22</v>
      </c>
      <c r="J28" s="216"/>
      <c r="K28" s="216"/>
      <c r="L28" s="216"/>
      <c r="M28" s="216"/>
      <c r="N28" s="216"/>
      <c r="O28" s="217"/>
      <c r="P28" s="217"/>
      <c r="Q28" s="217"/>
      <c r="R28" s="217"/>
      <c r="S28" s="218"/>
    </row>
    <row r="29" spans="1:19" ht="15" customHeight="1">
      <c r="A29" s="413">
        <f t="shared" si="0"/>
        <v>29</v>
      </c>
      <c r="B29" s="26">
        <v>102</v>
      </c>
      <c r="C29" s="153" t="s">
        <v>849</v>
      </c>
      <c r="D29" s="211" t="s">
        <v>180</v>
      </c>
      <c r="E29" s="212" t="s">
        <v>854</v>
      </c>
      <c r="F29" s="213" t="s">
        <v>363</v>
      </c>
      <c r="G29" s="214" t="s">
        <v>374</v>
      </c>
      <c r="H29" s="213" t="s">
        <v>109</v>
      </c>
      <c r="I29" s="215">
        <v>418.6</v>
      </c>
      <c r="J29" s="216"/>
      <c r="K29" s="216">
        <v>597</v>
      </c>
      <c r="L29" s="216"/>
      <c r="M29" s="216"/>
      <c r="N29" s="216"/>
      <c r="O29" s="217"/>
      <c r="P29" s="217"/>
      <c r="Q29" s="217">
        <v>322</v>
      </c>
      <c r="R29" s="217"/>
      <c r="S29" s="218" t="s">
        <v>950</v>
      </c>
    </row>
    <row r="30" spans="1:19" ht="15" customHeight="1">
      <c r="A30" s="413">
        <f t="shared" si="0"/>
        <v>30</v>
      </c>
      <c r="B30" s="26">
        <v>102</v>
      </c>
      <c r="C30" s="153" t="s">
        <v>849</v>
      </c>
      <c r="D30" s="211" t="s">
        <v>180</v>
      </c>
      <c r="E30" s="212" t="s">
        <v>854</v>
      </c>
      <c r="F30" s="213" t="s">
        <v>859</v>
      </c>
      <c r="G30" s="214" t="s">
        <v>376</v>
      </c>
      <c r="H30" s="213" t="s">
        <v>174</v>
      </c>
      <c r="I30" s="215"/>
      <c r="J30" s="216"/>
      <c r="K30" s="216"/>
      <c r="L30" s="216"/>
      <c r="M30" s="216"/>
      <c r="N30" s="216"/>
      <c r="O30" s="217"/>
      <c r="P30" s="217"/>
      <c r="Q30" s="217"/>
      <c r="R30" s="217"/>
      <c r="S30" s="218" t="s">
        <v>1337</v>
      </c>
    </row>
    <row r="31" spans="1:19" ht="15" customHeight="1">
      <c r="A31" s="413">
        <f t="shared" si="0"/>
        <v>31</v>
      </c>
      <c r="B31" s="26">
        <v>102</v>
      </c>
      <c r="C31" s="153" t="s">
        <v>849</v>
      </c>
      <c r="D31" s="211" t="s">
        <v>180</v>
      </c>
      <c r="E31" s="212" t="s">
        <v>854</v>
      </c>
      <c r="F31" s="213" t="s">
        <v>861</v>
      </c>
      <c r="G31" s="214" t="s">
        <v>378</v>
      </c>
      <c r="H31" s="213" t="s">
        <v>1311</v>
      </c>
      <c r="I31" s="215">
        <v>72.8</v>
      </c>
      <c r="J31" s="216"/>
      <c r="K31" s="216">
        <v>157</v>
      </c>
      <c r="L31" s="216"/>
      <c r="M31" s="216"/>
      <c r="N31" s="216"/>
      <c r="O31" s="217"/>
      <c r="P31" s="217"/>
      <c r="Q31" s="217">
        <v>83</v>
      </c>
      <c r="R31" s="217"/>
      <c r="S31" s="218" t="s">
        <v>951</v>
      </c>
    </row>
    <row r="32" spans="1:19" ht="15" customHeight="1">
      <c r="A32" s="413">
        <f t="shared" si="0"/>
        <v>32</v>
      </c>
      <c r="B32" s="26">
        <v>102</v>
      </c>
      <c r="C32" s="153" t="s">
        <v>849</v>
      </c>
      <c r="D32" s="211" t="s">
        <v>180</v>
      </c>
      <c r="E32" s="212" t="s">
        <v>854</v>
      </c>
      <c r="F32" s="213" t="s">
        <v>866</v>
      </c>
      <c r="G32" s="214" t="s">
        <v>867</v>
      </c>
      <c r="H32" s="213" t="s">
        <v>298</v>
      </c>
      <c r="I32" s="215">
        <v>0</v>
      </c>
      <c r="J32" s="216"/>
      <c r="K32" s="216"/>
      <c r="L32" s="216"/>
      <c r="M32" s="216"/>
      <c r="N32" s="216"/>
      <c r="O32" s="217"/>
      <c r="P32" s="217"/>
      <c r="Q32" s="217"/>
      <c r="R32" s="217"/>
      <c r="S32" s="218" t="s">
        <v>613</v>
      </c>
    </row>
    <row r="33" spans="1:19" ht="15" customHeight="1">
      <c r="A33" s="413">
        <f t="shared" si="0"/>
        <v>33</v>
      </c>
      <c r="B33" s="26">
        <v>102</v>
      </c>
      <c r="C33" s="153" t="s">
        <v>849</v>
      </c>
      <c r="D33" s="211" t="s">
        <v>180</v>
      </c>
      <c r="E33" s="212" t="s">
        <v>854</v>
      </c>
      <c r="F33" s="213" t="s">
        <v>868</v>
      </c>
      <c r="G33" s="214" t="s">
        <v>869</v>
      </c>
      <c r="H33" s="213" t="s">
        <v>298</v>
      </c>
      <c r="I33" s="215">
        <v>0</v>
      </c>
      <c r="J33" s="216"/>
      <c r="K33" s="216"/>
      <c r="L33" s="216"/>
      <c r="M33" s="216"/>
      <c r="N33" s="216"/>
      <c r="O33" s="217"/>
      <c r="P33" s="217"/>
      <c r="Q33" s="217"/>
      <c r="R33" s="217"/>
      <c r="S33" s="218" t="s">
        <v>613</v>
      </c>
    </row>
    <row r="34" spans="1:19" ht="15" customHeight="1">
      <c r="A34" s="413">
        <f t="shared" si="0"/>
        <v>34</v>
      </c>
      <c r="B34" s="26">
        <v>102</v>
      </c>
      <c r="C34" s="153" t="s">
        <v>849</v>
      </c>
      <c r="D34" s="211" t="s">
        <v>180</v>
      </c>
      <c r="E34" s="212" t="s">
        <v>854</v>
      </c>
      <c r="F34" s="213" t="s">
        <v>733</v>
      </c>
      <c r="G34" s="214" t="s">
        <v>297</v>
      </c>
      <c r="H34" s="213" t="s">
        <v>298</v>
      </c>
      <c r="I34" s="215">
        <v>7.8000000000000007</v>
      </c>
      <c r="J34" s="216"/>
      <c r="K34" s="216"/>
      <c r="L34" s="216"/>
      <c r="M34" s="216"/>
      <c r="N34" s="216"/>
      <c r="O34" s="217"/>
      <c r="P34" s="217"/>
      <c r="Q34" s="217"/>
      <c r="R34" s="217"/>
      <c r="S34" s="218"/>
    </row>
    <row r="35" spans="1:19" ht="15" customHeight="1">
      <c r="A35" s="413">
        <f t="shared" si="0"/>
        <v>35</v>
      </c>
      <c r="B35" s="26">
        <v>102</v>
      </c>
      <c r="C35" s="153" t="s">
        <v>849</v>
      </c>
      <c r="D35" s="211" t="s">
        <v>180</v>
      </c>
      <c r="E35" s="212" t="s">
        <v>854</v>
      </c>
      <c r="F35" s="213" t="s">
        <v>873</v>
      </c>
      <c r="G35" s="214" t="s">
        <v>101</v>
      </c>
      <c r="H35" s="213" t="s">
        <v>298</v>
      </c>
      <c r="I35" s="215">
        <v>7.8000000000000007</v>
      </c>
      <c r="J35" s="216"/>
      <c r="K35" s="216"/>
      <c r="L35" s="216"/>
      <c r="M35" s="216"/>
      <c r="N35" s="216"/>
      <c r="O35" s="217"/>
      <c r="P35" s="217"/>
      <c r="Q35" s="217"/>
      <c r="R35" s="217"/>
      <c r="S35" s="218"/>
    </row>
    <row r="36" spans="1:19" ht="15" customHeight="1">
      <c r="A36" s="413">
        <f t="shared" si="0"/>
        <v>36</v>
      </c>
      <c r="B36" s="26">
        <v>102</v>
      </c>
      <c r="C36" s="153" t="s">
        <v>849</v>
      </c>
      <c r="D36" s="211" t="s">
        <v>180</v>
      </c>
      <c r="E36" s="212" t="s">
        <v>854</v>
      </c>
      <c r="F36" s="213" t="s">
        <v>175</v>
      </c>
      <c r="G36" s="214" t="s">
        <v>390</v>
      </c>
      <c r="H36" s="213" t="s">
        <v>174</v>
      </c>
      <c r="I36" s="215">
        <v>0</v>
      </c>
      <c r="J36" s="216"/>
      <c r="K36" s="216"/>
      <c r="L36" s="216"/>
      <c r="M36" s="216"/>
      <c r="N36" s="216"/>
      <c r="O36" s="217"/>
      <c r="P36" s="217"/>
      <c r="Q36" s="217"/>
      <c r="R36" s="217"/>
      <c r="S36" s="218" t="s">
        <v>952</v>
      </c>
    </row>
    <row r="37" spans="1:19" ht="15" customHeight="1">
      <c r="A37" s="413">
        <f t="shared" si="0"/>
        <v>37</v>
      </c>
      <c r="B37" s="26">
        <v>102</v>
      </c>
      <c r="C37" s="153" t="s">
        <v>849</v>
      </c>
      <c r="D37" s="211" t="s">
        <v>180</v>
      </c>
      <c r="E37" s="212" t="s">
        <v>854</v>
      </c>
      <c r="F37" s="213" t="s">
        <v>175</v>
      </c>
      <c r="G37" s="214" t="s">
        <v>389</v>
      </c>
      <c r="H37" s="213" t="s">
        <v>19</v>
      </c>
      <c r="I37" s="215">
        <v>18.2</v>
      </c>
      <c r="J37" s="216"/>
      <c r="K37" s="216"/>
      <c r="L37" s="216">
        <v>60</v>
      </c>
      <c r="M37" s="216"/>
      <c r="N37" s="216"/>
      <c r="O37" s="217"/>
      <c r="P37" s="217"/>
      <c r="Q37" s="217"/>
      <c r="R37" s="217">
        <v>14</v>
      </c>
      <c r="S37" s="218" t="s">
        <v>521</v>
      </c>
    </row>
    <row r="38" spans="1:19" ht="15" customHeight="1">
      <c r="A38" s="413">
        <f t="shared" si="0"/>
        <v>38</v>
      </c>
      <c r="B38" s="26">
        <v>102</v>
      </c>
      <c r="C38" s="153" t="s">
        <v>849</v>
      </c>
      <c r="D38" s="211" t="s">
        <v>180</v>
      </c>
      <c r="E38" s="212" t="s">
        <v>854</v>
      </c>
      <c r="F38" s="213" t="s">
        <v>175</v>
      </c>
      <c r="G38" s="214" t="s">
        <v>392</v>
      </c>
      <c r="H38" s="213" t="s">
        <v>19</v>
      </c>
      <c r="I38" s="215">
        <v>10.4</v>
      </c>
      <c r="J38" s="216"/>
      <c r="K38" s="216"/>
      <c r="L38" s="216">
        <v>56</v>
      </c>
      <c r="M38" s="216"/>
      <c r="N38" s="216"/>
      <c r="O38" s="217"/>
      <c r="P38" s="217"/>
      <c r="Q38" s="217"/>
      <c r="R38" s="217">
        <v>8</v>
      </c>
      <c r="S38" s="218" t="s">
        <v>521</v>
      </c>
    </row>
    <row r="39" spans="1:19" ht="15" customHeight="1">
      <c r="A39" s="413">
        <f t="shared" si="0"/>
        <v>39</v>
      </c>
      <c r="B39" s="26">
        <v>102</v>
      </c>
      <c r="C39" s="153" t="s">
        <v>849</v>
      </c>
      <c r="D39" s="211" t="s">
        <v>180</v>
      </c>
      <c r="E39" s="212" t="s">
        <v>854</v>
      </c>
      <c r="F39" s="213" t="s">
        <v>175</v>
      </c>
      <c r="G39" s="214" t="s">
        <v>391</v>
      </c>
      <c r="H39" s="213" t="s">
        <v>19</v>
      </c>
      <c r="I39" s="215">
        <v>39</v>
      </c>
      <c r="J39" s="216"/>
      <c r="K39" s="216"/>
      <c r="L39" s="216">
        <v>190</v>
      </c>
      <c r="M39" s="216"/>
      <c r="N39" s="216"/>
      <c r="O39" s="217"/>
      <c r="P39" s="217"/>
      <c r="Q39" s="217"/>
      <c r="R39" s="217">
        <v>30</v>
      </c>
      <c r="S39" s="218" t="s">
        <v>521</v>
      </c>
    </row>
    <row r="40" spans="1:19" ht="15" customHeight="1">
      <c r="A40" s="413">
        <f t="shared" si="0"/>
        <v>40</v>
      </c>
      <c r="B40" s="26">
        <v>102</v>
      </c>
      <c r="C40" s="153" t="s">
        <v>849</v>
      </c>
      <c r="D40" s="211" t="s">
        <v>180</v>
      </c>
      <c r="E40" s="212" t="s">
        <v>854</v>
      </c>
      <c r="F40" s="213" t="s">
        <v>175</v>
      </c>
      <c r="G40" s="214" t="s">
        <v>393</v>
      </c>
      <c r="H40" s="213" t="s">
        <v>19</v>
      </c>
      <c r="I40" s="215">
        <v>19.5</v>
      </c>
      <c r="J40" s="216"/>
      <c r="K40" s="216"/>
      <c r="L40" s="216">
        <v>109</v>
      </c>
      <c r="M40" s="216"/>
      <c r="N40" s="216"/>
      <c r="O40" s="217"/>
      <c r="P40" s="217">
        <v>15</v>
      </c>
      <c r="Q40" s="217"/>
      <c r="R40" s="217"/>
      <c r="S40" s="218" t="s">
        <v>953</v>
      </c>
    </row>
    <row r="41" spans="1:19" ht="15" customHeight="1">
      <c r="A41" s="413">
        <f t="shared" si="0"/>
        <v>41</v>
      </c>
      <c r="B41" s="26">
        <v>102</v>
      </c>
      <c r="C41" s="153" t="s">
        <v>849</v>
      </c>
      <c r="D41" s="211" t="s">
        <v>180</v>
      </c>
      <c r="E41" s="212" t="s">
        <v>854</v>
      </c>
      <c r="F41" s="213" t="s">
        <v>175</v>
      </c>
      <c r="G41" s="214" t="s">
        <v>394</v>
      </c>
      <c r="H41" s="213"/>
      <c r="I41" s="215">
        <v>3</v>
      </c>
      <c r="J41" s="216"/>
      <c r="K41" s="216"/>
      <c r="L41" s="216">
        <v>14</v>
      </c>
      <c r="M41" s="216"/>
      <c r="N41" s="216"/>
      <c r="O41" s="217"/>
      <c r="P41" s="217"/>
      <c r="Q41" s="217"/>
      <c r="R41" s="217">
        <v>3</v>
      </c>
      <c r="S41" s="218" t="s">
        <v>1137</v>
      </c>
    </row>
    <row r="42" spans="1:19" ht="15" customHeight="1">
      <c r="A42" s="413">
        <f t="shared" si="0"/>
        <v>42</v>
      </c>
      <c r="B42" s="26">
        <v>102</v>
      </c>
      <c r="C42" s="153" t="s">
        <v>849</v>
      </c>
      <c r="D42" s="211" t="s">
        <v>180</v>
      </c>
      <c r="E42" s="212" t="s">
        <v>854</v>
      </c>
      <c r="F42" s="213" t="s">
        <v>175</v>
      </c>
      <c r="G42" s="214" t="s">
        <v>397</v>
      </c>
      <c r="H42" s="213"/>
      <c r="I42" s="215">
        <v>16</v>
      </c>
      <c r="J42" s="216"/>
      <c r="K42" s="216"/>
      <c r="L42" s="216">
        <v>107</v>
      </c>
      <c r="M42" s="216"/>
      <c r="N42" s="216"/>
      <c r="O42" s="217"/>
      <c r="P42" s="217"/>
      <c r="Q42" s="217">
        <v>16</v>
      </c>
      <c r="R42" s="217"/>
      <c r="S42" s="218" t="s">
        <v>521</v>
      </c>
    </row>
    <row r="43" spans="1:19" ht="15" customHeight="1">
      <c r="A43" s="413">
        <f t="shared" si="0"/>
        <v>43</v>
      </c>
      <c r="B43" s="26">
        <v>102</v>
      </c>
      <c r="C43" s="153" t="s">
        <v>849</v>
      </c>
      <c r="D43" s="211" t="s">
        <v>180</v>
      </c>
      <c r="E43" s="212" t="s">
        <v>854</v>
      </c>
      <c r="F43" s="213" t="s">
        <v>175</v>
      </c>
      <c r="G43" s="214" t="s">
        <v>399</v>
      </c>
      <c r="H43" s="213" t="s">
        <v>109</v>
      </c>
      <c r="I43" s="215">
        <v>9.1</v>
      </c>
      <c r="J43" s="216"/>
      <c r="K43" s="216"/>
      <c r="L43" s="216"/>
      <c r="M43" s="216"/>
      <c r="N43" s="216">
        <v>32</v>
      </c>
      <c r="O43" s="217"/>
      <c r="P43" s="217"/>
      <c r="Q43" s="217">
        <v>7</v>
      </c>
      <c r="R43" s="217"/>
      <c r="S43" s="218" t="s">
        <v>317</v>
      </c>
    </row>
    <row r="44" spans="1:19" ht="15" customHeight="1">
      <c r="A44" s="413">
        <f t="shared" si="0"/>
        <v>44</v>
      </c>
      <c r="B44" s="26">
        <v>102</v>
      </c>
      <c r="C44" s="153" t="s">
        <v>849</v>
      </c>
      <c r="D44" s="211" t="s">
        <v>180</v>
      </c>
      <c r="E44" s="212" t="s">
        <v>854</v>
      </c>
      <c r="F44" s="213" t="s">
        <v>175</v>
      </c>
      <c r="G44" s="214" t="s">
        <v>735</v>
      </c>
      <c r="H44" s="213" t="s">
        <v>176</v>
      </c>
      <c r="I44" s="215">
        <v>13</v>
      </c>
      <c r="J44" s="216"/>
      <c r="K44" s="216"/>
      <c r="L44" s="216">
        <v>49</v>
      </c>
      <c r="M44" s="216"/>
      <c r="N44" s="216"/>
      <c r="O44" s="217"/>
      <c r="P44" s="217"/>
      <c r="Q44" s="217"/>
      <c r="R44" s="217">
        <v>10</v>
      </c>
      <c r="S44" s="218" t="s">
        <v>521</v>
      </c>
    </row>
    <row r="45" spans="1:19" ht="15" customHeight="1">
      <c r="A45" s="413">
        <f t="shared" si="0"/>
        <v>45</v>
      </c>
      <c r="B45" s="26">
        <v>102</v>
      </c>
      <c r="C45" s="153" t="s">
        <v>849</v>
      </c>
      <c r="D45" s="211" t="s">
        <v>180</v>
      </c>
      <c r="E45" s="212" t="s">
        <v>854</v>
      </c>
      <c r="F45" s="213" t="s">
        <v>175</v>
      </c>
      <c r="G45" s="214" t="s">
        <v>737</v>
      </c>
      <c r="H45" s="213" t="s">
        <v>1313</v>
      </c>
      <c r="I45" s="215">
        <v>19.5</v>
      </c>
      <c r="J45" s="216"/>
      <c r="K45" s="216"/>
      <c r="L45" s="216">
        <v>61</v>
      </c>
      <c r="M45" s="216"/>
      <c r="N45" s="216"/>
      <c r="O45" s="217"/>
      <c r="P45" s="217"/>
      <c r="Q45" s="217"/>
      <c r="R45" s="217">
        <v>15</v>
      </c>
      <c r="S45" s="218" t="s">
        <v>521</v>
      </c>
    </row>
    <row r="46" spans="1:19" ht="15" customHeight="1">
      <c r="A46" s="413">
        <f t="shared" si="0"/>
        <v>46</v>
      </c>
      <c r="B46" s="26">
        <v>102</v>
      </c>
      <c r="C46" s="153" t="s">
        <v>849</v>
      </c>
      <c r="D46" s="211" t="s">
        <v>180</v>
      </c>
      <c r="E46" s="212" t="s">
        <v>854</v>
      </c>
      <c r="F46" s="213" t="s">
        <v>874</v>
      </c>
      <c r="G46" s="214" t="s">
        <v>738</v>
      </c>
      <c r="H46" s="213" t="s">
        <v>166</v>
      </c>
      <c r="I46" s="215">
        <v>8</v>
      </c>
      <c r="J46" s="216"/>
      <c r="K46" s="216"/>
      <c r="L46" s="216"/>
      <c r="M46" s="216"/>
      <c r="N46" s="216"/>
      <c r="O46" s="217"/>
      <c r="P46" s="217"/>
      <c r="Q46" s="217"/>
      <c r="R46" s="217"/>
      <c r="S46" s="218" t="s">
        <v>527</v>
      </c>
    </row>
    <row r="47" spans="1:19" ht="15" customHeight="1">
      <c r="A47" s="413">
        <f t="shared" si="0"/>
        <v>47</v>
      </c>
      <c r="B47" s="26">
        <v>102</v>
      </c>
      <c r="C47" s="153" t="s">
        <v>849</v>
      </c>
      <c r="D47" s="211" t="s">
        <v>180</v>
      </c>
      <c r="E47" s="212" t="s">
        <v>854</v>
      </c>
      <c r="F47" s="213" t="s">
        <v>175</v>
      </c>
      <c r="G47" s="214" t="s">
        <v>795</v>
      </c>
      <c r="H47" s="213" t="s">
        <v>109</v>
      </c>
      <c r="I47" s="215">
        <v>20.8</v>
      </c>
      <c r="J47" s="216"/>
      <c r="K47" s="216"/>
      <c r="L47" s="216">
        <v>74</v>
      </c>
      <c r="M47" s="216"/>
      <c r="N47" s="216"/>
      <c r="O47" s="217"/>
      <c r="P47" s="217"/>
      <c r="Q47" s="217"/>
      <c r="R47" s="217">
        <v>16</v>
      </c>
      <c r="S47" s="218" t="s">
        <v>521</v>
      </c>
    </row>
    <row r="48" spans="1:19" ht="15" customHeight="1">
      <c r="A48" s="413">
        <f t="shared" si="0"/>
        <v>48</v>
      </c>
      <c r="B48" s="26">
        <v>102</v>
      </c>
      <c r="C48" s="153" t="s">
        <v>849</v>
      </c>
      <c r="D48" s="211" t="s">
        <v>180</v>
      </c>
      <c r="E48" s="212" t="s">
        <v>854</v>
      </c>
      <c r="F48" s="213" t="s">
        <v>175</v>
      </c>
      <c r="G48" s="214" t="s">
        <v>797</v>
      </c>
      <c r="H48" s="213" t="s">
        <v>19</v>
      </c>
      <c r="I48" s="215">
        <v>102.7</v>
      </c>
      <c r="J48" s="216"/>
      <c r="K48" s="216"/>
      <c r="L48" s="216">
        <v>132</v>
      </c>
      <c r="M48" s="216"/>
      <c r="N48" s="216"/>
      <c r="O48" s="217"/>
      <c r="P48" s="217"/>
      <c r="Q48" s="217"/>
      <c r="R48" s="217">
        <v>79</v>
      </c>
      <c r="S48" s="218" t="s">
        <v>521</v>
      </c>
    </row>
    <row r="49" spans="1:19" ht="15" customHeight="1">
      <c r="A49" s="413">
        <f t="shared" si="0"/>
        <v>49</v>
      </c>
      <c r="B49" s="26">
        <v>102</v>
      </c>
      <c r="C49" s="153" t="s">
        <v>849</v>
      </c>
      <c r="D49" s="211" t="s">
        <v>180</v>
      </c>
      <c r="E49" s="212" t="s">
        <v>854</v>
      </c>
      <c r="F49" s="213" t="s">
        <v>175</v>
      </c>
      <c r="G49" s="214" t="s">
        <v>875</v>
      </c>
      <c r="H49" s="213" t="s">
        <v>19</v>
      </c>
      <c r="I49" s="215">
        <v>19.5</v>
      </c>
      <c r="J49" s="216"/>
      <c r="K49" s="216">
        <v>40</v>
      </c>
      <c r="L49" s="216"/>
      <c r="M49" s="216"/>
      <c r="N49" s="216"/>
      <c r="O49" s="217"/>
      <c r="P49" s="217"/>
      <c r="Q49" s="217">
        <v>15</v>
      </c>
      <c r="R49" s="217"/>
      <c r="S49" s="218" t="s">
        <v>521</v>
      </c>
    </row>
    <row r="50" spans="1:19" ht="15" customHeight="1">
      <c r="A50" s="413">
        <f t="shared" si="0"/>
        <v>50</v>
      </c>
      <c r="B50" s="26">
        <v>102</v>
      </c>
      <c r="C50" s="153" t="s">
        <v>849</v>
      </c>
      <c r="D50" s="211" t="s">
        <v>180</v>
      </c>
      <c r="E50" s="212" t="s">
        <v>854</v>
      </c>
      <c r="F50" s="213" t="s">
        <v>175</v>
      </c>
      <c r="G50" s="214" t="s">
        <v>406</v>
      </c>
      <c r="H50" s="213"/>
      <c r="I50" s="215">
        <v>0</v>
      </c>
      <c r="J50" s="216"/>
      <c r="K50" s="216"/>
      <c r="L50" s="216"/>
      <c r="M50" s="216"/>
      <c r="N50" s="216"/>
      <c r="O50" s="217"/>
      <c r="P50" s="217"/>
      <c r="Q50" s="217"/>
      <c r="R50" s="217"/>
      <c r="S50" s="218" t="s">
        <v>1318</v>
      </c>
    </row>
    <row r="51" spans="1:19" ht="15" customHeight="1">
      <c r="A51" s="413">
        <f t="shared" si="0"/>
        <v>51</v>
      </c>
      <c r="B51" s="26">
        <v>102</v>
      </c>
      <c r="C51" s="153" t="s">
        <v>849</v>
      </c>
      <c r="D51" s="211" t="s">
        <v>180</v>
      </c>
      <c r="E51" s="212" t="s">
        <v>854</v>
      </c>
      <c r="F51" s="213" t="s">
        <v>543</v>
      </c>
      <c r="G51" s="214" t="s">
        <v>408</v>
      </c>
      <c r="H51" s="213"/>
      <c r="I51" s="215">
        <v>0</v>
      </c>
      <c r="J51" s="216"/>
      <c r="K51" s="216"/>
      <c r="L51" s="216"/>
      <c r="M51" s="216"/>
      <c r="N51" s="216"/>
      <c r="O51" s="217"/>
      <c r="P51" s="217"/>
      <c r="Q51" s="217"/>
      <c r="R51" s="217"/>
      <c r="S51" s="218" t="s">
        <v>1318</v>
      </c>
    </row>
    <row r="52" spans="1:19" ht="15" customHeight="1">
      <c r="A52" s="413">
        <f t="shared" si="0"/>
        <v>52</v>
      </c>
      <c r="B52" s="26">
        <v>102</v>
      </c>
      <c r="C52" s="153" t="s">
        <v>849</v>
      </c>
      <c r="D52" s="211" t="s">
        <v>180</v>
      </c>
      <c r="E52" s="212" t="s">
        <v>854</v>
      </c>
      <c r="F52" s="213" t="s">
        <v>175</v>
      </c>
      <c r="G52" s="214" t="s">
        <v>876</v>
      </c>
      <c r="H52" s="213" t="s">
        <v>19</v>
      </c>
      <c r="I52" s="215">
        <v>49.4</v>
      </c>
      <c r="J52" s="216"/>
      <c r="K52" s="216"/>
      <c r="L52" s="216">
        <v>240</v>
      </c>
      <c r="M52" s="216"/>
      <c r="N52" s="216"/>
      <c r="O52" s="217"/>
      <c r="P52" s="217"/>
      <c r="Q52" s="217"/>
      <c r="R52" s="217">
        <v>38</v>
      </c>
      <c r="S52" s="218" t="s">
        <v>521</v>
      </c>
    </row>
    <row r="53" spans="1:19" ht="15" customHeight="1">
      <c r="A53" s="413">
        <f t="shared" si="0"/>
        <v>53</v>
      </c>
      <c r="B53" s="26">
        <v>102</v>
      </c>
      <c r="C53" s="153" t="s">
        <v>849</v>
      </c>
      <c r="D53" s="211" t="s">
        <v>180</v>
      </c>
      <c r="E53" s="212" t="s">
        <v>854</v>
      </c>
      <c r="F53" s="213" t="s">
        <v>175</v>
      </c>
      <c r="G53" s="214" t="s">
        <v>877</v>
      </c>
      <c r="H53" s="213" t="s">
        <v>19</v>
      </c>
      <c r="I53" s="215">
        <v>32.5</v>
      </c>
      <c r="J53" s="216"/>
      <c r="K53" s="216"/>
      <c r="L53" s="216">
        <v>111</v>
      </c>
      <c r="M53" s="216"/>
      <c r="N53" s="216"/>
      <c r="O53" s="217"/>
      <c r="P53" s="217"/>
      <c r="Q53" s="217">
        <v>25</v>
      </c>
      <c r="R53" s="217"/>
      <c r="S53" s="218" t="s">
        <v>521</v>
      </c>
    </row>
    <row r="54" spans="1:19" ht="15" customHeight="1">
      <c r="A54" s="413">
        <f t="shared" si="0"/>
        <v>54</v>
      </c>
      <c r="B54" s="26">
        <v>102</v>
      </c>
      <c r="C54" s="153" t="s">
        <v>849</v>
      </c>
      <c r="D54" s="211" t="s">
        <v>180</v>
      </c>
      <c r="E54" s="212" t="s">
        <v>854</v>
      </c>
      <c r="F54" s="213" t="s">
        <v>175</v>
      </c>
      <c r="G54" s="214" t="s">
        <v>878</v>
      </c>
      <c r="H54" s="213" t="s">
        <v>19</v>
      </c>
      <c r="I54" s="215">
        <v>3.9000000000000004</v>
      </c>
      <c r="J54" s="216"/>
      <c r="K54" s="216"/>
      <c r="L54" s="216"/>
      <c r="M54" s="216"/>
      <c r="N54" s="216">
        <v>29</v>
      </c>
      <c r="O54" s="217"/>
      <c r="P54" s="217"/>
      <c r="Q54" s="217"/>
      <c r="R54" s="217">
        <v>3</v>
      </c>
      <c r="S54" s="218" t="s">
        <v>521</v>
      </c>
    </row>
    <row r="55" spans="1:19" ht="15" customHeight="1">
      <c r="A55" s="413">
        <f t="shared" si="0"/>
        <v>55</v>
      </c>
      <c r="B55" s="26">
        <v>102</v>
      </c>
      <c r="C55" s="153" t="s">
        <v>849</v>
      </c>
      <c r="D55" s="211" t="s">
        <v>180</v>
      </c>
      <c r="E55" s="212" t="s">
        <v>854</v>
      </c>
      <c r="F55" s="213" t="s">
        <v>777</v>
      </c>
      <c r="G55" s="214" t="s">
        <v>879</v>
      </c>
      <c r="H55" s="213" t="s">
        <v>166</v>
      </c>
      <c r="I55" s="215">
        <v>3.9000000000000004</v>
      </c>
      <c r="J55" s="216"/>
      <c r="K55" s="216"/>
      <c r="L55" s="216"/>
      <c r="M55" s="216"/>
      <c r="N55" s="216"/>
      <c r="O55" s="217"/>
      <c r="P55" s="217"/>
      <c r="Q55" s="217"/>
      <c r="R55" s="217"/>
      <c r="S55" s="218"/>
    </row>
    <row r="56" spans="1:19" ht="15" customHeight="1">
      <c r="A56" s="413">
        <f t="shared" si="0"/>
        <v>56</v>
      </c>
      <c r="B56" s="26">
        <v>102</v>
      </c>
      <c r="C56" s="153" t="s">
        <v>849</v>
      </c>
      <c r="D56" s="211" t="s">
        <v>180</v>
      </c>
      <c r="E56" s="212" t="s">
        <v>854</v>
      </c>
      <c r="F56" s="213" t="s">
        <v>880</v>
      </c>
      <c r="G56" s="214" t="s">
        <v>423</v>
      </c>
      <c r="H56" s="213" t="s">
        <v>19</v>
      </c>
      <c r="I56" s="215">
        <v>9.1</v>
      </c>
      <c r="J56" s="216"/>
      <c r="K56" s="216"/>
      <c r="L56" s="216">
        <v>47</v>
      </c>
      <c r="M56" s="216"/>
      <c r="N56" s="216"/>
      <c r="O56" s="217"/>
      <c r="P56" s="217">
        <v>7</v>
      </c>
      <c r="Q56" s="217"/>
      <c r="R56" s="217"/>
      <c r="S56" s="218"/>
    </row>
    <row r="57" spans="1:19" ht="15" customHeight="1">
      <c r="A57" s="413">
        <f t="shared" si="0"/>
        <v>57</v>
      </c>
      <c r="B57" s="26">
        <v>102</v>
      </c>
      <c r="C57" s="153" t="s">
        <v>849</v>
      </c>
      <c r="D57" s="211" t="s">
        <v>180</v>
      </c>
      <c r="E57" s="212" t="s">
        <v>854</v>
      </c>
      <c r="F57" s="213" t="s">
        <v>576</v>
      </c>
      <c r="G57" s="214" t="s">
        <v>881</v>
      </c>
      <c r="H57" s="213" t="s">
        <v>176</v>
      </c>
      <c r="I57" s="215">
        <v>19.5</v>
      </c>
      <c r="J57" s="216"/>
      <c r="K57" s="216"/>
      <c r="L57" s="216">
        <v>67</v>
      </c>
      <c r="M57" s="216"/>
      <c r="N57" s="216"/>
      <c r="O57" s="217"/>
      <c r="P57" s="217"/>
      <c r="Q57" s="217"/>
      <c r="R57" s="217">
        <v>15</v>
      </c>
      <c r="S57" s="218" t="s">
        <v>521</v>
      </c>
    </row>
    <row r="58" spans="1:19" ht="15" customHeight="1">
      <c r="A58" s="413">
        <f t="shared" si="0"/>
        <v>58</v>
      </c>
      <c r="B58" s="26">
        <v>102</v>
      </c>
      <c r="C58" s="153" t="s">
        <v>849</v>
      </c>
      <c r="D58" s="211" t="s">
        <v>180</v>
      </c>
      <c r="E58" s="212" t="s">
        <v>854</v>
      </c>
      <c r="F58" s="213" t="s">
        <v>427</v>
      </c>
      <c r="G58" s="214" t="s">
        <v>428</v>
      </c>
      <c r="H58" s="213" t="s">
        <v>19</v>
      </c>
      <c r="I58" s="215">
        <v>7.8000000000000007</v>
      </c>
      <c r="J58" s="216"/>
      <c r="K58" s="216"/>
      <c r="L58" s="216">
        <v>29</v>
      </c>
      <c r="M58" s="216"/>
      <c r="N58" s="216"/>
      <c r="O58" s="217"/>
      <c r="P58" s="217"/>
      <c r="Q58" s="217"/>
      <c r="R58" s="217">
        <v>6</v>
      </c>
      <c r="S58" s="218" t="s">
        <v>521</v>
      </c>
    </row>
    <row r="59" spans="1:19" ht="15" customHeight="1">
      <c r="A59" s="413">
        <f t="shared" si="0"/>
        <v>59</v>
      </c>
      <c r="B59" s="26">
        <v>102</v>
      </c>
      <c r="C59" s="153" t="s">
        <v>849</v>
      </c>
      <c r="D59" s="211" t="s">
        <v>180</v>
      </c>
      <c r="E59" s="212" t="s">
        <v>854</v>
      </c>
      <c r="F59" s="213" t="s">
        <v>429</v>
      </c>
      <c r="G59" s="214" t="s">
        <v>430</v>
      </c>
      <c r="H59" s="213" t="s">
        <v>19</v>
      </c>
      <c r="I59" s="215">
        <v>3.9000000000000004</v>
      </c>
      <c r="J59" s="216"/>
      <c r="K59" s="216"/>
      <c r="L59" s="216">
        <v>22</v>
      </c>
      <c r="M59" s="216"/>
      <c r="N59" s="216"/>
      <c r="O59" s="217"/>
      <c r="P59" s="217"/>
      <c r="Q59" s="217"/>
      <c r="R59" s="217">
        <v>3</v>
      </c>
      <c r="S59" s="218" t="s">
        <v>521</v>
      </c>
    </row>
    <row r="60" spans="1:19" ht="15" customHeight="1">
      <c r="A60" s="413">
        <f t="shared" si="0"/>
        <v>60</v>
      </c>
      <c r="B60" s="26">
        <v>102</v>
      </c>
      <c r="C60" s="153" t="s">
        <v>849</v>
      </c>
      <c r="D60" s="211" t="s">
        <v>180</v>
      </c>
      <c r="E60" s="212" t="s">
        <v>854</v>
      </c>
      <c r="F60" s="213" t="s">
        <v>427</v>
      </c>
      <c r="G60" s="214" t="s">
        <v>431</v>
      </c>
      <c r="H60" s="213" t="s">
        <v>19</v>
      </c>
      <c r="I60" s="215">
        <v>7.8000000000000007</v>
      </c>
      <c r="J60" s="216"/>
      <c r="K60" s="216"/>
      <c r="L60" s="216">
        <v>29</v>
      </c>
      <c r="M60" s="216"/>
      <c r="N60" s="216"/>
      <c r="O60" s="217"/>
      <c r="P60" s="217"/>
      <c r="Q60" s="217"/>
      <c r="R60" s="217">
        <v>6</v>
      </c>
      <c r="S60" s="218" t="s">
        <v>521</v>
      </c>
    </row>
    <row r="61" spans="1:19" ht="15" customHeight="1">
      <c r="A61" s="413">
        <f t="shared" si="0"/>
        <v>61</v>
      </c>
      <c r="B61" s="26">
        <v>102</v>
      </c>
      <c r="C61" s="153" t="s">
        <v>849</v>
      </c>
      <c r="D61" s="211" t="s">
        <v>180</v>
      </c>
      <c r="E61" s="212" t="s">
        <v>854</v>
      </c>
      <c r="F61" s="213" t="s">
        <v>429</v>
      </c>
      <c r="G61" s="214" t="s">
        <v>432</v>
      </c>
      <c r="H61" s="213" t="s">
        <v>19</v>
      </c>
      <c r="I61" s="215">
        <v>3.9000000000000004</v>
      </c>
      <c r="J61" s="216"/>
      <c r="K61" s="216"/>
      <c r="L61" s="216">
        <v>22</v>
      </c>
      <c r="M61" s="216"/>
      <c r="N61" s="216"/>
      <c r="O61" s="217"/>
      <c r="P61" s="217"/>
      <c r="Q61" s="217"/>
      <c r="R61" s="217">
        <v>3</v>
      </c>
      <c r="S61" s="218" t="s">
        <v>521</v>
      </c>
    </row>
    <row r="62" spans="1:19" ht="15" customHeight="1">
      <c r="A62" s="413">
        <f t="shared" si="0"/>
        <v>62</v>
      </c>
      <c r="B62" s="26">
        <v>102</v>
      </c>
      <c r="C62" s="153" t="s">
        <v>849</v>
      </c>
      <c r="D62" s="211" t="s">
        <v>180</v>
      </c>
      <c r="E62" s="212" t="s">
        <v>854</v>
      </c>
      <c r="F62" s="213" t="s">
        <v>178</v>
      </c>
      <c r="G62" s="214" t="s">
        <v>434</v>
      </c>
      <c r="H62" s="213" t="s">
        <v>1313</v>
      </c>
      <c r="I62" s="215">
        <v>152.1</v>
      </c>
      <c r="J62" s="216"/>
      <c r="K62" s="216">
        <v>141</v>
      </c>
      <c r="L62" s="216"/>
      <c r="M62" s="216"/>
      <c r="N62" s="216"/>
      <c r="O62" s="217"/>
      <c r="P62" s="217"/>
      <c r="Q62" s="217">
        <v>117</v>
      </c>
      <c r="R62" s="217"/>
      <c r="S62" s="218" t="s">
        <v>521</v>
      </c>
    </row>
    <row r="63" spans="1:19" ht="15" customHeight="1">
      <c r="A63" s="413">
        <f t="shared" si="0"/>
        <v>63</v>
      </c>
      <c r="B63" s="26">
        <v>102</v>
      </c>
      <c r="C63" s="153" t="s">
        <v>849</v>
      </c>
      <c r="D63" s="211" t="s">
        <v>180</v>
      </c>
      <c r="E63" s="212" t="s">
        <v>854</v>
      </c>
      <c r="F63" s="213" t="s">
        <v>594</v>
      </c>
      <c r="G63" s="214" t="s">
        <v>436</v>
      </c>
      <c r="H63" s="213" t="s">
        <v>1313</v>
      </c>
      <c r="I63" s="215">
        <v>28.6</v>
      </c>
      <c r="J63" s="216"/>
      <c r="K63" s="216">
        <v>59</v>
      </c>
      <c r="L63" s="216"/>
      <c r="M63" s="216"/>
      <c r="N63" s="216"/>
      <c r="O63" s="217"/>
      <c r="P63" s="217"/>
      <c r="Q63" s="217">
        <v>22</v>
      </c>
      <c r="R63" s="217"/>
      <c r="S63" s="218" t="s">
        <v>521</v>
      </c>
    </row>
    <row r="64" spans="1:19" ht="15" customHeight="1">
      <c r="A64" s="413">
        <f t="shared" si="0"/>
        <v>64</v>
      </c>
      <c r="B64" s="26">
        <v>102</v>
      </c>
      <c r="C64" s="153" t="s">
        <v>849</v>
      </c>
      <c r="D64" s="211" t="s">
        <v>180</v>
      </c>
      <c r="E64" s="212" t="s">
        <v>854</v>
      </c>
      <c r="F64" s="213" t="s">
        <v>882</v>
      </c>
      <c r="G64" s="214" t="s">
        <v>438</v>
      </c>
      <c r="H64" s="213" t="s">
        <v>174</v>
      </c>
      <c r="I64" s="215">
        <v>3</v>
      </c>
      <c r="J64" s="216"/>
      <c r="K64" s="216"/>
      <c r="L64" s="216">
        <v>32</v>
      </c>
      <c r="M64" s="216"/>
      <c r="N64" s="216"/>
      <c r="O64" s="217"/>
      <c r="P64" s="217">
        <v>3</v>
      </c>
      <c r="Q64" s="217"/>
      <c r="R64" s="217"/>
      <c r="S64" s="218"/>
    </row>
    <row r="65" spans="1:19" ht="15" customHeight="1">
      <c r="A65" s="413">
        <f t="shared" si="0"/>
        <v>65</v>
      </c>
      <c r="B65" s="26">
        <v>102</v>
      </c>
      <c r="C65" s="153" t="s">
        <v>849</v>
      </c>
      <c r="D65" s="211" t="s">
        <v>180</v>
      </c>
      <c r="E65" s="212" t="s">
        <v>854</v>
      </c>
      <c r="F65" s="213" t="s">
        <v>184</v>
      </c>
      <c r="G65" s="214" t="s">
        <v>883</v>
      </c>
      <c r="H65" s="213" t="s">
        <v>1313</v>
      </c>
      <c r="I65" s="215">
        <v>9.1</v>
      </c>
      <c r="J65" s="216"/>
      <c r="K65" s="216">
        <v>32</v>
      </c>
      <c r="L65" s="216"/>
      <c r="M65" s="216"/>
      <c r="N65" s="216"/>
      <c r="O65" s="217"/>
      <c r="P65" s="217"/>
      <c r="Q65" s="217">
        <v>7</v>
      </c>
      <c r="R65" s="217"/>
      <c r="S65" s="218" t="s">
        <v>521</v>
      </c>
    </row>
    <row r="66" spans="1:19" ht="15" customHeight="1">
      <c r="A66" s="413">
        <f t="shared" si="0"/>
        <v>66</v>
      </c>
      <c r="B66" s="26">
        <v>102</v>
      </c>
      <c r="C66" s="153" t="s">
        <v>849</v>
      </c>
      <c r="D66" s="211" t="s">
        <v>180</v>
      </c>
      <c r="E66" s="212" t="s">
        <v>854</v>
      </c>
      <c r="F66" s="213" t="s">
        <v>41</v>
      </c>
      <c r="G66" s="214" t="s">
        <v>441</v>
      </c>
      <c r="H66" s="213" t="s">
        <v>109</v>
      </c>
      <c r="I66" s="215">
        <v>14.3</v>
      </c>
      <c r="J66" s="216"/>
      <c r="K66" s="216">
        <v>60</v>
      </c>
      <c r="L66" s="216"/>
      <c r="M66" s="216"/>
      <c r="N66" s="216"/>
      <c r="O66" s="217"/>
      <c r="P66" s="217"/>
      <c r="Q66" s="217">
        <v>11</v>
      </c>
      <c r="R66" s="217"/>
      <c r="S66" s="218" t="s">
        <v>521</v>
      </c>
    </row>
    <row r="67" spans="1:19" ht="15" customHeight="1">
      <c r="A67" s="413">
        <f t="shared" ref="A67:A130" si="1">1+A66</f>
        <v>67</v>
      </c>
      <c r="B67" s="26">
        <v>102</v>
      </c>
      <c r="C67" s="153" t="s">
        <v>849</v>
      </c>
      <c r="D67" s="211" t="s">
        <v>180</v>
      </c>
      <c r="E67" s="212" t="s">
        <v>854</v>
      </c>
      <c r="F67" s="213" t="s">
        <v>488</v>
      </c>
      <c r="G67" s="214" t="s">
        <v>443</v>
      </c>
      <c r="H67" s="213" t="s">
        <v>109</v>
      </c>
      <c r="I67" s="215">
        <v>7.8000000000000007</v>
      </c>
      <c r="J67" s="216"/>
      <c r="K67" s="216">
        <v>33</v>
      </c>
      <c r="L67" s="216"/>
      <c r="M67" s="216"/>
      <c r="N67" s="216"/>
      <c r="O67" s="217"/>
      <c r="P67" s="217"/>
      <c r="Q67" s="217"/>
      <c r="R67" s="217">
        <v>6</v>
      </c>
      <c r="S67" s="218" t="s">
        <v>521</v>
      </c>
    </row>
    <row r="68" spans="1:19" ht="15" customHeight="1">
      <c r="A68" s="413">
        <f t="shared" si="1"/>
        <v>68</v>
      </c>
      <c r="B68" s="26">
        <v>102</v>
      </c>
      <c r="C68" s="153" t="s">
        <v>849</v>
      </c>
      <c r="D68" s="211" t="s">
        <v>180</v>
      </c>
      <c r="E68" s="212" t="s">
        <v>854</v>
      </c>
      <c r="F68" s="213" t="s">
        <v>40</v>
      </c>
      <c r="G68" s="214" t="s">
        <v>445</v>
      </c>
      <c r="H68" s="213" t="s">
        <v>44</v>
      </c>
      <c r="I68" s="215">
        <v>9.1</v>
      </c>
      <c r="J68" s="216"/>
      <c r="K68" s="216">
        <v>36</v>
      </c>
      <c r="L68" s="216"/>
      <c r="M68" s="216"/>
      <c r="N68" s="216"/>
      <c r="O68" s="217"/>
      <c r="P68" s="217"/>
      <c r="Q68" s="217">
        <v>7</v>
      </c>
      <c r="R68" s="217"/>
      <c r="S68" s="218" t="s">
        <v>521</v>
      </c>
    </row>
    <row r="69" spans="1:19" ht="15" customHeight="1">
      <c r="A69" s="413">
        <f t="shared" si="1"/>
        <v>69</v>
      </c>
      <c r="B69" s="26">
        <v>102</v>
      </c>
      <c r="C69" s="153" t="s">
        <v>849</v>
      </c>
      <c r="D69" s="211" t="s">
        <v>180</v>
      </c>
      <c r="E69" s="212" t="s">
        <v>854</v>
      </c>
      <c r="F69" s="213" t="s">
        <v>446</v>
      </c>
      <c r="G69" s="214" t="s">
        <v>447</v>
      </c>
      <c r="H69" s="213" t="s">
        <v>148</v>
      </c>
      <c r="I69" s="215">
        <v>2.6</v>
      </c>
      <c r="J69" s="216">
        <v>13</v>
      </c>
      <c r="K69" s="216"/>
      <c r="L69" s="216"/>
      <c r="M69" s="216"/>
      <c r="N69" s="216"/>
      <c r="O69" s="217"/>
      <c r="P69" s="217"/>
      <c r="Q69" s="217"/>
      <c r="R69" s="217">
        <v>2</v>
      </c>
      <c r="S69" s="218" t="s">
        <v>525</v>
      </c>
    </row>
    <row r="70" spans="1:19" ht="15" customHeight="1">
      <c r="A70" s="413">
        <f t="shared" si="1"/>
        <v>70</v>
      </c>
      <c r="B70" s="26">
        <v>102</v>
      </c>
      <c r="C70" s="153" t="s">
        <v>849</v>
      </c>
      <c r="D70" s="211" t="s">
        <v>180</v>
      </c>
      <c r="E70" s="212" t="s">
        <v>854</v>
      </c>
      <c r="F70" s="213" t="s">
        <v>446</v>
      </c>
      <c r="G70" s="214" t="s">
        <v>448</v>
      </c>
      <c r="H70" s="213" t="s">
        <v>148</v>
      </c>
      <c r="I70" s="215">
        <v>2.6</v>
      </c>
      <c r="J70" s="216">
        <v>13</v>
      </c>
      <c r="K70" s="216"/>
      <c r="L70" s="216"/>
      <c r="M70" s="216"/>
      <c r="N70" s="216"/>
      <c r="O70" s="217"/>
      <c r="P70" s="217"/>
      <c r="Q70" s="217"/>
      <c r="R70" s="217">
        <v>2</v>
      </c>
      <c r="S70" s="218" t="s">
        <v>525</v>
      </c>
    </row>
    <row r="71" spans="1:19" ht="15" customHeight="1">
      <c r="A71" s="413">
        <f t="shared" si="1"/>
        <v>71</v>
      </c>
      <c r="B71" s="26">
        <v>102</v>
      </c>
      <c r="C71" s="153" t="s">
        <v>849</v>
      </c>
      <c r="D71" s="211" t="s">
        <v>180</v>
      </c>
      <c r="E71" s="212" t="s">
        <v>854</v>
      </c>
      <c r="F71" s="213" t="s">
        <v>446</v>
      </c>
      <c r="G71" s="214" t="s">
        <v>449</v>
      </c>
      <c r="H71" s="213" t="s">
        <v>148</v>
      </c>
      <c r="I71" s="215">
        <v>2.6</v>
      </c>
      <c r="J71" s="216">
        <v>13</v>
      </c>
      <c r="K71" s="216"/>
      <c r="L71" s="216"/>
      <c r="M71" s="216"/>
      <c r="N71" s="216"/>
      <c r="O71" s="217"/>
      <c r="P71" s="217"/>
      <c r="Q71" s="217"/>
      <c r="R71" s="217">
        <v>2</v>
      </c>
      <c r="S71" s="218" t="s">
        <v>525</v>
      </c>
    </row>
    <row r="72" spans="1:19" ht="15" customHeight="1">
      <c r="A72" s="413">
        <f t="shared" si="1"/>
        <v>72</v>
      </c>
      <c r="B72" s="26">
        <v>102</v>
      </c>
      <c r="C72" s="153" t="s">
        <v>849</v>
      </c>
      <c r="D72" s="211" t="s">
        <v>180</v>
      </c>
      <c r="E72" s="212" t="s">
        <v>854</v>
      </c>
      <c r="F72" s="213" t="s">
        <v>446</v>
      </c>
      <c r="G72" s="214" t="s">
        <v>450</v>
      </c>
      <c r="H72" s="213" t="s">
        <v>148</v>
      </c>
      <c r="I72" s="215">
        <v>2.6</v>
      </c>
      <c r="J72" s="216">
        <v>13</v>
      </c>
      <c r="K72" s="216"/>
      <c r="L72" s="216"/>
      <c r="M72" s="216"/>
      <c r="N72" s="216"/>
      <c r="O72" s="217"/>
      <c r="P72" s="217"/>
      <c r="Q72" s="217"/>
      <c r="R72" s="217">
        <v>2</v>
      </c>
      <c r="S72" s="218" t="s">
        <v>525</v>
      </c>
    </row>
    <row r="73" spans="1:19" ht="15" customHeight="1">
      <c r="A73" s="413">
        <f t="shared" si="1"/>
        <v>73</v>
      </c>
      <c r="B73" s="26">
        <v>102</v>
      </c>
      <c r="C73" s="153" t="s">
        <v>849</v>
      </c>
      <c r="D73" s="211" t="s">
        <v>180</v>
      </c>
      <c r="E73" s="212" t="s">
        <v>854</v>
      </c>
      <c r="F73" s="213" t="s">
        <v>446</v>
      </c>
      <c r="G73" s="214" t="s">
        <v>451</v>
      </c>
      <c r="H73" s="213" t="s">
        <v>148</v>
      </c>
      <c r="I73" s="215">
        <v>1.3</v>
      </c>
      <c r="J73" s="216">
        <v>9</v>
      </c>
      <c r="K73" s="216"/>
      <c r="L73" s="216"/>
      <c r="M73" s="216"/>
      <c r="N73" s="216"/>
      <c r="O73" s="217"/>
      <c r="P73" s="217"/>
      <c r="Q73" s="217"/>
      <c r="R73" s="217">
        <v>1</v>
      </c>
      <c r="S73" s="218" t="s">
        <v>525</v>
      </c>
    </row>
    <row r="74" spans="1:19" ht="15" customHeight="1">
      <c r="A74" s="413">
        <f t="shared" si="1"/>
        <v>74</v>
      </c>
      <c r="B74" s="26">
        <v>102</v>
      </c>
      <c r="C74" s="153" t="s">
        <v>849</v>
      </c>
      <c r="D74" s="211" t="s">
        <v>180</v>
      </c>
      <c r="E74" s="212" t="s">
        <v>854</v>
      </c>
      <c r="F74" s="213" t="s">
        <v>446</v>
      </c>
      <c r="G74" s="214" t="s">
        <v>452</v>
      </c>
      <c r="H74" s="213" t="s">
        <v>148</v>
      </c>
      <c r="I74" s="215">
        <v>2.6</v>
      </c>
      <c r="J74" s="216">
        <v>12</v>
      </c>
      <c r="K74" s="216"/>
      <c r="L74" s="216"/>
      <c r="M74" s="216"/>
      <c r="N74" s="216"/>
      <c r="O74" s="217"/>
      <c r="P74" s="217"/>
      <c r="Q74" s="217"/>
      <c r="R74" s="217">
        <v>2</v>
      </c>
      <c r="S74" s="218" t="s">
        <v>525</v>
      </c>
    </row>
    <row r="75" spans="1:19" ht="15" customHeight="1">
      <c r="A75" s="413">
        <f t="shared" si="1"/>
        <v>75</v>
      </c>
      <c r="B75" s="26">
        <v>102</v>
      </c>
      <c r="C75" s="153" t="s">
        <v>849</v>
      </c>
      <c r="D75" s="211" t="s">
        <v>180</v>
      </c>
      <c r="E75" s="212" t="s">
        <v>854</v>
      </c>
      <c r="F75" s="213" t="s">
        <v>884</v>
      </c>
      <c r="G75" s="214" t="s">
        <v>469</v>
      </c>
      <c r="H75" s="213" t="s">
        <v>174</v>
      </c>
      <c r="I75" s="215">
        <v>2</v>
      </c>
      <c r="J75" s="216"/>
      <c r="K75" s="216"/>
      <c r="L75" s="216">
        <v>16</v>
      </c>
      <c r="M75" s="216"/>
      <c r="N75" s="216"/>
      <c r="O75" s="217"/>
      <c r="P75" s="217"/>
      <c r="Q75" s="217">
        <v>2</v>
      </c>
      <c r="R75" s="217"/>
      <c r="S75" s="218"/>
    </row>
    <row r="76" spans="1:19" ht="15" customHeight="1">
      <c r="A76" s="413">
        <f t="shared" si="1"/>
        <v>76</v>
      </c>
      <c r="B76" s="26">
        <v>102</v>
      </c>
      <c r="C76" s="153" t="s">
        <v>849</v>
      </c>
      <c r="D76" s="211" t="s">
        <v>180</v>
      </c>
      <c r="E76" s="212" t="s">
        <v>854</v>
      </c>
      <c r="F76" s="213" t="s">
        <v>885</v>
      </c>
      <c r="G76" s="214" t="s">
        <v>472</v>
      </c>
      <c r="H76" s="213" t="s">
        <v>109</v>
      </c>
      <c r="I76" s="215">
        <v>5.2</v>
      </c>
      <c r="J76" s="216"/>
      <c r="K76" s="216"/>
      <c r="L76" s="216">
        <v>26</v>
      </c>
      <c r="M76" s="216"/>
      <c r="N76" s="216"/>
      <c r="O76" s="217"/>
      <c r="P76" s="217"/>
      <c r="Q76" s="217"/>
      <c r="R76" s="217">
        <v>4</v>
      </c>
      <c r="S76" s="218" t="s">
        <v>954</v>
      </c>
    </row>
    <row r="77" spans="1:19" ht="15" customHeight="1">
      <c r="A77" s="413">
        <f t="shared" si="1"/>
        <v>77</v>
      </c>
      <c r="B77" s="26">
        <v>102</v>
      </c>
      <c r="C77" s="153" t="s">
        <v>849</v>
      </c>
      <c r="D77" s="211" t="s">
        <v>180</v>
      </c>
      <c r="E77" s="212" t="s">
        <v>854</v>
      </c>
      <c r="F77" s="213" t="s">
        <v>331</v>
      </c>
      <c r="G77" s="214" t="s">
        <v>754</v>
      </c>
      <c r="H77" s="213" t="s">
        <v>109</v>
      </c>
      <c r="I77" s="215">
        <v>22.1</v>
      </c>
      <c r="J77" s="216"/>
      <c r="K77" s="216">
        <v>62</v>
      </c>
      <c r="L77" s="216"/>
      <c r="M77" s="216"/>
      <c r="N77" s="216"/>
      <c r="O77" s="217"/>
      <c r="P77" s="217"/>
      <c r="Q77" s="217">
        <v>17</v>
      </c>
      <c r="R77" s="217"/>
      <c r="S77" s="218" t="s">
        <v>521</v>
      </c>
    </row>
    <row r="78" spans="1:19" ht="15" customHeight="1">
      <c r="A78" s="413">
        <f t="shared" si="1"/>
        <v>78</v>
      </c>
      <c r="B78" s="26">
        <v>102</v>
      </c>
      <c r="C78" s="153" t="s">
        <v>849</v>
      </c>
      <c r="D78" s="211" t="s">
        <v>180</v>
      </c>
      <c r="E78" s="212" t="s">
        <v>854</v>
      </c>
      <c r="F78" s="213" t="s">
        <v>333</v>
      </c>
      <c r="G78" s="214" t="s">
        <v>755</v>
      </c>
      <c r="H78" s="213" t="s">
        <v>19</v>
      </c>
      <c r="I78" s="215">
        <v>87.100000000000009</v>
      </c>
      <c r="J78" s="216"/>
      <c r="K78" s="216"/>
      <c r="L78" s="216">
        <v>410</v>
      </c>
      <c r="M78" s="216"/>
      <c r="N78" s="216"/>
      <c r="O78" s="217"/>
      <c r="P78" s="217"/>
      <c r="Q78" s="217"/>
      <c r="R78" s="217">
        <v>44</v>
      </c>
      <c r="S78" s="218" t="s">
        <v>521</v>
      </c>
    </row>
    <row r="79" spans="1:19" ht="15" customHeight="1">
      <c r="A79" s="413">
        <f t="shared" si="1"/>
        <v>79</v>
      </c>
      <c r="B79" s="26">
        <v>102</v>
      </c>
      <c r="C79" s="153" t="s">
        <v>849</v>
      </c>
      <c r="D79" s="211" t="s">
        <v>180</v>
      </c>
      <c r="E79" s="212" t="s">
        <v>854</v>
      </c>
      <c r="F79" s="213" t="s">
        <v>331</v>
      </c>
      <c r="G79" s="214" t="s">
        <v>756</v>
      </c>
      <c r="H79" s="213" t="s">
        <v>109</v>
      </c>
      <c r="I79" s="215">
        <v>16.900000000000002</v>
      </c>
      <c r="J79" s="216"/>
      <c r="K79" s="216"/>
      <c r="L79" s="216">
        <v>61</v>
      </c>
      <c r="M79" s="216"/>
      <c r="N79" s="216"/>
      <c r="O79" s="217"/>
      <c r="P79" s="217"/>
      <c r="Q79" s="217"/>
      <c r="R79" s="217">
        <v>13</v>
      </c>
      <c r="S79" s="218" t="s">
        <v>521</v>
      </c>
    </row>
    <row r="80" spans="1:19" ht="15" customHeight="1">
      <c r="A80" s="413">
        <f t="shared" si="1"/>
        <v>80</v>
      </c>
      <c r="B80" s="26">
        <v>102</v>
      </c>
      <c r="C80" s="153" t="s">
        <v>849</v>
      </c>
      <c r="D80" s="211" t="s">
        <v>180</v>
      </c>
      <c r="E80" s="212" t="s">
        <v>854</v>
      </c>
      <c r="F80" s="213" t="s">
        <v>333</v>
      </c>
      <c r="G80" s="214" t="s">
        <v>466</v>
      </c>
      <c r="H80" s="213" t="s">
        <v>19</v>
      </c>
      <c r="I80" s="215">
        <v>63.7</v>
      </c>
      <c r="J80" s="216"/>
      <c r="K80" s="216"/>
      <c r="L80" s="216">
        <v>392</v>
      </c>
      <c r="M80" s="216"/>
      <c r="N80" s="216"/>
      <c r="O80" s="217"/>
      <c r="P80" s="217">
        <v>20</v>
      </c>
      <c r="Q80" s="217"/>
      <c r="R80" s="217"/>
      <c r="S80" s="218"/>
    </row>
    <row r="81" spans="1:19" ht="15" customHeight="1">
      <c r="A81" s="413">
        <f t="shared" si="1"/>
        <v>81</v>
      </c>
      <c r="B81" s="26">
        <v>102</v>
      </c>
      <c r="C81" s="153" t="s">
        <v>849</v>
      </c>
      <c r="D81" s="211" t="s">
        <v>180</v>
      </c>
      <c r="E81" s="212" t="s">
        <v>854</v>
      </c>
      <c r="F81" s="213" t="s">
        <v>168</v>
      </c>
      <c r="G81" s="214" t="s">
        <v>757</v>
      </c>
      <c r="H81" s="213" t="s">
        <v>946</v>
      </c>
      <c r="I81" s="215">
        <v>156</v>
      </c>
      <c r="J81" s="216"/>
      <c r="K81" s="216"/>
      <c r="L81" s="216"/>
      <c r="M81" s="216"/>
      <c r="N81" s="216">
        <v>205</v>
      </c>
      <c r="O81" s="217"/>
      <c r="P81" s="217"/>
      <c r="Q81" s="217">
        <v>98</v>
      </c>
      <c r="R81" s="217"/>
      <c r="S81" s="218" t="s">
        <v>955</v>
      </c>
    </row>
    <row r="82" spans="1:19" ht="15" customHeight="1">
      <c r="A82" s="413">
        <f t="shared" si="1"/>
        <v>82</v>
      </c>
      <c r="B82" s="26">
        <v>102</v>
      </c>
      <c r="C82" s="153" t="s">
        <v>849</v>
      </c>
      <c r="D82" s="211" t="s">
        <v>180</v>
      </c>
      <c r="E82" s="212" t="s">
        <v>854</v>
      </c>
      <c r="F82" s="213" t="s">
        <v>168</v>
      </c>
      <c r="G82" s="214" t="s">
        <v>468</v>
      </c>
      <c r="H82" s="213" t="s">
        <v>109</v>
      </c>
      <c r="I82" s="215">
        <v>114.4</v>
      </c>
      <c r="J82" s="216"/>
      <c r="K82" s="216">
        <v>153</v>
      </c>
      <c r="L82" s="216"/>
      <c r="M82" s="216"/>
      <c r="N82" s="216"/>
      <c r="O82" s="217"/>
      <c r="P82" s="217"/>
      <c r="Q82" s="217">
        <v>70</v>
      </c>
      <c r="R82" s="217"/>
      <c r="S82" s="218"/>
    </row>
    <row r="83" spans="1:19" ht="15" customHeight="1">
      <c r="A83" s="413">
        <f t="shared" si="1"/>
        <v>83</v>
      </c>
      <c r="B83" s="26">
        <v>102</v>
      </c>
      <c r="C83" s="153" t="s">
        <v>849</v>
      </c>
      <c r="D83" s="211" t="s">
        <v>180</v>
      </c>
      <c r="E83" s="212" t="s">
        <v>854</v>
      </c>
      <c r="F83" s="213" t="s">
        <v>168</v>
      </c>
      <c r="G83" s="214" t="s">
        <v>886</v>
      </c>
      <c r="H83" s="213" t="s">
        <v>44</v>
      </c>
      <c r="I83" s="215">
        <v>172.9</v>
      </c>
      <c r="J83" s="216"/>
      <c r="K83" s="216"/>
      <c r="L83" s="216"/>
      <c r="M83" s="216"/>
      <c r="N83" s="216">
        <v>285</v>
      </c>
      <c r="O83" s="217"/>
      <c r="P83" s="217"/>
      <c r="Q83" s="217">
        <v>68</v>
      </c>
      <c r="R83" s="217"/>
      <c r="S83" s="218" t="s">
        <v>956</v>
      </c>
    </row>
    <row r="84" spans="1:19" ht="15" customHeight="1">
      <c r="A84" s="413">
        <f t="shared" si="1"/>
        <v>84</v>
      </c>
      <c r="B84" s="26">
        <v>102</v>
      </c>
      <c r="C84" s="153" t="s">
        <v>849</v>
      </c>
      <c r="D84" s="211" t="s">
        <v>180</v>
      </c>
      <c r="E84" s="212" t="s">
        <v>854</v>
      </c>
      <c r="F84" s="213" t="s">
        <v>123</v>
      </c>
      <c r="G84" s="214" t="s">
        <v>471</v>
      </c>
      <c r="H84" s="213" t="s">
        <v>109</v>
      </c>
      <c r="I84" s="215">
        <v>11.700000000000001</v>
      </c>
      <c r="J84" s="216"/>
      <c r="K84" s="216">
        <v>44</v>
      </c>
      <c r="L84" s="216"/>
      <c r="M84" s="216"/>
      <c r="N84" s="216"/>
      <c r="O84" s="217"/>
      <c r="P84" s="217"/>
      <c r="Q84" s="217">
        <v>9</v>
      </c>
      <c r="R84" s="217"/>
      <c r="S84" s="218" t="s">
        <v>521</v>
      </c>
    </row>
    <row r="85" spans="1:19" ht="15" customHeight="1">
      <c r="A85" s="413">
        <f t="shared" si="1"/>
        <v>85</v>
      </c>
      <c r="B85" s="26">
        <v>102</v>
      </c>
      <c r="C85" s="153" t="s">
        <v>849</v>
      </c>
      <c r="D85" s="211" t="s">
        <v>180</v>
      </c>
      <c r="E85" s="212" t="s">
        <v>854</v>
      </c>
      <c r="F85" s="213" t="s">
        <v>758</v>
      </c>
      <c r="G85" s="214" t="s">
        <v>759</v>
      </c>
      <c r="H85" s="213" t="s">
        <v>19</v>
      </c>
      <c r="I85" s="215">
        <v>9.1</v>
      </c>
      <c r="J85" s="216"/>
      <c r="K85" s="216"/>
      <c r="L85" s="216">
        <v>32</v>
      </c>
      <c r="M85" s="216"/>
      <c r="N85" s="216"/>
      <c r="O85" s="217"/>
      <c r="P85" s="217"/>
      <c r="Q85" s="217"/>
      <c r="R85" s="217">
        <v>7</v>
      </c>
      <c r="S85" s="218" t="s">
        <v>521</v>
      </c>
    </row>
    <row r="86" spans="1:19" ht="15" customHeight="1">
      <c r="A86" s="413">
        <f t="shared" si="1"/>
        <v>86</v>
      </c>
      <c r="B86" s="26">
        <v>102</v>
      </c>
      <c r="C86" s="153" t="s">
        <v>849</v>
      </c>
      <c r="D86" s="211" t="s">
        <v>180</v>
      </c>
      <c r="E86" s="212" t="s">
        <v>854</v>
      </c>
      <c r="F86" s="213" t="s">
        <v>887</v>
      </c>
      <c r="G86" s="214" t="s">
        <v>490</v>
      </c>
      <c r="H86" s="213" t="s">
        <v>44</v>
      </c>
      <c r="I86" s="215">
        <v>67.600000000000009</v>
      </c>
      <c r="J86" s="216"/>
      <c r="K86" s="216"/>
      <c r="L86" s="216"/>
      <c r="M86" s="216"/>
      <c r="N86" s="216">
        <v>102</v>
      </c>
      <c r="O86" s="217"/>
      <c r="P86" s="217"/>
      <c r="Q86" s="217">
        <v>52</v>
      </c>
      <c r="R86" s="217"/>
      <c r="S86" s="218" t="s">
        <v>317</v>
      </c>
    </row>
    <row r="87" spans="1:19" ht="15" customHeight="1">
      <c r="A87" s="413">
        <f t="shared" si="1"/>
        <v>87</v>
      </c>
      <c r="B87" s="26">
        <v>102</v>
      </c>
      <c r="C87" s="153" t="s">
        <v>849</v>
      </c>
      <c r="D87" s="211" t="s">
        <v>180</v>
      </c>
      <c r="E87" s="212" t="s">
        <v>854</v>
      </c>
      <c r="F87" s="213" t="s">
        <v>887</v>
      </c>
      <c r="G87" s="214" t="s">
        <v>493</v>
      </c>
      <c r="H87" s="213" t="s">
        <v>44</v>
      </c>
      <c r="I87" s="215">
        <v>24.7</v>
      </c>
      <c r="J87" s="216"/>
      <c r="K87" s="216"/>
      <c r="L87" s="216"/>
      <c r="M87" s="216"/>
      <c r="N87" s="216">
        <v>51</v>
      </c>
      <c r="O87" s="217"/>
      <c r="P87" s="217"/>
      <c r="Q87" s="217">
        <v>19</v>
      </c>
      <c r="R87" s="217"/>
      <c r="S87" s="218" t="s">
        <v>317</v>
      </c>
    </row>
    <row r="88" spans="1:19" ht="15" customHeight="1">
      <c r="A88" s="413">
        <f t="shared" si="1"/>
        <v>88</v>
      </c>
      <c r="B88" s="26">
        <v>102</v>
      </c>
      <c r="C88" s="153" t="s">
        <v>849</v>
      </c>
      <c r="D88" s="211" t="s">
        <v>180</v>
      </c>
      <c r="E88" s="212" t="s">
        <v>854</v>
      </c>
      <c r="F88" s="213" t="s">
        <v>887</v>
      </c>
      <c r="G88" s="214" t="s">
        <v>888</v>
      </c>
      <c r="H88" s="213" t="s">
        <v>109</v>
      </c>
      <c r="I88" s="215">
        <v>13</v>
      </c>
      <c r="J88" s="216"/>
      <c r="K88" s="216"/>
      <c r="L88" s="216"/>
      <c r="M88" s="216"/>
      <c r="N88" s="216">
        <v>42</v>
      </c>
      <c r="O88" s="217"/>
      <c r="P88" s="217"/>
      <c r="Q88" s="217">
        <v>10</v>
      </c>
      <c r="R88" s="217"/>
      <c r="S88" s="218" t="s">
        <v>521</v>
      </c>
    </row>
    <row r="89" spans="1:19" ht="15" customHeight="1">
      <c r="A89" s="413">
        <f t="shared" si="1"/>
        <v>89</v>
      </c>
      <c r="B89" s="26">
        <v>102</v>
      </c>
      <c r="C89" s="153" t="s">
        <v>849</v>
      </c>
      <c r="D89" s="211" t="s">
        <v>180</v>
      </c>
      <c r="E89" s="212" t="s">
        <v>854</v>
      </c>
      <c r="F89" s="213" t="s">
        <v>887</v>
      </c>
      <c r="G89" s="214" t="s">
        <v>889</v>
      </c>
      <c r="H89" s="213" t="s">
        <v>109</v>
      </c>
      <c r="I89" s="215">
        <v>9.1</v>
      </c>
      <c r="J89" s="216">
        <v>3</v>
      </c>
      <c r="K89" s="216"/>
      <c r="L89" s="216"/>
      <c r="M89" s="216"/>
      <c r="N89" s="216">
        <v>30</v>
      </c>
      <c r="O89" s="217"/>
      <c r="P89" s="217"/>
      <c r="Q89" s="217">
        <v>7</v>
      </c>
      <c r="R89" s="217"/>
      <c r="S89" s="218" t="s">
        <v>317</v>
      </c>
    </row>
    <row r="90" spans="1:19" ht="15" customHeight="1">
      <c r="A90" s="413">
        <f t="shared" si="1"/>
        <v>90</v>
      </c>
      <c r="B90" s="26">
        <v>102</v>
      </c>
      <c r="C90" s="153" t="s">
        <v>849</v>
      </c>
      <c r="D90" s="211" t="s">
        <v>180</v>
      </c>
      <c r="E90" s="212" t="s">
        <v>854</v>
      </c>
      <c r="F90" s="213" t="s">
        <v>282</v>
      </c>
      <c r="G90" s="214" t="s">
        <v>762</v>
      </c>
      <c r="H90" s="213" t="s">
        <v>109</v>
      </c>
      <c r="I90" s="215">
        <v>16.900000000000002</v>
      </c>
      <c r="J90" s="216"/>
      <c r="K90" s="216"/>
      <c r="L90" s="216">
        <v>50</v>
      </c>
      <c r="M90" s="216"/>
      <c r="N90" s="216"/>
      <c r="O90" s="217"/>
      <c r="P90" s="217"/>
      <c r="Q90" s="217"/>
      <c r="R90" s="217">
        <v>13</v>
      </c>
      <c r="S90" s="218" t="s">
        <v>521</v>
      </c>
    </row>
    <row r="91" spans="1:19" ht="15" customHeight="1">
      <c r="A91" s="413">
        <f t="shared" si="1"/>
        <v>91</v>
      </c>
      <c r="B91" s="26">
        <v>102</v>
      </c>
      <c r="C91" s="153" t="s">
        <v>849</v>
      </c>
      <c r="D91" s="211" t="s">
        <v>180</v>
      </c>
      <c r="E91" s="212" t="s">
        <v>854</v>
      </c>
      <c r="F91" s="213" t="s">
        <v>890</v>
      </c>
      <c r="G91" s="214" t="s">
        <v>475</v>
      </c>
      <c r="H91" s="213" t="s">
        <v>19</v>
      </c>
      <c r="I91" s="215">
        <v>3.9000000000000004</v>
      </c>
      <c r="J91" s="216"/>
      <c r="K91" s="216"/>
      <c r="L91" s="216">
        <v>30</v>
      </c>
      <c r="M91" s="216"/>
      <c r="N91" s="216"/>
      <c r="O91" s="217"/>
      <c r="P91" s="217"/>
      <c r="Q91" s="217">
        <v>3</v>
      </c>
      <c r="R91" s="217"/>
      <c r="S91" s="218" t="s">
        <v>521</v>
      </c>
    </row>
    <row r="92" spans="1:19" ht="15" customHeight="1">
      <c r="A92" s="413">
        <f t="shared" si="1"/>
        <v>92</v>
      </c>
      <c r="B92" s="26">
        <v>102</v>
      </c>
      <c r="C92" s="153" t="s">
        <v>849</v>
      </c>
      <c r="D92" s="211" t="s">
        <v>180</v>
      </c>
      <c r="E92" s="212" t="s">
        <v>854</v>
      </c>
      <c r="F92" s="213" t="s">
        <v>478</v>
      </c>
      <c r="G92" s="214" t="s">
        <v>763</v>
      </c>
      <c r="H92" s="213"/>
      <c r="I92" s="215">
        <v>0</v>
      </c>
      <c r="J92" s="216"/>
      <c r="K92" s="216"/>
      <c r="L92" s="216"/>
      <c r="M92" s="216"/>
      <c r="N92" s="216"/>
      <c r="O92" s="217"/>
      <c r="P92" s="217"/>
      <c r="Q92" s="217"/>
      <c r="R92" s="217"/>
      <c r="S92" s="218" t="s">
        <v>1318</v>
      </c>
    </row>
    <row r="93" spans="1:19" ht="15" customHeight="1">
      <c r="A93" s="413">
        <f t="shared" si="1"/>
        <v>93</v>
      </c>
      <c r="B93" s="26">
        <v>102</v>
      </c>
      <c r="C93" s="153" t="s">
        <v>849</v>
      </c>
      <c r="D93" s="211" t="s">
        <v>180</v>
      </c>
      <c r="E93" s="212" t="s">
        <v>854</v>
      </c>
      <c r="F93" s="213" t="s">
        <v>478</v>
      </c>
      <c r="G93" s="214" t="s">
        <v>765</v>
      </c>
      <c r="H93" s="213"/>
      <c r="I93" s="215">
        <v>0</v>
      </c>
      <c r="J93" s="216"/>
      <c r="K93" s="216"/>
      <c r="L93" s="216"/>
      <c r="M93" s="216"/>
      <c r="N93" s="216"/>
      <c r="O93" s="217"/>
      <c r="P93" s="217"/>
      <c r="Q93" s="217"/>
      <c r="R93" s="217"/>
      <c r="S93" s="218" t="s">
        <v>1318</v>
      </c>
    </row>
    <row r="94" spans="1:19" ht="15" customHeight="1">
      <c r="A94" s="413">
        <f t="shared" si="1"/>
        <v>94</v>
      </c>
      <c r="B94" s="26">
        <v>102</v>
      </c>
      <c r="C94" s="153" t="s">
        <v>849</v>
      </c>
      <c r="D94" s="211" t="s">
        <v>180</v>
      </c>
      <c r="E94" s="212" t="s">
        <v>854</v>
      </c>
      <c r="F94" s="213" t="s">
        <v>478</v>
      </c>
      <c r="G94" s="214" t="s">
        <v>481</v>
      </c>
      <c r="H94" s="213"/>
      <c r="I94" s="215">
        <v>0</v>
      </c>
      <c r="J94" s="216"/>
      <c r="K94" s="216"/>
      <c r="L94" s="216"/>
      <c r="M94" s="216"/>
      <c r="N94" s="216"/>
      <c r="O94" s="217"/>
      <c r="P94" s="217"/>
      <c r="Q94" s="217"/>
      <c r="R94" s="217"/>
      <c r="S94" s="218" t="s">
        <v>1318</v>
      </c>
    </row>
    <row r="95" spans="1:19" ht="15" customHeight="1">
      <c r="A95" s="413">
        <f t="shared" si="1"/>
        <v>95</v>
      </c>
      <c r="B95" s="26">
        <v>102</v>
      </c>
      <c r="C95" s="153" t="s">
        <v>849</v>
      </c>
      <c r="D95" s="211" t="s">
        <v>180</v>
      </c>
      <c r="E95" s="212" t="s">
        <v>854</v>
      </c>
      <c r="F95" s="213" t="s">
        <v>488</v>
      </c>
      <c r="G95" s="214" t="s">
        <v>479</v>
      </c>
      <c r="H95" s="213" t="s">
        <v>19</v>
      </c>
      <c r="I95" s="215">
        <v>37.700000000000003</v>
      </c>
      <c r="J95" s="216"/>
      <c r="K95" s="216"/>
      <c r="L95" s="216">
        <v>80</v>
      </c>
      <c r="M95" s="216"/>
      <c r="N95" s="216"/>
      <c r="O95" s="217"/>
      <c r="P95" s="217">
        <v>29</v>
      </c>
      <c r="Q95" s="217"/>
      <c r="R95" s="217"/>
      <c r="S95" s="218" t="s">
        <v>525</v>
      </c>
    </row>
    <row r="96" spans="1:19" ht="15" customHeight="1">
      <c r="A96" s="413">
        <f t="shared" si="1"/>
        <v>96</v>
      </c>
      <c r="B96" s="26">
        <v>102</v>
      </c>
      <c r="C96" s="153" t="s">
        <v>849</v>
      </c>
      <c r="D96" s="211" t="s">
        <v>180</v>
      </c>
      <c r="E96" s="212" t="s">
        <v>854</v>
      </c>
      <c r="F96" s="213" t="s">
        <v>488</v>
      </c>
      <c r="G96" s="214" t="s">
        <v>770</v>
      </c>
      <c r="H96" s="213" t="s">
        <v>109</v>
      </c>
      <c r="I96" s="215">
        <v>19.5</v>
      </c>
      <c r="J96" s="216"/>
      <c r="K96" s="216">
        <v>67</v>
      </c>
      <c r="L96" s="216"/>
      <c r="M96" s="216"/>
      <c r="N96" s="216"/>
      <c r="O96" s="217"/>
      <c r="P96" s="217"/>
      <c r="Q96" s="217">
        <v>15</v>
      </c>
      <c r="R96" s="217"/>
      <c r="S96" s="218" t="s">
        <v>317</v>
      </c>
    </row>
    <row r="97" spans="1:19" ht="15" customHeight="1">
      <c r="A97" s="413">
        <f t="shared" si="1"/>
        <v>97</v>
      </c>
      <c r="B97" s="26">
        <v>102</v>
      </c>
      <c r="C97" s="153" t="s">
        <v>849</v>
      </c>
      <c r="D97" s="211" t="s">
        <v>180</v>
      </c>
      <c r="E97" s="212" t="s">
        <v>854</v>
      </c>
      <c r="F97" s="213" t="s">
        <v>488</v>
      </c>
      <c r="G97" s="214" t="s">
        <v>771</v>
      </c>
      <c r="H97" s="213" t="s">
        <v>109</v>
      </c>
      <c r="I97" s="215">
        <v>23.400000000000002</v>
      </c>
      <c r="J97" s="216"/>
      <c r="K97" s="216">
        <v>62</v>
      </c>
      <c r="L97" s="216"/>
      <c r="M97" s="216"/>
      <c r="N97" s="216"/>
      <c r="O97" s="217"/>
      <c r="P97" s="217"/>
      <c r="Q97" s="217">
        <v>18</v>
      </c>
      <c r="R97" s="217"/>
      <c r="S97" s="218" t="s">
        <v>521</v>
      </c>
    </row>
    <row r="98" spans="1:19" ht="15" customHeight="1">
      <c r="A98" s="413">
        <f t="shared" si="1"/>
        <v>98</v>
      </c>
      <c r="B98" s="26">
        <v>102</v>
      </c>
      <c r="C98" s="153" t="s">
        <v>849</v>
      </c>
      <c r="D98" s="211" t="s">
        <v>180</v>
      </c>
      <c r="E98" s="212" t="s">
        <v>854</v>
      </c>
      <c r="F98" s="213" t="s">
        <v>488</v>
      </c>
      <c r="G98" s="214" t="s">
        <v>512</v>
      </c>
      <c r="H98" s="213" t="s">
        <v>19</v>
      </c>
      <c r="I98" s="215">
        <v>59.800000000000004</v>
      </c>
      <c r="J98" s="216"/>
      <c r="K98" s="216"/>
      <c r="L98" s="216">
        <v>99</v>
      </c>
      <c r="M98" s="216"/>
      <c r="N98" s="216"/>
      <c r="O98" s="217"/>
      <c r="P98" s="217">
        <v>46</v>
      </c>
      <c r="Q98" s="217"/>
      <c r="R98" s="217"/>
      <c r="S98" s="218"/>
    </row>
    <row r="99" spans="1:19" ht="15" customHeight="1">
      <c r="A99" s="413">
        <f t="shared" si="1"/>
        <v>99</v>
      </c>
      <c r="B99" s="26">
        <v>102</v>
      </c>
      <c r="C99" s="153" t="s">
        <v>849</v>
      </c>
      <c r="D99" s="211" t="s">
        <v>180</v>
      </c>
      <c r="E99" s="212" t="s">
        <v>854</v>
      </c>
      <c r="F99" s="213" t="s">
        <v>488</v>
      </c>
      <c r="G99" s="214" t="s">
        <v>489</v>
      </c>
      <c r="H99" s="213" t="s">
        <v>19</v>
      </c>
      <c r="I99" s="215">
        <v>7.8000000000000007</v>
      </c>
      <c r="J99" s="216"/>
      <c r="K99" s="216"/>
      <c r="L99" s="216">
        <v>58</v>
      </c>
      <c r="M99" s="216"/>
      <c r="N99" s="216"/>
      <c r="O99" s="217"/>
      <c r="P99" s="217"/>
      <c r="Q99" s="217"/>
      <c r="R99" s="217">
        <v>6</v>
      </c>
      <c r="S99" s="218" t="s">
        <v>521</v>
      </c>
    </row>
    <row r="100" spans="1:19" ht="15" customHeight="1">
      <c r="A100" s="413">
        <f t="shared" si="1"/>
        <v>100</v>
      </c>
      <c r="B100" s="26">
        <v>102</v>
      </c>
      <c r="C100" s="153" t="s">
        <v>849</v>
      </c>
      <c r="D100" s="211" t="s">
        <v>180</v>
      </c>
      <c r="E100" s="212" t="s">
        <v>854</v>
      </c>
      <c r="F100" s="213" t="s">
        <v>488</v>
      </c>
      <c r="G100" s="214" t="s">
        <v>491</v>
      </c>
      <c r="H100" s="213" t="s">
        <v>19</v>
      </c>
      <c r="I100" s="215">
        <v>11.700000000000001</v>
      </c>
      <c r="J100" s="216"/>
      <c r="K100" s="216"/>
      <c r="L100" s="216">
        <v>48</v>
      </c>
      <c r="M100" s="216"/>
      <c r="N100" s="216"/>
      <c r="O100" s="217"/>
      <c r="P100" s="217"/>
      <c r="Q100" s="217"/>
      <c r="R100" s="217">
        <v>9</v>
      </c>
      <c r="S100" s="218" t="s">
        <v>521</v>
      </c>
    </row>
    <row r="101" spans="1:19" ht="15" customHeight="1">
      <c r="A101" s="413">
        <f t="shared" si="1"/>
        <v>101</v>
      </c>
      <c r="B101" s="26">
        <v>102</v>
      </c>
      <c r="C101" s="153" t="s">
        <v>849</v>
      </c>
      <c r="D101" s="211" t="s">
        <v>180</v>
      </c>
      <c r="E101" s="212" t="s">
        <v>854</v>
      </c>
      <c r="F101" s="213" t="s">
        <v>488</v>
      </c>
      <c r="G101" s="214" t="s">
        <v>502</v>
      </c>
      <c r="H101" s="213"/>
      <c r="I101" s="215">
        <v>0</v>
      </c>
      <c r="J101" s="216"/>
      <c r="K101" s="216"/>
      <c r="L101" s="216"/>
      <c r="M101" s="216"/>
      <c r="N101" s="216"/>
      <c r="O101" s="217"/>
      <c r="P101" s="217"/>
      <c r="Q101" s="217"/>
      <c r="R101" s="217"/>
      <c r="S101" s="218" t="s">
        <v>1318</v>
      </c>
    </row>
    <row r="102" spans="1:19" ht="15" customHeight="1">
      <c r="A102" s="413">
        <f t="shared" si="1"/>
        <v>102</v>
      </c>
      <c r="B102" s="26">
        <v>102</v>
      </c>
      <c r="C102" s="153" t="s">
        <v>849</v>
      </c>
      <c r="D102" s="211" t="s">
        <v>180</v>
      </c>
      <c r="E102" s="212" t="s">
        <v>854</v>
      </c>
      <c r="F102" s="213" t="s">
        <v>488</v>
      </c>
      <c r="G102" s="214" t="s">
        <v>503</v>
      </c>
      <c r="H102" s="213"/>
      <c r="I102" s="215">
        <v>0</v>
      </c>
      <c r="J102" s="216"/>
      <c r="K102" s="216"/>
      <c r="L102" s="216"/>
      <c r="M102" s="216"/>
      <c r="N102" s="216"/>
      <c r="O102" s="217"/>
      <c r="P102" s="217"/>
      <c r="Q102" s="217"/>
      <c r="R102" s="217"/>
      <c r="S102" s="218" t="s">
        <v>1318</v>
      </c>
    </row>
    <row r="103" spans="1:19" ht="15" customHeight="1">
      <c r="A103" s="413">
        <f t="shared" si="1"/>
        <v>103</v>
      </c>
      <c r="B103" s="26">
        <v>102</v>
      </c>
      <c r="C103" s="153" t="s">
        <v>849</v>
      </c>
      <c r="D103" s="211" t="s">
        <v>180</v>
      </c>
      <c r="E103" s="212" t="s">
        <v>854</v>
      </c>
      <c r="F103" s="213" t="s">
        <v>488</v>
      </c>
      <c r="G103" s="214" t="s">
        <v>504</v>
      </c>
      <c r="H103" s="213" t="s">
        <v>176</v>
      </c>
      <c r="I103" s="215">
        <v>33.800000000000004</v>
      </c>
      <c r="J103" s="216">
        <v>29</v>
      </c>
      <c r="K103" s="216"/>
      <c r="L103" s="216"/>
      <c r="M103" s="216"/>
      <c r="N103" s="216">
        <v>47</v>
      </c>
      <c r="O103" s="217"/>
      <c r="P103" s="217"/>
      <c r="Q103" s="217"/>
      <c r="R103" s="217">
        <v>29</v>
      </c>
      <c r="S103" s="218"/>
    </row>
    <row r="104" spans="1:19" ht="15" customHeight="1">
      <c r="A104" s="413">
        <f t="shared" si="1"/>
        <v>104</v>
      </c>
      <c r="B104" s="26">
        <v>102</v>
      </c>
      <c r="C104" s="153" t="s">
        <v>849</v>
      </c>
      <c r="D104" s="211" t="s">
        <v>180</v>
      </c>
      <c r="E104" s="212" t="s">
        <v>854</v>
      </c>
      <c r="F104" s="213" t="s">
        <v>488</v>
      </c>
      <c r="G104" s="214" t="s">
        <v>505</v>
      </c>
      <c r="H104" s="213" t="s">
        <v>109</v>
      </c>
      <c r="I104" s="215">
        <v>29.900000000000002</v>
      </c>
      <c r="J104" s="216"/>
      <c r="K104" s="216"/>
      <c r="L104" s="216">
        <v>85</v>
      </c>
      <c r="M104" s="216"/>
      <c r="N104" s="216"/>
      <c r="O104" s="217"/>
      <c r="P104" s="217"/>
      <c r="Q104" s="217">
        <v>23</v>
      </c>
      <c r="R104" s="217"/>
      <c r="S104" s="218" t="s">
        <v>521</v>
      </c>
    </row>
    <row r="105" spans="1:19" ht="15" customHeight="1">
      <c r="A105" s="413">
        <f t="shared" si="1"/>
        <v>105</v>
      </c>
      <c r="B105" s="26">
        <v>102</v>
      </c>
      <c r="C105" s="153" t="s">
        <v>849</v>
      </c>
      <c r="D105" s="211" t="s">
        <v>180</v>
      </c>
      <c r="E105" s="212" t="s">
        <v>854</v>
      </c>
      <c r="F105" s="213" t="s">
        <v>488</v>
      </c>
      <c r="G105" s="214" t="s">
        <v>506</v>
      </c>
      <c r="H105" s="213" t="s">
        <v>19</v>
      </c>
      <c r="I105" s="215">
        <v>10.4</v>
      </c>
      <c r="J105" s="216"/>
      <c r="K105" s="216"/>
      <c r="L105" s="216">
        <v>56</v>
      </c>
      <c r="M105" s="216"/>
      <c r="N105" s="216"/>
      <c r="O105" s="217"/>
      <c r="P105" s="217"/>
      <c r="Q105" s="217"/>
      <c r="R105" s="217">
        <v>8</v>
      </c>
      <c r="S105" s="218" t="s">
        <v>521</v>
      </c>
    </row>
    <row r="106" spans="1:19" ht="15" customHeight="1">
      <c r="A106" s="413">
        <f t="shared" si="1"/>
        <v>106</v>
      </c>
      <c r="B106" s="26">
        <v>102</v>
      </c>
      <c r="C106" s="153" t="s">
        <v>849</v>
      </c>
      <c r="D106" s="211" t="s">
        <v>180</v>
      </c>
      <c r="E106" s="212" t="s">
        <v>854</v>
      </c>
      <c r="F106" s="213" t="s">
        <v>488</v>
      </c>
      <c r="G106" s="214" t="s">
        <v>507</v>
      </c>
      <c r="H106" s="213" t="s">
        <v>19</v>
      </c>
      <c r="I106" s="215">
        <v>41.6</v>
      </c>
      <c r="J106" s="216"/>
      <c r="K106" s="216"/>
      <c r="L106" s="216">
        <v>81</v>
      </c>
      <c r="M106" s="216"/>
      <c r="N106" s="216"/>
      <c r="O106" s="217"/>
      <c r="P106" s="217"/>
      <c r="Q106" s="217"/>
      <c r="R106" s="217">
        <v>32</v>
      </c>
      <c r="S106" s="218" t="s">
        <v>521</v>
      </c>
    </row>
    <row r="107" spans="1:19" ht="15" customHeight="1">
      <c r="A107" s="413">
        <f t="shared" si="1"/>
        <v>107</v>
      </c>
      <c r="B107" s="26">
        <v>102</v>
      </c>
      <c r="C107" s="153" t="s">
        <v>849</v>
      </c>
      <c r="D107" s="211" t="s">
        <v>180</v>
      </c>
      <c r="E107" s="212" t="s">
        <v>854</v>
      </c>
      <c r="F107" s="213" t="s">
        <v>488</v>
      </c>
      <c r="G107" s="214" t="s">
        <v>508</v>
      </c>
      <c r="H107" s="213" t="s">
        <v>19</v>
      </c>
      <c r="I107" s="215">
        <v>37.700000000000003</v>
      </c>
      <c r="J107" s="216"/>
      <c r="K107" s="216"/>
      <c r="L107" s="216">
        <v>81</v>
      </c>
      <c r="M107" s="216"/>
      <c r="N107" s="216"/>
      <c r="O107" s="217"/>
      <c r="P107" s="217"/>
      <c r="Q107" s="217"/>
      <c r="R107" s="217">
        <v>29</v>
      </c>
      <c r="S107" s="218" t="s">
        <v>521</v>
      </c>
    </row>
    <row r="108" spans="1:19" ht="15" customHeight="1">
      <c r="A108" s="413">
        <f t="shared" si="1"/>
        <v>108</v>
      </c>
      <c r="B108" s="26">
        <v>102</v>
      </c>
      <c r="C108" s="153" t="s">
        <v>849</v>
      </c>
      <c r="D108" s="211" t="s">
        <v>180</v>
      </c>
      <c r="E108" s="212" t="s">
        <v>854</v>
      </c>
      <c r="F108" s="213" t="s">
        <v>891</v>
      </c>
      <c r="G108" s="214" t="s">
        <v>169</v>
      </c>
      <c r="H108" s="213"/>
      <c r="I108" s="215">
        <v>0</v>
      </c>
      <c r="J108" s="216"/>
      <c r="K108" s="216"/>
      <c r="L108" s="216"/>
      <c r="M108" s="216"/>
      <c r="N108" s="216"/>
      <c r="O108" s="217"/>
      <c r="P108" s="217"/>
      <c r="Q108" s="217"/>
      <c r="R108" s="217"/>
      <c r="S108" s="218" t="s">
        <v>1318</v>
      </c>
    </row>
    <row r="109" spans="1:19" ht="15" customHeight="1">
      <c r="A109" s="413">
        <f t="shared" si="1"/>
        <v>109</v>
      </c>
      <c r="B109" s="26">
        <v>102</v>
      </c>
      <c r="C109" s="153" t="s">
        <v>849</v>
      </c>
      <c r="D109" s="211" t="s">
        <v>180</v>
      </c>
      <c r="E109" s="212" t="s">
        <v>327</v>
      </c>
      <c r="F109" s="213" t="s">
        <v>868</v>
      </c>
      <c r="G109" s="214" t="s">
        <v>869</v>
      </c>
      <c r="H109" s="213" t="s">
        <v>298</v>
      </c>
      <c r="I109" s="215">
        <v>0</v>
      </c>
      <c r="J109" s="216"/>
      <c r="K109" s="216"/>
      <c r="L109" s="216"/>
      <c r="M109" s="216"/>
      <c r="N109" s="216"/>
      <c r="O109" s="217"/>
      <c r="P109" s="217"/>
      <c r="Q109" s="217"/>
      <c r="R109" s="217"/>
      <c r="S109" s="218" t="s">
        <v>613</v>
      </c>
    </row>
    <row r="110" spans="1:19" ht="15" customHeight="1">
      <c r="A110" s="413">
        <f t="shared" si="1"/>
        <v>110</v>
      </c>
      <c r="B110" s="26">
        <v>102</v>
      </c>
      <c r="C110" s="153" t="s">
        <v>849</v>
      </c>
      <c r="D110" s="211" t="s">
        <v>180</v>
      </c>
      <c r="E110" s="212" t="s">
        <v>327</v>
      </c>
      <c r="F110" s="213" t="s">
        <v>892</v>
      </c>
      <c r="G110" s="214" t="s">
        <v>893</v>
      </c>
      <c r="H110" s="213" t="s">
        <v>166</v>
      </c>
      <c r="I110" s="215">
        <v>0</v>
      </c>
      <c r="J110" s="216"/>
      <c r="K110" s="216"/>
      <c r="L110" s="216"/>
      <c r="M110" s="216"/>
      <c r="N110" s="216"/>
      <c r="O110" s="217"/>
      <c r="P110" s="217"/>
      <c r="Q110" s="217"/>
      <c r="R110" s="217"/>
      <c r="S110" s="218" t="s">
        <v>957</v>
      </c>
    </row>
    <row r="111" spans="1:19" ht="15" customHeight="1">
      <c r="A111" s="413">
        <f t="shared" si="1"/>
        <v>111</v>
      </c>
      <c r="B111" s="26">
        <v>102</v>
      </c>
      <c r="C111" s="153" t="s">
        <v>849</v>
      </c>
      <c r="D111" s="211" t="s">
        <v>180</v>
      </c>
      <c r="E111" s="212" t="s">
        <v>327</v>
      </c>
      <c r="F111" s="213" t="s">
        <v>175</v>
      </c>
      <c r="G111" s="214" t="s">
        <v>894</v>
      </c>
      <c r="H111" s="213" t="s">
        <v>44</v>
      </c>
      <c r="I111" s="215">
        <v>33.800000000000004</v>
      </c>
      <c r="J111" s="216"/>
      <c r="K111" s="216"/>
      <c r="L111" s="216">
        <v>71</v>
      </c>
      <c r="M111" s="216"/>
      <c r="N111" s="216"/>
      <c r="O111" s="217"/>
      <c r="P111" s="217"/>
      <c r="Q111" s="217">
        <v>32</v>
      </c>
      <c r="R111" s="217"/>
      <c r="S111" s="218" t="s">
        <v>521</v>
      </c>
    </row>
    <row r="112" spans="1:19" ht="15" customHeight="1">
      <c r="A112" s="413">
        <f t="shared" si="1"/>
        <v>112</v>
      </c>
      <c r="B112" s="26">
        <v>102</v>
      </c>
      <c r="C112" s="153" t="s">
        <v>849</v>
      </c>
      <c r="D112" s="211" t="s">
        <v>180</v>
      </c>
      <c r="E112" s="212" t="s">
        <v>327</v>
      </c>
      <c r="F112" s="213" t="s">
        <v>777</v>
      </c>
      <c r="G112" s="214" t="s">
        <v>560</v>
      </c>
      <c r="H112" s="213" t="s">
        <v>166</v>
      </c>
      <c r="I112" s="215">
        <v>0</v>
      </c>
      <c r="J112" s="216"/>
      <c r="K112" s="216"/>
      <c r="L112" s="216"/>
      <c r="M112" s="216"/>
      <c r="N112" s="216"/>
      <c r="O112" s="217"/>
      <c r="P112" s="217"/>
      <c r="Q112" s="217"/>
      <c r="R112" s="217"/>
      <c r="S112" s="218" t="s">
        <v>958</v>
      </c>
    </row>
    <row r="113" spans="1:19" ht="15" customHeight="1">
      <c r="A113" s="413">
        <f t="shared" si="1"/>
        <v>113</v>
      </c>
      <c r="B113" s="26">
        <v>102</v>
      </c>
      <c r="C113" s="153" t="s">
        <v>849</v>
      </c>
      <c r="D113" s="211" t="s">
        <v>180</v>
      </c>
      <c r="E113" s="212" t="s">
        <v>327</v>
      </c>
      <c r="F113" s="213" t="s">
        <v>175</v>
      </c>
      <c r="G113" s="214" t="s">
        <v>895</v>
      </c>
      <c r="H113" s="213"/>
      <c r="I113" s="215">
        <v>0</v>
      </c>
      <c r="J113" s="216"/>
      <c r="K113" s="216"/>
      <c r="L113" s="216"/>
      <c r="M113" s="216"/>
      <c r="N113" s="216"/>
      <c r="O113" s="217"/>
      <c r="P113" s="217"/>
      <c r="Q113" s="217"/>
      <c r="R113" s="217"/>
      <c r="S113" s="218" t="s">
        <v>959</v>
      </c>
    </row>
    <row r="114" spans="1:19" ht="15" customHeight="1">
      <c r="A114" s="413">
        <f t="shared" si="1"/>
        <v>114</v>
      </c>
      <c r="B114" s="26">
        <v>102</v>
      </c>
      <c r="C114" s="153" t="s">
        <v>849</v>
      </c>
      <c r="D114" s="211" t="s">
        <v>180</v>
      </c>
      <c r="E114" s="212" t="s">
        <v>327</v>
      </c>
      <c r="F114" s="213" t="s">
        <v>333</v>
      </c>
      <c r="G114" s="214" t="s">
        <v>896</v>
      </c>
      <c r="H114" s="213" t="s">
        <v>44</v>
      </c>
      <c r="I114" s="215">
        <v>45.5</v>
      </c>
      <c r="J114" s="216"/>
      <c r="K114" s="216"/>
      <c r="L114" s="216">
        <v>79</v>
      </c>
      <c r="M114" s="216"/>
      <c r="N114" s="216"/>
      <c r="O114" s="217"/>
      <c r="P114" s="217"/>
      <c r="Q114" s="217">
        <v>35</v>
      </c>
      <c r="R114" s="217"/>
      <c r="S114" s="218" t="s">
        <v>521</v>
      </c>
    </row>
    <row r="115" spans="1:19" ht="15" customHeight="1">
      <c r="A115" s="413">
        <f t="shared" si="1"/>
        <v>115</v>
      </c>
      <c r="B115" s="26">
        <v>102</v>
      </c>
      <c r="C115" s="153" t="s">
        <v>849</v>
      </c>
      <c r="D115" s="211" t="s">
        <v>180</v>
      </c>
      <c r="E115" s="212" t="s">
        <v>327</v>
      </c>
      <c r="F115" s="213" t="s">
        <v>333</v>
      </c>
      <c r="G115" s="214" t="s">
        <v>783</v>
      </c>
      <c r="H115" s="213" t="s">
        <v>44</v>
      </c>
      <c r="I115" s="215">
        <v>53.300000000000004</v>
      </c>
      <c r="J115" s="216"/>
      <c r="K115" s="216"/>
      <c r="L115" s="216">
        <v>120</v>
      </c>
      <c r="M115" s="216"/>
      <c r="N115" s="216"/>
      <c r="O115" s="217"/>
      <c r="P115" s="217"/>
      <c r="Q115" s="217">
        <v>41</v>
      </c>
      <c r="R115" s="217"/>
      <c r="S115" s="218" t="s">
        <v>521</v>
      </c>
    </row>
    <row r="116" spans="1:19" ht="15" customHeight="1">
      <c r="A116" s="413">
        <f t="shared" si="1"/>
        <v>116</v>
      </c>
      <c r="B116" s="26">
        <v>102</v>
      </c>
      <c r="C116" s="153" t="s">
        <v>849</v>
      </c>
      <c r="D116" s="211" t="s">
        <v>180</v>
      </c>
      <c r="E116" s="212" t="s">
        <v>327</v>
      </c>
      <c r="F116" s="213" t="s">
        <v>897</v>
      </c>
      <c r="G116" s="214" t="s">
        <v>784</v>
      </c>
      <c r="H116" s="213" t="s">
        <v>44</v>
      </c>
      <c r="I116" s="215">
        <v>18.2</v>
      </c>
      <c r="J116" s="216"/>
      <c r="K116" s="216"/>
      <c r="L116" s="216">
        <v>60</v>
      </c>
      <c r="M116" s="216"/>
      <c r="N116" s="216"/>
      <c r="O116" s="217"/>
      <c r="P116" s="217"/>
      <c r="Q116" s="217">
        <v>41</v>
      </c>
      <c r="R116" s="217"/>
      <c r="S116" s="218" t="s">
        <v>521</v>
      </c>
    </row>
    <row r="117" spans="1:19" ht="15" customHeight="1">
      <c r="A117" s="413">
        <f t="shared" si="1"/>
        <v>117</v>
      </c>
      <c r="B117" s="26">
        <v>102</v>
      </c>
      <c r="C117" s="153" t="s">
        <v>849</v>
      </c>
      <c r="D117" s="211" t="s">
        <v>180</v>
      </c>
      <c r="E117" s="212" t="s">
        <v>327</v>
      </c>
      <c r="F117" s="213" t="s">
        <v>333</v>
      </c>
      <c r="G117" s="214" t="s">
        <v>785</v>
      </c>
      <c r="H117" s="213" t="s">
        <v>44</v>
      </c>
      <c r="I117" s="215">
        <v>44.2</v>
      </c>
      <c r="J117" s="216"/>
      <c r="K117" s="216"/>
      <c r="L117" s="216">
        <v>72</v>
      </c>
      <c r="M117" s="216"/>
      <c r="N117" s="216"/>
      <c r="O117" s="217"/>
      <c r="P117" s="217"/>
      <c r="Q117" s="217">
        <v>34</v>
      </c>
      <c r="R117" s="217"/>
      <c r="S117" s="218" t="s">
        <v>521</v>
      </c>
    </row>
    <row r="118" spans="1:19" ht="15" customHeight="1">
      <c r="A118" s="413">
        <f t="shared" si="1"/>
        <v>118</v>
      </c>
      <c r="B118" s="26">
        <v>102</v>
      </c>
      <c r="C118" s="153" t="s">
        <v>849</v>
      </c>
      <c r="D118" s="211" t="s">
        <v>180</v>
      </c>
      <c r="E118" s="212" t="s">
        <v>327</v>
      </c>
      <c r="F118" s="213" t="s">
        <v>333</v>
      </c>
      <c r="G118" s="214" t="s">
        <v>898</v>
      </c>
      <c r="H118" s="213" t="s">
        <v>44</v>
      </c>
      <c r="I118" s="215">
        <v>49.4</v>
      </c>
      <c r="J118" s="216"/>
      <c r="K118" s="216"/>
      <c r="L118" s="216">
        <v>68</v>
      </c>
      <c r="M118" s="216"/>
      <c r="N118" s="216"/>
      <c r="O118" s="217"/>
      <c r="P118" s="217"/>
      <c r="Q118" s="217">
        <v>30</v>
      </c>
      <c r="R118" s="217"/>
      <c r="S118" s="218" t="s">
        <v>521</v>
      </c>
    </row>
    <row r="119" spans="1:19" ht="15" customHeight="1">
      <c r="A119" s="413">
        <f t="shared" si="1"/>
        <v>119</v>
      </c>
      <c r="B119" s="26">
        <v>102</v>
      </c>
      <c r="C119" s="153" t="s">
        <v>849</v>
      </c>
      <c r="D119" s="211" t="s">
        <v>180</v>
      </c>
      <c r="E119" s="212" t="s">
        <v>327</v>
      </c>
      <c r="F119" s="213" t="s">
        <v>168</v>
      </c>
      <c r="G119" s="214" t="s">
        <v>787</v>
      </c>
      <c r="H119" s="213"/>
      <c r="I119" s="215">
        <v>0</v>
      </c>
      <c r="J119" s="216"/>
      <c r="K119" s="216"/>
      <c r="L119" s="216"/>
      <c r="M119" s="216"/>
      <c r="N119" s="216"/>
      <c r="O119" s="217"/>
      <c r="P119" s="217"/>
      <c r="Q119" s="217"/>
      <c r="R119" s="217"/>
      <c r="S119" s="218" t="s">
        <v>960</v>
      </c>
    </row>
    <row r="120" spans="1:19" ht="15" customHeight="1">
      <c r="A120" s="413">
        <f t="shared" si="1"/>
        <v>120</v>
      </c>
      <c r="B120" s="26">
        <v>102</v>
      </c>
      <c r="C120" s="153" t="s">
        <v>849</v>
      </c>
      <c r="D120" s="211" t="s">
        <v>180</v>
      </c>
      <c r="E120" s="212" t="s">
        <v>327</v>
      </c>
      <c r="F120" s="213" t="s">
        <v>123</v>
      </c>
      <c r="G120" s="214" t="s">
        <v>899</v>
      </c>
      <c r="H120" s="213" t="s">
        <v>109</v>
      </c>
      <c r="I120" s="215">
        <v>10.4</v>
      </c>
      <c r="J120" s="216"/>
      <c r="K120" s="216"/>
      <c r="L120" s="216"/>
      <c r="M120" s="216"/>
      <c r="N120" s="216">
        <v>42</v>
      </c>
      <c r="O120" s="217"/>
      <c r="P120" s="217"/>
      <c r="Q120" s="217">
        <v>8</v>
      </c>
      <c r="R120" s="217"/>
      <c r="S120" s="218"/>
    </row>
    <row r="121" spans="1:19" ht="15" customHeight="1">
      <c r="A121" s="413">
        <f t="shared" si="1"/>
        <v>121</v>
      </c>
      <c r="B121" s="26">
        <v>102</v>
      </c>
      <c r="C121" s="153" t="s">
        <v>849</v>
      </c>
      <c r="D121" s="211" t="s">
        <v>180</v>
      </c>
      <c r="E121" s="212" t="s">
        <v>327</v>
      </c>
      <c r="F121" s="213" t="s">
        <v>488</v>
      </c>
      <c r="G121" s="214" t="s">
        <v>900</v>
      </c>
      <c r="H121" s="213" t="s">
        <v>19</v>
      </c>
      <c r="I121" s="215">
        <v>161.20000000000002</v>
      </c>
      <c r="J121" s="216"/>
      <c r="K121" s="216"/>
      <c r="L121" s="216">
        <v>460</v>
      </c>
      <c r="M121" s="216"/>
      <c r="N121" s="216"/>
      <c r="O121" s="217"/>
      <c r="P121" s="217">
        <v>124</v>
      </c>
      <c r="Q121" s="217"/>
      <c r="R121" s="217"/>
      <c r="S121" s="218"/>
    </row>
    <row r="122" spans="1:19" ht="15" customHeight="1">
      <c r="A122" s="413">
        <f t="shared" si="1"/>
        <v>122</v>
      </c>
      <c r="B122" s="26">
        <v>102</v>
      </c>
      <c r="C122" s="153" t="s">
        <v>849</v>
      </c>
      <c r="D122" s="211" t="s">
        <v>180</v>
      </c>
      <c r="E122" s="212" t="s">
        <v>327</v>
      </c>
      <c r="F122" s="213" t="s">
        <v>488</v>
      </c>
      <c r="G122" s="214" t="s">
        <v>901</v>
      </c>
      <c r="H122" s="213" t="s">
        <v>44</v>
      </c>
      <c r="I122" s="215">
        <v>27.3</v>
      </c>
      <c r="J122" s="216"/>
      <c r="K122" s="216"/>
      <c r="L122" s="216">
        <v>62</v>
      </c>
      <c r="M122" s="216"/>
      <c r="N122" s="216"/>
      <c r="O122" s="217"/>
      <c r="P122" s="217"/>
      <c r="Q122" s="217">
        <v>21</v>
      </c>
      <c r="R122" s="217"/>
      <c r="S122" s="218" t="s">
        <v>521</v>
      </c>
    </row>
    <row r="123" spans="1:19" ht="15" customHeight="1">
      <c r="A123" s="413">
        <f t="shared" si="1"/>
        <v>123</v>
      </c>
      <c r="B123" s="26">
        <v>102</v>
      </c>
      <c r="C123" s="153" t="s">
        <v>849</v>
      </c>
      <c r="D123" s="211" t="s">
        <v>180</v>
      </c>
      <c r="E123" s="212" t="s">
        <v>327</v>
      </c>
      <c r="F123" s="213" t="s">
        <v>488</v>
      </c>
      <c r="G123" s="214" t="s">
        <v>902</v>
      </c>
      <c r="H123" s="213" t="s">
        <v>19</v>
      </c>
      <c r="I123" s="215">
        <v>20.8</v>
      </c>
      <c r="J123" s="216"/>
      <c r="K123" s="216"/>
      <c r="L123" s="216">
        <v>48</v>
      </c>
      <c r="M123" s="216"/>
      <c r="N123" s="216"/>
      <c r="O123" s="217"/>
      <c r="P123" s="217">
        <v>16</v>
      </c>
      <c r="Q123" s="217"/>
      <c r="R123" s="217"/>
      <c r="S123" s="218"/>
    </row>
    <row r="124" spans="1:19" ht="15" customHeight="1">
      <c r="A124" s="413">
        <f t="shared" si="1"/>
        <v>124</v>
      </c>
      <c r="B124" s="26">
        <v>102</v>
      </c>
      <c r="C124" s="153" t="s">
        <v>849</v>
      </c>
      <c r="D124" s="211" t="s">
        <v>180</v>
      </c>
      <c r="E124" s="212" t="s">
        <v>327</v>
      </c>
      <c r="F124" s="213" t="s">
        <v>488</v>
      </c>
      <c r="G124" s="214" t="s">
        <v>605</v>
      </c>
      <c r="H124" s="213" t="s">
        <v>19</v>
      </c>
      <c r="I124" s="215">
        <v>20.8</v>
      </c>
      <c r="J124" s="216"/>
      <c r="K124" s="216"/>
      <c r="L124" s="216">
        <v>48</v>
      </c>
      <c r="M124" s="216"/>
      <c r="N124" s="216"/>
      <c r="O124" s="217"/>
      <c r="P124" s="217">
        <v>16</v>
      </c>
      <c r="Q124" s="217"/>
      <c r="R124" s="217"/>
      <c r="S124" s="218"/>
    </row>
    <row r="125" spans="1:19" ht="15" customHeight="1">
      <c r="A125" s="413">
        <f t="shared" si="1"/>
        <v>125</v>
      </c>
      <c r="B125" s="26">
        <v>102</v>
      </c>
      <c r="C125" s="153" t="s">
        <v>849</v>
      </c>
      <c r="D125" s="211" t="s">
        <v>180</v>
      </c>
      <c r="E125" s="212" t="s">
        <v>327</v>
      </c>
      <c r="F125" s="213" t="s">
        <v>488</v>
      </c>
      <c r="G125" s="214" t="s">
        <v>603</v>
      </c>
      <c r="H125" s="213" t="s">
        <v>109</v>
      </c>
      <c r="I125" s="215">
        <v>75.400000000000006</v>
      </c>
      <c r="J125" s="216"/>
      <c r="K125" s="216"/>
      <c r="L125" s="216">
        <v>91</v>
      </c>
      <c r="M125" s="216"/>
      <c r="N125" s="216"/>
      <c r="O125" s="217"/>
      <c r="P125" s="217"/>
      <c r="Q125" s="217">
        <v>58</v>
      </c>
      <c r="R125" s="217"/>
      <c r="S125" s="218" t="s">
        <v>521</v>
      </c>
    </row>
    <row r="126" spans="1:19" ht="15" customHeight="1">
      <c r="A126" s="413">
        <f t="shared" si="1"/>
        <v>126</v>
      </c>
      <c r="B126" s="26">
        <v>102</v>
      </c>
      <c r="C126" s="153" t="s">
        <v>849</v>
      </c>
      <c r="D126" s="211" t="s">
        <v>180</v>
      </c>
      <c r="E126" s="212" t="s">
        <v>327</v>
      </c>
      <c r="F126" s="213" t="s">
        <v>488</v>
      </c>
      <c r="G126" s="214" t="s">
        <v>903</v>
      </c>
      <c r="H126" s="213" t="s">
        <v>19</v>
      </c>
      <c r="I126" s="215">
        <v>16.900000000000002</v>
      </c>
      <c r="J126" s="216"/>
      <c r="K126" s="216"/>
      <c r="L126" s="216">
        <v>52</v>
      </c>
      <c r="M126" s="216"/>
      <c r="N126" s="216"/>
      <c r="O126" s="217"/>
      <c r="P126" s="217"/>
      <c r="Q126" s="217"/>
      <c r="R126" s="217">
        <v>13</v>
      </c>
      <c r="S126" s="218" t="s">
        <v>521</v>
      </c>
    </row>
    <row r="127" spans="1:19" ht="15" customHeight="1">
      <c r="A127" s="413">
        <f t="shared" si="1"/>
        <v>127</v>
      </c>
      <c r="B127" s="26">
        <v>102</v>
      </c>
      <c r="C127" s="153" t="s">
        <v>849</v>
      </c>
      <c r="D127" s="211" t="s">
        <v>180</v>
      </c>
      <c r="E127" s="212" t="s">
        <v>54</v>
      </c>
      <c r="F127" s="213" t="s">
        <v>373</v>
      </c>
      <c r="G127" s="214" t="s">
        <v>789</v>
      </c>
      <c r="H127" s="213" t="s">
        <v>169</v>
      </c>
      <c r="I127" s="215"/>
      <c r="J127" s="216"/>
      <c r="K127" s="216"/>
      <c r="L127" s="216"/>
      <c r="M127" s="216"/>
      <c r="N127" s="216"/>
      <c r="O127" s="217"/>
      <c r="P127" s="217"/>
      <c r="Q127" s="217"/>
      <c r="R127" s="217"/>
      <c r="S127" s="218"/>
    </row>
    <row r="128" spans="1:19" ht="15" customHeight="1">
      <c r="A128" s="413">
        <f t="shared" si="1"/>
        <v>128</v>
      </c>
      <c r="B128" s="26">
        <v>102</v>
      </c>
      <c r="C128" s="153" t="s">
        <v>849</v>
      </c>
      <c r="D128" s="211" t="s">
        <v>180</v>
      </c>
      <c r="E128" s="212" t="s">
        <v>54</v>
      </c>
      <c r="F128" s="213" t="s">
        <v>375</v>
      </c>
      <c r="G128" s="214" t="s">
        <v>790</v>
      </c>
      <c r="H128" s="213" t="s">
        <v>1311</v>
      </c>
      <c r="I128" s="215">
        <v>32.5</v>
      </c>
      <c r="J128" s="216"/>
      <c r="K128" s="216"/>
      <c r="L128" s="216"/>
      <c r="M128" s="216"/>
      <c r="N128" s="216"/>
      <c r="O128" s="217"/>
      <c r="P128" s="217"/>
      <c r="Q128" s="217"/>
      <c r="R128" s="217"/>
      <c r="S128" s="218" t="s">
        <v>961</v>
      </c>
    </row>
    <row r="129" spans="1:19" ht="15" customHeight="1">
      <c r="A129" s="413">
        <f t="shared" si="1"/>
        <v>129</v>
      </c>
      <c r="B129" s="26">
        <v>102</v>
      </c>
      <c r="C129" s="153" t="s">
        <v>849</v>
      </c>
      <c r="D129" s="211" t="s">
        <v>180</v>
      </c>
      <c r="E129" s="212" t="s">
        <v>54</v>
      </c>
      <c r="F129" s="213" t="s">
        <v>54</v>
      </c>
      <c r="G129" s="214" t="s">
        <v>791</v>
      </c>
      <c r="H129" s="213" t="s">
        <v>109</v>
      </c>
      <c r="I129" s="215">
        <v>1782.3</v>
      </c>
      <c r="J129" s="216"/>
      <c r="K129" s="216">
        <v>313</v>
      </c>
      <c r="L129" s="216"/>
      <c r="M129" s="216"/>
      <c r="N129" s="216"/>
      <c r="O129" s="217"/>
      <c r="P129" s="217"/>
      <c r="Q129" s="217"/>
      <c r="R129" s="217">
        <v>1935</v>
      </c>
      <c r="S129" s="218" t="s">
        <v>521</v>
      </c>
    </row>
    <row r="130" spans="1:19" ht="15" customHeight="1">
      <c r="A130" s="413">
        <f t="shared" si="1"/>
        <v>130</v>
      </c>
      <c r="B130" s="26">
        <v>102</v>
      </c>
      <c r="C130" s="153" t="s">
        <v>849</v>
      </c>
      <c r="D130" s="211" t="s">
        <v>180</v>
      </c>
      <c r="E130" s="212" t="s">
        <v>54</v>
      </c>
      <c r="F130" s="213" t="s">
        <v>375</v>
      </c>
      <c r="G130" s="214" t="s">
        <v>792</v>
      </c>
      <c r="H130" s="213" t="s">
        <v>1311</v>
      </c>
      <c r="I130" s="215">
        <v>33</v>
      </c>
      <c r="J130" s="216"/>
      <c r="K130" s="216"/>
      <c r="L130" s="216"/>
      <c r="M130" s="216"/>
      <c r="N130" s="216"/>
      <c r="O130" s="217"/>
      <c r="P130" s="217"/>
      <c r="Q130" s="217"/>
      <c r="R130" s="217"/>
      <c r="S130" s="218" t="s">
        <v>962</v>
      </c>
    </row>
    <row r="131" spans="1:19" ht="15" customHeight="1">
      <c r="A131" s="413">
        <f t="shared" ref="A131:A194" si="2">1+A130</f>
        <v>131</v>
      </c>
      <c r="B131" s="26">
        <v>102</v>
      </c>
      <c r="C131" s="153" t="s">
        <v>849</v>
      </c>
      <c r="D131" s="211" t="s">
        <v>180</v>
      </c>
      <c r="E131" s="212" t="s">
        <v>54</v>
      </c>
      <c r="F131" s="213" t="s">
        <v>373</v>
      </c>
      <c r="G131" s="214" t="s">
        <v>793</v>
      </c>
      <c r="H131" s="213" t="s">
        <v>169</v>
      </c>
      <c r="I131" s="215"/>
      <c r="J131" s="216"/>
      <c r="K131" s="216"/>
      <c r="L131" s="216"/>
      <c r="M131" s="216"/>
      <c r="N131" s="216"/>
      <c r="O131" s="217"/>
      <c r="P131" s="217"/>
      <c r="Q131" s="217"/>
      <c r="R131" s="217"/>
      <c r="S131" s="218"/>
    </row>
    <row r="132" spans="1:19" ht="15" customHeight="1">
      <c r="A132" s="413">
        <f t="shared" si="2"/>
        <v>132</v>
      </c>
      <c r="B132" s="26">
        <v>102</v>
      </c>
      <c r="C132" s="153" t="s">
        <v>849</v>
      </c>
      <c r="D132" s="211" t="s">
        <v>180</v>
      </c>
      <c r="E132" s="212" t="s">
        <v>54</v>
      </c>
      <c r="F132" s="213" t="s">
        <v>733</v>
      </c>
      <c r="G132" s="214" t="s">
        <v>297</v>
      </c>
      <c r="H132" s="213"/>
      <c r="I132" s="215">
        <v>0</v>
      </c>
      <c r="J132" s="216"/>
      <c r="K132" s="216"/>
      <c r="L132" s="216"/>
      <c r="M132" s="216"/>
      <c r="N132" s="216"/>
      <c r="O132" s="217"/>
      <c r="P132" s="217"/>
      <c r="Q132" s="217"/>
      <c r="R132" s="217"/>
      <c r="S132" s="218" t="s">
        <v>613</v>
      </c>
    </row>
    <row r="133" spans="1:19" ht="15" customHeight="1">
      <c r="A133" s="413">
        <f t="shared" si="2"/>
        <v>133</v>
      </c>
      <c r="B133" s="26">
        <v>102</v>
      </c>
      <c r="C133" s="153" t="s">
        <v>849</v>
      </c>
      <c r="D133" s="211" t="s">
        <v>180</v>
      </c>
      <c r="E133" s="212" t="s">
        <v>54</v>
      </c>
      <c r="F133" s="213" t="s">
        <v>873</v>
      </c>
      <c r="G133" s="214" t="s">
        <v>101</v>
      </c>
      <c r="H133" s="213"/>
      <c r="I133" s="215">
        <v>0</v>
      </c>
      <c r="J133" s="216"/>
      <c r="K133" s="216"/>
      <c r="L133" s="216"/>
      <c r="M133" s="216"/>
      <c r="N133" s="216"/>
      <c r="O133" s="217"/>
      <c r="P133" s="217"/>
      <c r="Q133" s="217"/>
      <c r="R133" s="217"/>
      <c r="S133" s="218" t="s">
        <v>613</v>
      </c>
    </row>
    <row r="134" spans="1:19" ht="15" customHeight="1">
      <c r="A134" s="413">
        <f t="shared" si="2"/>
        <v>134</v>
      </c>
      <c r="B134" s="26">
        <v>102</v>
      </c>
      <c r="C134" s="153" t="s">
        <v>849</v>
      </c>
      <c r="D134" s="211" t="s">
        <v>180</v>
      </c>
      <c r="E134" s="212" t="s">
        <v>54</v>
      </c>
      <c r="F134" s="213" t="s">
        <v>874</v>
      </c>
      <c r="G134" s="214" t="s">
        <v>624</v>
      </c>
      <c r="H134" s="213"/>
      <c r="I134" s="215">
        <v>0</v>
      </c>
      <c r="J134" s="216"/>
      <c r="K134" s="216"/>
      <c r="L134" s="216"/>
      <c r="M134" s="216"/>
      <c r="N134" s="216"/>
      <c r="O134" s="217"/>
      <c r="P134" s="217"/>
      <c r="Q134" s="217"/>
      <c r="R134" s="217"/>
      <c r="S134" s="218" t="s">
        <v>1138</v>
      </c>
    </row>
    <row r="135" spans="1:19" ht="15" customHeight="1">
      <c r="A135" s="413">
        <f t="shared" si="2"/>
        <v>135</v>
      </c>
      <c r="B135" s="26">
        <v>102</v>
      </c>
      <c r="C135" s="153" t="s">
        <v>849</v>
      </c>
      <c r="D135" s="211" t="s">
        <v>180</v>
      </c>
      <c r="E135" s="212" t="s">
        <v>54</v>
      </c>
      <c r="F135" s="213" t="s">
        <v>175</v>
      </c>
      <c r="G135" s="214" t="s">
        <v>628</v>
      </c>
      <c r="H135" s="213" t="s">
        <v>44</v>
      </c>
      <c r="I135" s="215">
        <v>93.600000000000009</v>
      </c>
      <c r="J135" s="216"/>
      <c r="K135" s="216"/>
      <c r="L135" s="216">
        <v>244</v>
      </c>
      <c r="M135" s="216"/>
      <c r="N135" s="216"/>
      <c r="O135" s="217"/>
      <c r="P135" s="217">
        <v>72</v>
      </c>
      <c r="Q135" s="217"/>
      <c r="R135" s="217"/>
      <c r="S135" s="218"/>
    </row>
    <row r="136" spans="1:19" ht="15" customHeight="1">
      <c r="A136" s="413">
        <f t="shared" si="2"/>
        <v>136</v>
      </c>
      <c r="B136" s="26">
        <v>102</v>
      </c>
      <c r="C136" s="153" t="s">
        <v>849</v>
      </c>
      <c r="D136" s="211" t="s">
        <v>180</v>
      </c>
      <c r="E136" s="212" t="s">
        <v>54</v>
      </c>
      <c r="F136" s="213" t="s">
        <v>175</v>
      </c>
      <c r="G136" s="214" t="s">
        <v>629</v>
      </c>
      <c r="H136" s="213"/>
      <c r="I136" s="215">
        <v>0</v>
      </c>
      <c r="J136" s="216"/>
      <c r="K136" s="216"/>
      <c r="L136" s="216"/>
      <c r="M136" s="216"/>
      <c r="N136" s="216"/>
      <c r="O136" s="217"/>
      <c r="P136" s="217"/>
      <c r="Q136" s="217"/>
      <c r="R136" s="217"/>
      <c r="S136" s="218" t="s">
        <v>963</v>
      </c>
    </row>
    <row r="137" spans="1:19" ht="15" customHeight="1">
      <c r="A137" s="413">
        <f t="shared" si="2"/>
        <v>137</v>
      </c>
      <c r="B137" s="26">
        <v>102</v>
      </c>
      <c r="C137" s="153" t="s">
        <v>849</v>
      </c>
      <c r="D137" s="211" t="s">
        <v>180</v>
      </c>
      <c r="E137" s="212" t="s">
        <v>54</v>
      </c>
      <c r="F137" s="213" t="s">
        <v>175</v>
      </c>
      <c r="G137" s="214" t="s">
        <v>904</v>
      </c>
      <c r="H137" s="213" t="s">
        <v>19</v>
      </c>
      <c r="I137" s="215">
        <v>1.3</v>
      </c>
      <c r="J137" s="216"/>
      <c r="K137" s="216"/>
      <c r="L137" s="216">
        <v>32</v>
      </c>
      <c r="M137" s="216"/>
      <c r="N137" s="216"/>
      <c r="O137" s="217"/>
      <c r="P137" s="217">
        <v>6</v>
      </c>
      <c r="Q137" s="217"/>
      <c r="R137" s="217"/>
      <c r="S137" s="218"/>
    </row>
    <row r="138" spans="1:19" ht="15" customHeight="1">
      <c r="A138" s="413">
        <f t="shared" si="2"/>
        <v>138</v>
      </c>
      <c r="B138" s="26">
        <v>102</v>
      </c>
      <c r="C138" s="153" t="s">
        <v>849</v>
      </c>
      <c r="D138" s="211" t="s">
        <v>180</v>
      </c>
      <c r="E138" s="212" t="s">
        <v>54</v>
      </c>
      <c r="F138" s="213" t="s">
        <v>546</v>
      </c>
      <c r="G138" s="214" t="s">
        <v>631</v>
      </c>
      <c r="H138" s="213" t="s">
        <v>19</v>
      </c>
      <c r="I138" s="215">
        <v>6.5</v>
      </c>
      <c r="J138" s="216"/>
      <c r="K138" s="216"/>
      <c r="L138" s="216"/>
      <c r="M138" s="216"/>
      <c r="N138" s="216"/>
      <c r="O138" s="217"/>
      <c r="P138" s="217"/>
      <c r="Q138" s="217"/>
      <c r="R138" s="217"/>
      <c r="S138" s="218"/>
    </row>
    <row r="139" spans="1:19" ht="15" customHeight="1">
      <c r="A139" s="413">
        <f t="shared" si="2"/>
        <v>139</v>
      </c>
      <c r="B139" s="26">
        <v>102</v>
      </c>
      <c r="C139" s="153" t="s">
        <v>849</v>
      </c>
      <c r="D139" s="211" t="s">
        <v>180</v>
      </c>
      <c r="E139" s="212" t="s">
        <v>54</v>
      </c>
      <c r="F139" s="213" t="s">
        <v>175</v>
      </c>
      <c r="G139" s="214" t="s">
        <v>801</v>
      </c>
      <c r="H139" s="213" t="s">
        <v>19</v>
      </c>
      <c r="I139" s="215">
        <v>9.1</v>
      </c>
      <c r="J139" s="216"/>
      <c r="K139" s="216"/>
      <c r="L139" s="216">
        <v>43</v>
      </c>
      <c r="M139" s="216"/>
      <c r="N139" s="216"/>
      <c r="O139" s="217"/>
      <c r="P139" s="217">
        <v>3</v>
      </c>
      <c r="Q139" s="217"/>
      <c r="R139" s="217"/>
      <c r="S139" s="218"/>
    </row>
    <row r="140" spans="1:19" ht="15" customHeight="1">
      <c r="A140" s="413">
        <f t="shared" si="2"/>
        <v>140</v>
      </c>
      <c r="B140" s="26">
        <v>102</v>
      </c>
      <c r="C140" s="153" t="s">
        <v>849</v>
      </c>
      <c r="D140" s="211" t="s">
        <v>180</v>
      </c>
      <c r="E140" s="212" t="s">
        <v>54</v>
      </c>
      <c r="F140" s="213" t="s">
        <v>892</v>
      </c>
      <c r="G140" s="214" t="s">
        <v>802</v>
      </c>
      <c r="H140" s="213" t="s">
        <v>166</v>
      </c>
      <c r="I140" s="215">
        <v>7.8000000000000007</v>
      </c>
      <c r="J140" s="216"/>
      <c r="K140" s="216"/>
      <c r="L140" s="216"/>
      <c r="M140" s="216"/>
      <c r="N140" s="216"/>
      <c r="O140" s="217"/>
      <c r="P140" s="217"/>
      <c r="Q140" s="217"/>
      <c r="R140" s="217"/>
      <c r="S140" s="218"/>
    </row>
    <row r="141" spans="1:19" ht="15" customHeight="1">
      <c r="A141" s="413">
        <f t="shared" si="2"/>
        <v>141</v>
      </c>
      <c r="B141" s="26">
        <v>102</v>
      </c>
      <c r="C141" s="153" t="s">
        <v>849</v>
      </c>
      <c r="D141" s="211" t="s">
        <v>180</v>
      </c>
      <c r="E141" s="212" t="s">
        <v>54</v>
      </c>
      <c r="F141" s="213" t="s">
        <v>175</v>
      </c>
      <c r="G141" s="214" t="s">
        <v>635</v>
      </c>
      <c r="H141" s="213" t="s">
        <v>19</v>
      </c>
      <c r="I141" s="215">
        <v>76.7</v>
      </c>
      <c r="J141" s="216"/>
      <c r="K141" s="216"/>
      <c r="L141" s="216">
        <v>163</v>
      </c>
      <c r="M141" s="216"/>
      <c r="N141" s="216"/>
      <c r="O141" s="217"/>
      <c r="P141" s="217">
        <v>59</v>
      </c>
      <c r="Q141" s="217"/>
      <c r="R141" s="217"/>
      <c r="S141" s="218"/>
    </row>
    <row r="142" spans="1:19" ht="15" customHeight="1">
      <c r="A142" s="413">
        <f t="shared" si="2"/>
        <v>142</v>
      </c>
      <c r="B142" s="26">
        <v>102</v>
      </c>
      <c r="C142" s="153" t="s">
        <v>849</v>
      </c>
      <c r="D142" s="211" t="s">
        <v>180</v>
      </c>
      <c r="E142" s="212" t="s">
        <v>54</v>
      </c>
      <c r="F142" s="213" t="s">
        <v>175</v>
      </c>
      <c r="G142" s="214" t="s">
        <v>905</v>
      </c>
      <c r="H142" s="213" t="s">
        <v>19</v>
      </c>
      <c r="I142" s="215">
        <v>11.700000000000001</v>
      </c>
      <c r="J142" s="216"/>
      <c r="K142" s="216"/>
      <c r="L142" s="216">
        <v>52</v>
      </c>
      <c r="M142" s="216"/>
      <c r="N142" s="216"/>
      <c r="O142" s="217"/>
      <c r="P142" s="217">
        <v>9</v>
      </c>
      <c r="Q142" s="217"/>
      <c r="R142" s="217"/>
      <c r="S142" s="218"/>
    </row>
    <row r="143" spans="1:19" ht="15" customHeight="1">
      <c r="A143" s="413">
        <f t="shared" si="2"/>
        <v>143</v>
      </c>
      <c r="B143" s="26">
        <v>102</v>
      </c>
      <c r="C143" s="153" t="s">
        <v>849</v>
      </c>
      <c r="D143" s="211" t="s">
        <v>180</v>
      </c>
      <c r="E143" s="212" t="s">
        <v>54</v>
      </c>
      <c r="F143" s="213" t="s">
        <v>175</v>
      </c>
      <c r="G143" s="214" t="s">
        <v>906</v>
      </c>
      <c r="H143" s="213" t="s">
        <v>19</v>
      </c>
      <c r="I143" s="215">
        <v>1.3</v>
      </c>
      <c r="J143" s="216"/>
      <c r="K143" s="216"/>
      <c r="L143" s="216">
        <v>24</v>
      </c>
      <c r="M143" s="216"/>
      <c r="N143" s="216"/>
      <c r="O143" s="217"/>
      <c r="P143" s="217">
        <v>2</v>
      </c>
      <c r="Q143" s="217"/>
      <c r="R143" s="217"/>
      <c r="S143" s="218"/>
    </row>
    <row r="144" spans="1:19" ht="15" customHeight="1">
      <c r="A144" s="413">
        <f t="shared" si="2"/>
        <v>144</v>
      </c>
      <c r="B144" s="26">
        <v>102</v>
      </c>
      <c r="C144" s="153" t="s">
        <v>849</v>
      </c>
      <c r="D144" s="211" t="s">
        <v>180</v>
      </c>
      <c r="E144" s="212" t="s">
        <v>54</v>
      </c>
      <c r="F144" s="213" t="s">
        <v>546</v>
      </c>
      <c r="G144" s="214" t="s">
        <v>907</v>
      </c>
      <c r="H144" s="213" t="s">
        <v>19</v>
      </c>
      <c r="I144" s="215">
        <v>3.9000000000000004</v>
      </c>
      <c r="J144" s="216"/>
      <c r="K144" s="216"/>
      <c r="L144" s="216"/>
      <c r="M144" s="216"/>
      <c r="N144" s="216"/>
      <c r="O144" s="217"/>
      <c r="P144" s="217"/>
      <c r="Q144" s="217"/>
      <c r="R144" s="217"/>
      <c r="S144" s="218"/>
    </row>
    <row r="145" spans="1:19" ht="15" customHeight="1">
      <c r="A145" s="413">
        <f t="shared" si="2"/>
        <v>145</v>
      </c>
      <c r="B145" s="26">
        <v>102</v>
      </c>
      <c r="C145" s="153" t="s">
        <v>849</v>
      </c>
      <c r="D145" s="211" t="s">
        <v>180</v>
      </c>
      <c r="E145" s="212" t="s">
        <v>54</v>
      </c>
      <c r="F145" s="213" t="s">
        <v>422</v>
      </c>
      <c r="G145" s="214" t="s">
        <v>804</v>
      </c>
      <c r="H145" s="213" t="s">
        <v>176</v>
      </c>
      <c r="I145" s="215">
        <v>19.5</v>
      </c>
      <c r="J145" s="216"/>
      <c r="K145" s="216"/>
      <c r="L145" s="216"/>
      <c r="M145" s="216"/>
      <c r="N145" s="216">
        <v>56</v>
      </c>
      <c r="O145" s="217"/>
      <c r="P145" s="217"/>
      <c r="Q145" s="217">
        <v>15</v>
      </c>
      <c r="R145" s="217"/>
      <c r="S145" s="218"/>
    </row>
    <row r="146" spans="1:19" ht="15" customHeight="1">
      <c r="A146" s="413">
        <f t="shared" si="2"/>
        <v>146</v>
      </c>
      <c r="B146" s="26">
        <v>102</v>
      </c>
      <c r="C146" s="153" t="s">
        <v>849</v>
      </c>
      <c r="D146" s="211" t="s">
        <v>180</v>
      </c>
      <c r="E146" s="212" t="s">
        <v>54</v>
      </c>
      <c r="F146" s="213" t="s">
        <v>36</v>
      </c>
      <c r="G146" s="214" t="s">
        <v>908</v>
      </c>
      <c r="H146" s="213" t="s">
        <v>176</v>
      </c>
      <c r="I146" s="215">
        <v>52</v>
      </c>
      <c r="J146" s="216"/>
      <c r="K146" s="216"/>
      <c r="L146" s="216"/>
      <c r="M146" s="216"/>
      <c r="N146" s="216">
        <v>136</v>
      </c>
      <c r="O146" s="217"/>
      <c r="P146" s="217"/>
      <c r="Q146" s="217">
        <v>15</v>
      </c>
      <c r="R146" s="217"/>
      <c r="S146" s="218"/>
    </row>
    <row r="147" spans="1:19" ht="15" customHeight="1">
      <c r="A147" s="413">
        <f t="shared" si="2"/>
        <v>147</v>
      </c>
      <c r="B147" s="26">
        <v>102</v>
      </c>
      <c r="C147" s="153" t="s">
        <v>849</v>
      </c>
      <c r="D147" s="211" t="s">
        <v>180</v>
      </c>
      <c r="E147" s="212" t="s">
        <v>54</v>
      </c>
      <c r="F147" s="213" t="s">
        <v>36</v>
      </c>
      <c r="G147" s="214" t="s">
        <v>805</v>
      </c>
      <c r="H147" s="213" t="s">
        <v>176</v>
      </c>
      <c r="I147" s="215">
        <v>27.3</v>
      </c>
      <c r="J147" s="216"/>
      <c r="K147" s="216"/>
      <c r="L147" s="216">
        <v>80</v>
      </c>
      <c r="M147" s="216"/>
      <c r="N147" s="216"/>
      <c r="O147" s="217"/>
      <c r="P147" s="217">
        <v>21</v>
      </c>
      <c r="Q147" s="217"/>
      <c r="R147" s="217"/>
      <c r="S147" s="218"/>
    </row>
    <row r="148" spans="1:19" ht="15" customHeight="1">
      <c r="A148" s="413">
        <f t="shared" si="2"/>
        <v>148</v>
      </c>
      <c r="B148" s="26">
        <v>102</v>
      </c>
      <c r="C148" s="153" t="s">
        <v>849</v>
      </c>
      <c r="D148" s="211" t="s">
        <v>180</v>
      </c>
      <c r="E148" s="212" t="s">
        <v>54</v>
      </c>
      <c r="F148" s="213" t="s">
        <v>437</v>
      </c>
      <c r="G148" s="214" t="s">
        <v>909</v>
      </c>
      <c r="H148" s="213" t="s">
        <v>19</v>
      </c>
      <c r="I148" s="215">
        <v>9.1</v>
      </c>
      <c r="J148" s="216"/>
      <c r="K148" s="216"/>
      <c r="L148" s="216"/>
      <c r="M148" s="216"/>
      <c r="N148" s="216">
        <v>24</v>
      </c>
      <c r="O148" s="217"/>
      <c r="P148" s="217"/>
      <c r="Q148" s="217"/>
      <c r="R148" s="217"/>
      <c r="S148" s="218"/>
    </row>
    <row r="149" spans="1:19" ht="15" customHeight="1">
      <c r="A149" s="413">
        <f t="shared" si="2"/>
        <v>149</v>
      </c>
      <c r="B149" s="26">
        <v>102</v>
      </c>
      <c r="C149" s="153" t="s">
        <v>849</v>
      </c>
      <c r="D149" s="211" t="s">
        <v>180</v>
      </c>
      <c r="E149" s="212" t="s">
        <v>54</v>
      </c>
      <c r="F149" s="213" t="s">
        <v>435</v>
      </c>
      <c r="G149" s="214" t="s">
        <v>910</v>
      </c>
      <c r="H149" s="213" t="s">
        <v>19</v>
      </c>
      <c r="I149" s="215">
        <v>10.4</v>
      </c>
      <c r="J149" s="216"/>
      <c r="K149" s="216"/>
      <c r="L149" s="216"/>
      <c r="M149" s="216"/>
      <c r="N149" s="216">
        <v>43</v>
      </c>
      <c r="O149" s="217"/>
      <c r="P149" s="217"/>
      <c r="Q149" s="217">
        <v>8</v>
      </c>
      <c r="R149" s="217"/>
      <c r="S149" s="218"/>
    </row>
    <row r="150" spans="1:19" ht="15" customHeight="1">
      <c r="A150" s="413">
        <f t="shared" si="2"/>
        <v>150</v>
      </c>
      <c r="B150" s="26">
        <v>102</v>
      </c>
      <c r="C150" s="153" t="s">
        <v>849</v>
      </c>
      <c r="D150" s="211" t="s">
        <v>180</v>
      </c>
      <c r="E150" s="212" t="s">
        <v>54</v>
      </c>
      <c r="F150" s="213" t="s">
        <v>911</v>
      </c>
      <c r="G150" s="214" t="s">
        <v>912</v>
      </c>
      <c r="H150" s="213"/>
      <c r="I150" s="215">
        <v>11</v>
      </c>
      <c r="J150" s="216"/>
      <c r="K150" s="216"/>
      <c r="L150" s="216">
        <v>28</v>
      </c>
      <c r="M150" s="216"/>
      <c r="N150" s="216"/>
      <c r="O150" s="217"/>
      <c r="P150" s="217">
        <v>11</v>
      </c>
      <c r="Q150" s="217"/>
      <c r="R150" s="217"/>
      <c r="S150" s="218"/>
    </row>
    <row r="151" spans="1:19" ht="15" customHeight="1">
      <c r="A151" s="413">
        <f t="shared" si="2"/>
        <v>151</v>
      </c>
      <c r="B151" s="26">
        <v>102</v>
      </c>
      <c r="C151" s="153" t="s">
        <v>849</v>
      </c>
      <c r="D151" s="211" t="s">
        <v>180</v>
      </c>
      <c r="E151" s="212" t="s">
        <v>54</v>
      </c>
      <c r="F151" s="213" t="s">
        <v>913</v>
      </c>
      <c r="G151" s="214" t="s">
        <v>914</v>
      </c>
      <c r="H151" s="213"/>
      <c r="I151" s="215">
        <v>11</v>
      </c>
      <c r="J151" s="216"/>
      <c r="K151" s="216"/>
      <c r="L151" s="216">
        <v>14</v>
      </c>
      <c r="M151" s="216"/>
      <c r="N151" s="216"/>
      <c r="O151" s="217"/>
      <c r="P151" s="217">
        <v>11</v>
      </c>
      <c r="Q151" s="217"/>
      <c r="R151" s="217"/>
      <c r="S151" s="218"/>
    </row>
    <row r="152" spans="1:19" ht="15" customHeight="1">
      <c r="A152" s="413">
        <f t="shared" si="2"/>
        <v>152</v>
      </c>
      <c r="B152" s="26">
        <v>102</v>
      </c>
      <c r="C152" s="153" t="s">
        <v>849</v>
      </c>
      <c r="D152" s="211" t="s">
        <v>180</v>
      </c>
      <c r="E152" s="212" t="s">
        <v>54</v>
      </c>
      <c r="F152" s="213" t="s">
        <v>915</v>
      </c>
      <c r="G152" s="214" t="s">
        <v>916</v>
      </c>
      <c r="H152" s="213"/>
      <c r="I152" s="215">
        <v>11</v>
      </c>
      <c r="J152" s="216"/>
      <c r="K152" s="216"/>
      <c r="L152" s="216">
        <v>29</v>
      </c>
      <c r="M152" s="216"/>
      <c r="N152" s="216"/>
      <c r="O152" s="217"/>
      <c r="P152" s="217">
        <v>11</v>
      </c>
      <c r="Q152" s="217"/>
      <c r="R152" s="217"/>
      <c r="S152" s="218"/>
    </row>
    <row r="153" spans="1:19" ht="15" customHeight="1">
      <c r="A153" s="413">
        <f t="shared" si="2"/>
        <v>153</v>
      </c>
      <c r="B153" s="26">
        <v>102</v>
      </c>
      <c r="C153" s="153" t="s">
        <v>849</v>
      </c>
      <c r="D153" s="211" t="s">
        <v>180</v>
      </c>
      <c r="E153" s="212" t="s">
        <v>54</v>
      </c>
      <c r="F153" s="213" t="s">
        <v>264</v>
      </c>
      <c r="G153" s="214" t="s">
        <v>917</v>
      </c>
      <c r="H153" s="213" t="s">
        <v>176</v>
      </c>
      <c r="I153" s="215">
        <v>19.5</v>
      </c>
      <c r="J153" s="216"/>
      <c r="K153" s="216"/>
      <c r="L153" s="216"/>
      <c r="M153" s="216"/>
      <c r="N153" s="216">
        <v>66</v>
      </c>
      <c r="O153" s="217"/>
      <c r="P153" s="217">
        <v>15</v>
      </c>
      <c r="Q153" s="217"/>
      <c r="R153" s="217"/>
      <c r="S153" s="218"/>
    </row>
    <row r="154" spans="1:19" ht="15" customHeight="1">
      <c r="A154" s="413">
        <f t="shared" si="2"/>
        <v>154</v>
      </c>
      <c r="B154" s="26">
        <v>102</v>
      </c>
      <c r="C154" s="153" t="s">
        <v>849</v>
      </c>
      <c r="D154" s="211" t="s">
        <v>180</v>
      </c>
      <c r="E154" s="212" t="s">
        <v>54</v>
      </c>
      <c r="F154" s="213" t="s">
        <v>592</v>
      </c>
      <c r="G154" s="214" t="s">
        <v>918</v>
      </c>
      <c r="H154" s="213" t="s">
        <v>176</v>
      </c>
      <c r="I154" s="215">
        <v>26</v>
      </c>
      <c r="J154" s="216"/>
      <c r="K154" s="216"/>
      <c r="L154" s="216"/>
      <c r="M154" s="216"/>
      <c r="N154" s="216">
        <v>87</v>
      </c>
      <c r="O154" s="217"/>
      <c r="P154" s="217">
        <v>20</v>
      </c>
      <c r="Q154" s="217"/>
      <c r="R154" s="217"/>
      <c r="S154" s="218"/>
    </row>
    <row r="155" spans="1:19" ht="15" customHeight="1">
      <c r="A155" s="413">
        <f t="shared" si="2"/>
        <v>155</v>
      </c>
      <c r="B155" s="26">
        <v>102</v>
      </c>
      <c r="C155" s="153" t="s">
        <v>849</v>
      </c>
      <c r="D155" s="211" t="s">
        <v>180</v>
      </c>
      <c r="E155" s="212" t="s">
        <v>54</v>
      </c>
      <c r="F155" s="213" t="s">
        <v>439</v>
      </c>
      <c r="G155" s="214" t="s">
        <v>810</v>
      </c>
      <c r="H155" s="213" t="s">
        <v>176</v>
      </c>
      <c r="I155" s="215">
        <v>10.4</v>
      </c>
      <c r="J155" s="216"/>
      <c r="K155" s="216"/>
      <c r="L155" s="216"/>
      <c r="M155" s="216"/>
      <c r="N155" s="216">
        <v>41</v>
      </c>
      <c r="O155" s="217"/>
      <c r="P155" s="217"/>
      <c r="Q155" s="217">
        <v>8</v>
      </c>
      <c r="R155" s="217"/>
      <c r="S155" s="218"/>
    </row>
    <row r="156" spans="1:19" ht="15" customHeight="1">
      <c r="A156" s="413">
        <f t="shared" si="2"/>
        <v>156</v>
      </c>
      <c r="B156" s="26">
        <v>102</v>
      </c>
      <c r="C156" s="153" t="s">
        <v>849</v>
      </c>
      <c r="D156" s="211" t="s">
        <v>180</v>
      </c>
      <c r="E156" s="212" t="s">
        <v>54</v>
      </c>
      <c r="F156" s="213" t="s">
        <v>439</v>
      </c>
      <c r="G156" s="214" t="s">
        <v>811</v>
      </c>
      <c r="H156" s="213" t="s">
        <v>176</v>
      </c>
      <c r="I156" s="215">
        <v>24.7</v>
      </c>
      <c r="J156" s="216"/>
      <c r="K156" s="216"/>
      <c r="L156" s="216"/>
      <c r="M156" s="216"/>
      <c r="N156" s="216">
        <v>63</v>
      </c>
      <c r="O156" s="217"/>
      <c r="P156" s="217"/>
      <c r="Q156" s="217">
        <v>19</v>
      </c>
      <c r="R156" s="217"/>
      <c r="S156" s="218"/>
    </row>
    <row r="157" spans="1:19" ht="15" customHeight="1">
      <c r="A157" s="413">
        <f t="shared" si="2"/>
        <v>157</v>
      </c>
      <c r="B157" s="26">
        <v>102</v>
      </c>
      <c r="C157" s="153" t="s">
        <v>849</v>
      </c>
      <c r="D157" s="211" t="s">
        <v>180</v>
      </c>
      <c r="E157" s="212" t="s">
        <v>54</v>
      </c>
      <c r="F157" s="213" t="s">
        <v>461</v>
      </c>
      <c r="G157" s="214" t="s">
        <v>813</v>
      </c>
      <c r="H157" s="213"/>
      <c r="I157" s="215">
        <v>4</v>
      </c>
      <c r="J157" s="216"/>
      <c r="K157" s="216"/>
      <c r="L157" s="216">
        <v>32</v>
      </c>
      <c r="M157" s="216"/>
      <c r="N157" s="216"/>
      <c r="O157" s="217"/>
      <c r="P157" s="217">
        <v>4</v>
      </c>
      <c r="Q157" s="217"/>
      <c r="R157" s="217"/>
      <c r="S157" s="218"/>
    </row>
    <row r="158" spans="1:19" ht="15" customHeight="1">
      <c r="A158" s="413">
        <f t="shared" si="2"/>
        <v>158</v>
      </c>
      <c r="B158" s="26">
        <v>102</v>
      </c>
      <c r="C158" s="153" t="s">
        <v>849</v>
      </c>
      <c r="D158" s="211" t="s">
        <v>180</v>
      </c>
      <c r="E158" s="212" t="s">
        <v>54</v>
      </c>
      <c r="F158" s="213" t="s">
        <v>461</v>
      </c>
      <c r="G158" s="214" t="s">
        <v>814</v>
      </c>
      <c r="H158" s="213" t="s">
        <v>44</v>
      </c>
      <c r="I158" s="215">
        <v>5.2</v>
      </c>
      <c r="J158" s="216"/>
      <c r="K158" s="216"/>
      <c r="L158" s="216">
        <v>30</v>
      </c>
      <c r="M158" s="216"/>
      <c r="N158" s="216"/>
      <c r="O158" s="217"/>
      <c r="P158" s="217">
        <v>4</v>
      </c>
      <c r="Q158" s="217"/>
      <c r="R158" s="217"/>
      <c r="S158" s="218"/>
    </row>
    <row r="159" spans="1:19" ht="15" customHeight="1">
      <c r="A159" s="413">
        <f t="shared" si="2"/>
        <v>159</v>
      </c>
      <c r="B159" s="26">
        <v>102</v>
      </c>
      <c r="C159" s="153" t="s">
        <v>849</v>
      </c>
      <c r="D159" s="211" t="s">
        <v>180</v>
      </c>
      <c r="E159" s="212" t="s">
        <v>54</v>
      </c>
      <c r="F159" s="213" t="s">
        <v>168</v>
      </c>
      <c r="G159" s="214" t="s">
        <v>815</v>
      </c>
      <c r="H159" s="213" t="s">
        <v>109</v>
      </c>
      <c r="I159" s="215">
        <v>63.7</v>
      </c>
      <c r="J159" s="216"/>
      <c r="K159" s="216"/>
      <c r="L159" s="216"/>
      <c r="M159" s="216"/>
      <c r="N159" s="216">
        <v>99</v>
      </c>
      <c r="O159" s="217"/>
      <c r="P159" s="217"/>
      <c r="Q159" s="217">
        <v>32</v>
      </c>
      <c r="R159" s="217"/>
      <c r="S159" s="218"/>
    </row>
    <row r="160" spans="1:19" ht="15" customHeight="1">
      <c r="A160" s="413">
        <f t="shared" si="2"/>
        <v>160</v>
      </c>
      <c r="B160" s="26">
        <v>102</v>
      </c>
      <c r="C160" s="153" t="s">
        <v>849</v>
      </c>
      <c r="D160" s="211" t="s">
        <v>180</v>
      </c>
      <c r="E160" s="212" t="s">
        <v>54</v>
      </c>
      <c r="F160" s="213" t="s">
        <v>168</v>
      </c>
      <c r="G160" s="214" t="s">
        <v>658</v>
      </c>
      <c r="H160" s="213" t="s">
        <v>109</v>
      </c>
      <c r="I160" s="215">
        <v>70.2</v>
      </c>
      <c r="J160" s="216"/>
      <c r="K160" s="216"/>
      <c r="L160" s="216"/>
      <c r="M160" s="216"/>
      <c r="N160" s="216">
        <v>108</v>
      </c>
      <c r="O160" s="217"/>
      <c r="P160" s="217"/>
      <c r="Q160" s="217">
        <v>41</v>
      </c>
      <c r="R160" s="217"/>
      <c r="S160" s="218"/>
    </row>
    <row r="161" spans="1:19" ht="15" customHeight="1">
      <c r="A161" s="413">
        <f t="shared" si="2"/>
        <v>161</v>
      </c>
      <c r="B161" s="26">
        <v>102</v>
      </c>
      <c r="C161" s="153" t="s">
        <v>849</v>
      </c>
      <c r="D161" s="211" t="s">
        <v>180</v>
      </c>
      <c r="E161" s="212" t="s">
        <v>54</v>
      </c>
      <c r="F161" s="213" t="s">
        <v>123</v>
      </c>
      <c r="G161" s="214" t="s">
        <v>816</v>
      </c>
      <c r="H161" s="213" t="s">
        <v>109</v>
      </c>
      <c r="I161" s="215">
        <v>6.5</v>
      </c>
      <c r="J161" s="216"/>
      <c r="K161" s="216"/>
      <c r="L161" s="216"/>
      <c r="M161" s="216"/>
      <c r="N161" s="216">
        <v>30</v>
      </c>
      <c r="O161" s="217"/>
      <c r="P161" s="217"/>
      <c r="Q161" s="217">
        <v>5</v>
      </c>
      <c r="R161" s="217"/>
      <c r="S161" s="218"/>
    </row>
    <row r="162" spans="1:19" ht="15" customHeight="1">
      <c r="A162" s="413">
        <f t="shared" si="2"/>
        <v>162</v>
      </c>
      <c r="B162" s="26">
        <v>102</v>
      </c>
      <c r="C162" s="153" t="s">
        <v>849</v>
      </c>
      <c r="D162" s="211" t="s">
        <v>180</v>
      </c>
      <c r="E162" s="212" t="s">
        <v>54</v>
      </c>
      <c r="F162" s="213" t="s">
        <v>123</v>
      </c>
      <c r="G162" s="214" t="s">
        <v>919</v>
      </c>
      <c r="H162" s="213" t="s">
        <v>109</v>
      </c>
      <c r="I162" s="215">
        <v>6.5</v>
      </c>
      <c r="J162" s="216"/>
      <c r="K162" s="216"/>
      <c r="L162" s="216"/>
      <c r="M162" s="216"/>
      <c r="N162" s="216">
        <v>31</v>
      </c>
      <c r="O162" s="217"/>
      <c r="P162" s="217"/>
      <c r="Q162" s="217">
        <v>5</v>
      </c>
      <c r="R162" s="217"/>
      <c r="S162" s="218"/>
    </row>
    <row r="163" spans="1:19" ht="15" customHeight="1">
      <c r="A163" s="413">
        <f t="shared" si="2"/>
        <v>163</v>
      </c>
      <c r="B163" s="26">
        <v>102</v>
      </c>
      <c r="C163" s="153" t="s">
        <v>849</v>
      </c>
      <c r="D163" s="211" t="s">
        <v>180</v>
      </c>
      <c r="E163" s="212" t="s">
        <v>54</v>
      </c>
      <c r="F163" s="213" t="s">
        <v>488</v>
      </c>
      <c r="G163" s="214" t="s">
        <v>920</v>
      </c>
      <c r="H163" s="213"/>
      <c r="I163" s="215">
        <v>0</v>
      </c>
      <c r="J163" s="216"/>
      <c r="K163" s="216"/>
      <c r="L163" s="216">
        <v>10</v>
      </c>
      <c r="M163" s="216"/>
      <c r="N163" s="216"/>
      <c r="O163" s="217"/>
      <c r="P163" s="217"/>
      <c r="Q163" s="217"/>
      <c r="R163" s="217"/>
      <c r="S163" s="218" t="s">
        <v>1139</v>
      </c>
    </row>
    <row r="164" spans="1:19" ht="15" customHeight="1">
      <c r="A164" s="413">
        <f t="shared" si="2"/>
        <v>164</v>
      </c>
      <c r="B164" s="26">
        <v>102</v>
      </c>
      <c r="C164" s="153" t="s">
        <v>849</v>
      </c>
      <c r="D164" s="211" t="s">
        <v>180</v>
      </c>
      <c r="E164" s="212" t="s">
        <v>54</v>
      </c>
      <c r="F164" s="213" t="s">
        <v>488</v>
      </c>
      <c r="G164" s="214" t="s">
        <v>921</v>
      </c>
      <c r="H164" s="213"/>
      <c r="I164" s="215">
        <v>0</v>
      </c>
      <c r="J164" s="216"/>
      <c r="K164" s="216"/>
      <c r="L164" s="216">
        <v>20</v>
      </c>
      <c r="M164" s="216"/>
      <c r="N164" s="216"/>
      <c r="O164" s="217"/>
      <c r="P164" s="217"/>
      <c r="Q164" s="217"/>
      <c r="R164" s="217"/>
      <c r="S164" s="218" t="s">
        <v>1139</v>
      </c>
    </row>
    <row r="165" spans="1:19" ht="15" customHeight="1">
      <c r="A165" s="413">
        <f t="shared" si="2"/>
        <v>165</v>
      </c>
      <c r="B165" s="26">
        <v>102</v>
      </c>
      <c r="C165" s="153" t="s">
        <v>849</v>
      </c>
      <c r="D165" s="211" t="s">
        <v>180</v>
      </c>
      <c r="E165" s="212" t="s">
        <v>54</v>
      </c>
      <c r="F165" s="213" t="s">
        <v>488</v>
      </c>
      <c r="G165" s="214" t="s">
        <v>922</v>
      </c>
      <c r="H165" s="213" t="s">
        <v>176</v>
      </c>
      <c r="I165" s="215">
        <v>5.2</v>
      </c>
      <c r="J165" s="216"/>
      <c r="K165" s="216"/>
      <c r="L165" s="216"/>
      <c r="M165" s="216"/>
      <c r="N165" s="216">
        <v>5</v>
      </c>
      <c r="O165" s="217"/>
      <c r="P165" s="217"/>
      <c r="Q165" s="217">
        <v>4</v>
      </c>
      <c r="R165" s="217"/>
      <c r="S165" s="218" t="s">
        <v>964</v>
      </c>
    </row>
    <row r="166" spans="1:19" ht="15" customHeight="1">
      <c r="A166" s="413">
        <f t="shared" si="2"/>
        <v>166</v>
      </c>
      <c r="B166" s="26">
        <v>102</v>
      </c>
      <c r="C166" s="153" t="s">
        <v>849</v>
      </c>
      <c r="D166" s="211" t="s">
        <v>180</v>
      </c>
      <c r="E166" s="212" t="s">
        <v>54</v>
      </c>
      <c r="F166" s="213" t="s">
        <v>488</v>
      </c>
      <c r="G166" s="214" t="s">
        <v>923</v>
      </c>
      <c r="H166" s="213"/>
      <c r="I166" s="215">
        <v>0.5</v>
      </c>
      <c r="J166" s="216"/>
      <c r="K166" s="216"/>
      <c r="L166" s="216">
        <v>0.5</v>
      </c>
      <c r="M166" s="216"/>
      <c r="N166" s="216"/>
      <c r="O166" s="217"/>
      <c r="P166" s="217">
        <v>0.5</v>
      </c>
      <c r="Q166" s="217"/>
      <c r="R166" s="217"/>
      <c r="S166" s="218"/>
    </row>
    <row r="167" spans="1:19" ht="15" customHeight="1">
      <c r="A167" s="413">
        <f t="shared" si="2"/>
        <v>167</v>
      </c>
      <c r="B167" s="26">
        <v>102</v>
      </c>
      <c r="C167" s="153" t="s">
        <v>849</v>
      </c>
      <c r="D167" s="211" t="s">
        <v>180</v>
      </c>
      <c r="E167" s="212" t="s">
        <v>54</v>
      </c>
      <c r="F167" s="213" t="s">
        <v>488</v>
      </c>
      <c r="G167" s="214" t="s">
        <v>924</v>
      </c>
      <c r="H167" s="213" t="s">
        <v>174</v>
      </c>
      <c r="I167" s="215">
        <v>0</v>
      </c>
      <c r="J167" s="216"/>
      <c r="K167" s="216"/>
      <c r="L167" s="216"/>
      <c r="M167" s="216"/>
      <c r="N167" s="216"/>
      <c r="O167" s="217"/>
      <c r="P167" s="217"/>
      <c r="Q167" s="217"/>
      <c r="R167" s="217"/>
      <c r="S167" s="218" t="s">
        <v>1337</v>
      </c>
    </row>
    <row r="168" spans="1:19" ht="15" customHeight="1">
      <c r="A168" s="413">
        <f t="shared" si="2"/>
        <v>168</v>
      </c>
      <c r="B168" s="26">
        <v>102</v>
      </c>
      <c r="C168" s="153" t="s">
        <v>849</v>
      </c>
      <c r="D168" s="211" t="s">
        <v>180</v>
      </c>
      <c r="E168" s="212" t="s">
        <v>621</v>
      </c>
      <c r="F168" s="213" t="s">
        <v>622</v>
      </c>
      <c r="G168" s="214" t="s">
        <v>297</v>
      </c>
      <c r="H168" s="213"/>
      <c r="I168" s="215">
        <v>0</v>
      </c>
      <c r="J168" s="216"/>
      <c r="K168" s="216"/>
      <c r="L168" s="216"/>
      <c r="M168" s="216"/>
      <c r="N168" s="216"/>
      <c r="O168" s="217"/>
      <c r="P168" s="217"/>
      <c r="Q168" s="217"/>
      <c r="R168" s="217"/>
      <c r="S168" s="218" t="s">
        <v>613</v>
      </c>
    </row>
    <row r="169" spans="1:19" ht="15" customHeight="1">
      <c r="A169" s="413">
        <f t="shared" si="2"/>
        <v>169</v>
      </c>
      <c r="B169" s="26">
        <v>102</v>
      </c>
      <c r="C169" s="153" t="s">
        <v>849</v>
      </c>
      <c r="D169" s="211" t="s">
        <v>180</v>
      </c>
      <c r="E169" s="212" t="s">
        <v>621</v>
      </c>
      <c r="F169" s="213" t="s">
        <v>925</v>
      </c>
      <c r="G169" s="214" t="s">
        <v>101</v>
      </c>
      <c r="H169" s="213"/>
      <c r="I169" s="215">
        <v>0</v>
      </c>
      <c r="J169" s="216"/>
      <c r="K169" s="216"/>
      <c r="L169" s="216"/>
      <c r="M169" s="216"/>
      <c r="N169" s="216"/>
      <c r="O169" s="217"/>
      <c r="P169" s="217"/>
      <c r="Q169" s="217"/>
      <c r="R169" s="217"/>
      <c r="S169" s="218" t="s">
        <v>613</v>
      </c>
    </row>
    <row r="170" spans="1:19" ht="15" customHeight="1">
      <c r="A170" s="413">
        <f t="shared" si="2"/>
        <v>170</v>
      </c>
      <c r="B170" s="26">
        <v>102</v>
      </c>
      <c r="C170" s="153" t="s">
        <v>849</v>
      </c>
      <c r="D170" s="211" t="s">
        <v>180</v>
      </c>
      <c r="E170" s="212" t="s">
        <v>621</v>
      </c>
      <c r="F170" s="213" t="s">
        <v>546</v>
      </c>
      <c r="G170" s="214" t="s">
        <v>829</v>
      </c>
      <c r="H170" s="213"/>
      <c r="I170" s="215">
        <v>0</v>
      </c>
      <c r="J170" s="216"/>
      <c r="K170" s="216"/>
      <c r="L170" s="216"/>
      <c r="M170" s="216"/>
      <c r="N170" s="216"/>
      <c r="O170" s="217"/>
      <c r="P170" s="217"/>
      <c r="Q170" s="217"/>
      <c r="R170" s="217"/>
      <c r="S170" s="218" t="s">
        <v>965</v>
      </c>
    </row>
    <row r="171" spans="1:19" ht="15" customHeight="1">
      <c r="A171" s="413">
        <f t="shared" si="2"/>
        <v>171</v>
      </c>
      <c r="B171" s="26">
        <v>102</v>
      </c>
      <c r="C171" s="153" t="s">
        <v>849</v>
      </c>
      <c r="D171" s="211" t="s">
        <v>180</v>
      </c>
      <c r="E171" s="212" t="s">
        <v>621</v>
      </c>
      <c r="F171" s="213" t="s">
        <v>175</v>
      </c>
      <c r="G171" s="214" t="s">
        <v>926</v>
      </c>
      <c r="H171" s="213" t="s">
        <v>19</v>
      </c>
      <c r="I171" s="215">
        <v>1.3</v>
      </c>
      <c r="J171" s="216"/>
      <c r="K171" s="216"/>
      <c r="L171" s="216">
        <v>12</v>
      </c>
      <c r="M171" s="216"/>
      <c r="N171" s="216"/>
      <c r="O171" s="217"/>
      <c r="P171" s="217"/>
      <c r="Q171" s="217"/>
      <c r="R171" s="217">
        <v>1</v>
      </c>
      <c r="S171" s="218" t="s">
        <v>1140</v>
      </c>
    </row>
    <row r="172" spans="1:19" ht="15" customHeight="1">
      <c r="A172" s="413">
        <f t="shared" si="2"/>
        <v>172</v>
      </c>
      <c r="B172" s="26">
        <v>102</v>
      </c>
      <c r="C172" s="153" t="s">
        <v>849</v>
      </c>
      <c r="D172" s="211" t="s">
        <v>180</v>
      </c>
      <c r="E172" s="212" t="s">
        <v>621</v>
      </c>
      <c r="F172" s="213" t="s">
        <v>630</v>
      </c>
      <c r="G172" s="214" t="s">
        <v>927</v>
      </c>
      <c r="H172" s="213" t="s">
        <v>19</v>
      </c>
      <c r="I172" s="215">
        <v>1791.4</v>
      </c>
      <c r="J172" s="216"/>
      <c r="K172" s="216"/>
      <c r="L172" s="216">
        <v>1384</v>
      </c>
      <c r="M172" s="216"/>
      <c r="N172" s="216"/>
      <c r="O172" s="217"/>
      <c r="P172" s="217">
        <v>1378</v>
      </c>
      <c r="Q172" s="217"/>
      <c r="R172" s="217"/>
      <c r="S172" s="218"/>
    </row>
    <row r="173" spans="1:19" ht="15" customHeight="1">
      <c r="A173" s="413">
        <f t="shared" si="2"/>
        <v>173</v>
      </c>
      <c r="B173" s="26">
        <v>102</v>
      </c>
      <c r="C173" s="153" t="s">
        <v>849</v>
      </c>
      <c r="D173" s="211" t="s">
        <v>180</v>
      </c>
      <c r="E173" s="212" t="s">
        <v>621</v>
      </c>
      <c r="F173" s="213" t="s">
        <v>627</v>
      </c>
      <c r="G173" s="214" t="s">
        <v>928</v>
      </c>
      <c r="H173" s="213" t="s">
        <v>19</v>
      </c>
      <c r="I173" s="215">
        <v>572</v>
      </c>
      <c r="J173" s="216"/>
      <c r="K173" s="216"/>
      <c r="L173" s="216">
        <v>616</v>
      </c>
      <c r="M173" s="216"/>
      <c r="N173" s="216"/>
      <c r="O173" s="217"/>
      <c r="P173" s="217">
        <v>572</v>
      </c>
      <c r="Q173" s="217"/>
      <c r="R173" s="217"/>
      <c r="S173" s="218"/>
    </row>
    <row r="174" spans="1:19" ht="15" customHeight="1">
      <c r="A174" s="413">
        <f t="shared" si="2"/>
        <v>174</v>
      </c>
      <c r="B174" s="26">
        <v>102</v>
      </c>
      <c r="C174" s="153" t="s">
        <v>849</v>
      </c>
      <c r="D174" s="211" t="s">
        <v>180</v>
      </c>
      <c r="E174" s="212" t="s">
        <v>621</v>
      </c>
      <c r="F174" s="213" t="s">
        <v>627</v>
      </c>
      <c r="G174" s="214" t="s">
        <v>929</v>
      </c>
      <c r="H174" s="213" t="s">
        <v>19</v>
      </c>
      <c r="I174" s="215">
        <v>288</v>
      </c>
      <c r="J174" s="216"/>
      <c r="K174" s="216"/>
      <c r="L174" s="216">
        <v>610</v>
      </c>
      <c r="M174" s="216"/>
      <c r="N174" s="216"/>
      <c r="O174" s="217"/>
      <c r="P174" s="217">
        <v>288</v>
      </c>
      <c r="Q174" s="217"/>
      <c r="R174" s="217"/>
      <c r="S174" s="218"/>
    </row>
    <row r="175" spans="1:19" ht="15" customHeight="1">
      <c r="A175" s="413">
        <f t="shared" si="2"/>
        <v>175</v>
      </c>
      <c r="B175" s="26">
        <v>102</v>
      </c>
      <c r="C175" s="153" t="s">
        <v>849</v>
      </c>
      <c r="D175" s="211" t="s">
        <v>180</v>
      </c>
      <c r="E175" s="212" t="s">
        <v>621</v>
      </c>
      <c r="F175" s="213" t="s">
        <v>630</v>
      </c>
      <c r="G175" s="214" t="s">
        <v>677</v>
      </c>
      <c r="H175" s="213"/>
      <c r="I175" s="215">
        <v>37</v>
      </c>
      <c r="J175" s="216"/>
      <c r="K175" s="216"/>
      <c r="L175" s="216">
        <v>49</v>
      </c>
      <c r="M175" s="216"/>
      <c r="N175" s="216"/>
      <c r="O175" s="217"/>
      <c r="P175" s="217">
        <v>37</v>
      </c>
      <c r="Q175" s="217"/>
      <c r="R175" s="217"/>
      <c r="S175" s="218"/>
    </row>
    <row r="176" spans="1:19" ht="15" customHeight="1">
      <c r="A176" s="413">
        <f t="shared" si="2"/>
        <v>176</v>
      </c>
      <c r="B176" s="26">
        <v>102</v>
      </c>
      <c r="C176" s="153" t="s">
        <v>849</v>
      </c>
      <c r="D176" s="211" t="s">
        <v>180</v>
      </c>
      <c r="E176" s="212" t="s">
        <v>621</v>
      </c>
      <c r="F176" s="213" t="s">
        <v>546</v>
      </c>
      <c r="G176" s="214" t="s">
        <v>931</v>
      </c>
      <c r="H176" s="213" t="s">
        <v>19</v>
      </c>
      <c r="I176" s="215">
        <v>0</v>
      </c>
      <c r="J176" s="216"/>
      <c r="K176" s="216"/>
      <c r="L176" s="216"/>
      <c r="M176" s="216"/>
      <c r="N176" s="216"/>
      <c r="O176" s="217"/>
      <c r="P176" s="217"/>
      <c r="Q176" s="217"/>
      <c r="R176" s="217"/>
      <c r="S176" s="218" t="s">
        <v>966</v>
      </c>
    </row>
    <row r="177" spans="1:19" ht="15" customHeight="1">
      <c r="A177" s="413">
        <f t="shared" si="2"/>
        <v>177</v>
      </c>
      <c r="B177" s="26">
        <v>102</v>
      </c>
      <c r="C177" s="153" t="s">
        <v>849</v>
      </c>
      <c r="D177" s="211" t="s">
        <v>180</v>
      </c>
      <c r="E177" s="212" t="s">
        <v>621</v>
      </c>
      <c r="F177" s="213" t="s">
        <v>175</v>
      </c>
      <c r="G177" s="214" t="s">
        <v>932</v>
      </c>
      <c r="H177" s="213" t="s">
        <v>19</v>
      </c>
      <c r="I177" s="215">
        <v>2.6</v>
      </c>
      <c r="J177" s="216"/>
      <c r="K177" s="216"/>
      <c r="L177" s="216">
        <v>9</v>
      </c>
      <c r="M177" s="216"/>
      <c r="N177" s="216"/>
      <c r="O177" s="217"/>
      <c r="P177" s="217">
        <v>2</v>
      </c>
      <c r="Q177" s="217"/>
      <c r="R177" s="217"/>
      <c r="S177" s="218"/>
    </row>
    <row r="178" spans="1:19" ht="15" customHeight="1">
      <c r="A178" s="413">
        <f t="shared" si="2"/>
        <v>178</v>
      </c>
      <c r="B178" s="26">
        <v>102</v>
      </c>
      <c r="C178" s="153" t="s">
        <v>849</v>
      </c>
      <c r="D178" s="211" t="s">
        <v>180</v>
      </c>
      <c r="E178" s="212" t="s">
        <v>621</v>
      </c>
      <c r="F178" s="213" t="s">
        <v>630</v>
      </c>
      <c r="G178" s="214" t="s">
        <v>933</v>
      </c>
      <c r="H178" s="213" t="s">
        <v>19</v>
      </c>
      <c r="I178" s="215">
        <v>561</v>
      </c>
      <c r="J178" s="216"/>
      <c r="K178" s="216"/>
      <c r="L178" s="216">
        <v>605</v>
      </c>
      <c r="M178" s="216"/>
      <c r="N178" s="216"/>
      <c r="O178" s="217"/>
      <c r="P178" s="217">
        <v>561</v>
      </c>
      <c r="Q178" s="217"/>
      <c r="R178" s="217"/>
      <c r="S178" s="218"/>
    </row>
    <row r="179" spans="1:19" ht="15" customHeight="1">
      <c r="A179" s="413">
        <f t="shared" si="2"/>
        <v>179</v>
      </c>
      <c r="B179" s="26">
        <v>102</v>
      </c>
      <c r="C179" s="153" t="s">
        <v>849</v>
      </c>
      <c r="D179" s="211" t="s">
        <v>180</v>
      </c>
      <c r="E179" s="212" t="s">
        <v>621</v>
      </c>
      <c r="F179" s="213" t="s">
        <v>934</v>
      </c>
      <c r="G179" s="214" t="s">
        <v>834</v>
      </c>
      <c r="H179" s="213" t="s">
        <v>19</v>
      </c>
      <c r="I179" s="215">
        <v>18</v>
      </c>
      <c r="J179" s="216"/>
      <c r="K179" s="216"/>
      <c r="L179" s="216">
        <v>37</v>
      </c>
      <c r="M179" s="216"/>
      <c r="N179" s="216"/>
      <c r="O179" s="217"/>
      <c r="P179" s="217">
        <v>18</v>
      </c>
      <c r="Q179" s="217"/>
      <c r="R179" s="217"/>
      <c r="S179" s="218"/>
    </row>
    <row r="180" spans="1:19" ht="15" customHeight="1">
      <c r="A180" s="413">
        <f t="shared" si="2"/>
        <v>180</v>
      </c>
      <c r="B180" s="26">
        <v>102</v>
      </c>
      <c r="C180" s="153" t="s">
        <v>849</v>
      </c>
      <c r="D180" s="211" t="s">
        <v>180</v>
      </c>
      <c r="E180" s="212" t="s">
        <v>621</v>
      </c>
      <c r="F180" s="213" t="s">
        <v>837</v>
      </c>
      <c r="G180" s="214" t="s">
        <v>935</v>
      </c>
      <c r="H180" s="213" t="s">
        <v>19</v>
      </c>
      <c r="I180" s="215">
        <v>29</v>
      </c>
      <c r="J180" s="216"/>
      <c r="K180" s="216"/>
      <c r="L180" s="216">
        <v>48</v>
      </c>
      <c r="M180" s="216"/>
      <c r="N180" s="216"/>
      <c r="O180" s="217"/>
      <c r="P180" s="217">
        <v>29</v>
      </c>
      <c r="Q180" s="217"/>
      <c r="R180" s="217"/>
      <c r="S180" s="218"/>
    </row>
    <row r="181" spans="1:19" ht="15" customHeight="1">
      <c r="A181" s="413">
        <f t="shared" si="2"/>
        <v>181</v>
      </c>
      <c r="B181" s="26">
        <v>102</v>
      </c>
      <c r="C181" s="153" t="s">
        <v>849</v>
      </c>
      <c r="D181" s="211" t="s">
        <v>180</v>
      </c>
      <c r="E181" s="212" t="s">
        <v>621</v>
      </c>
      <c r="F181" s="213" t="s">
        <v>936</v>
      </c>
      <c r="G181" s="214" t="s">
        <v>937</v>
      </c>
      <c r="H181" s="213" t="s">
        <v>19</v>
      </c>
      <c r="I181" s="215">
        <v>34</v>
      </c>
      <c r="J181" s="216"/>
      <c r="K181" s="216"/>
      <c r="L181" s="216">
        <v>38</v>
      </c>
      <c r="M181" s="216"/>
      <c r="N181" s="216"/>
      <c r="O181" s="217"/>
      <c r="P181" s="217">
        <v>34</v>
      </c>
      <c r="Q181" s="217"/>
      <c r="R181" s="217"/>
      <c r="S181" s="218"/>
    </row>
    <row r="182" spans="1:19" ht="15" customHeight="1">
      <c r="A182" s="413">
        <f t="shared" si="2"/>
        <v>182</v>
      </c>
      <c r="B182" s="26">
        <v>102</v>
      </c>
      <c r="C182" s="153" t="s">
        <v>849</v>
      </c>
      <c r="D182" s="211" t="s">
        <v>180</v>
      </c>
      <c r="E182" s="212" t="s">
        <v>621</v>
      </c>
      <c r="F182" s="213" t="s">
        <v>938</v>
      </c>
      <c r="G182" s="214" t="s">
        <v>939</v>
      </c>
      <c r="H182" s="213" t="s">
        <v>19</v>
      </c>
      <c r="I182" s="215">
        <v>36</v>
      </c>
      <c r="J182" s="216"/>
      <c r="K182" s="216"/>
      <c r="L182" s="216">
        <v>38</v>
      </c>
      <c r="M182" s="216"/>
      <c r="N182" s="216"/>
      <c r="O182" s="217"/>
      <c r="P182" s="217">
        <v>36</v>
      </c>
      <c r="Q182" s="217"/>
      <c r="R182" s="217"/>
      <c r="S182" s="218"/>
    </row>
    <row r="183" spans="1:19" ht="15" customHeight="1">
      <c r="A183" s="413">
        <f t="shared" si="2"/>
        <v>183</v>
      </c>
      <c r="B183" s="26">
        <v>102</v>
      </c>
      <c r="C183" s="153" t="s">
        <v>849</v>
      </c>
      <c r="D183" s="211" t="s">
        <v>180</v>
      </c>
      <c r="E183" s="212" t="s">
        <v>621</v>
      </c>
      <c r="F183" s="213" t="s">
        <v>940</v>
      </c>
      <c r="G183" s="214" t="s">
        <v>941</v>
      </c>
      <c r="H183" s="213"/>
      <c r="I183" s="215">
        <v>49</v>
      </c>
      <c r="J183" s="216"/>
      <c r="K183" s="216"/>
      <c r="L183" s="216">
        <v>56</v>
      </c>
      <c r="M183" s="216"/>
      <c r="N183" s="216"/>
      <c r="O183" s="217"/>
      <c r="P183" s="217">
        <v>49</v>
      </c>
      <c r="Q183" s="217"/>
      <c r="R183" s="217"/>
      <c r="S183" s="218"/>
    </row>
    <row r="184" spans="1:19" ht="15" customHeight="1">
      <c r="A184" s="413">
        <f t="shared" si="2"/>
        <v>184</v>
      </c>
      <c r="B184" s="26">
        <v>102</v>
      </c>
      <c r="C184" s="153" t="s">
        <v>849</v>
      </c>
      <c r="D184" s="211" t="s">
        <v>180</v>
      </c>
      <c r="E184" s="212" t="s">
        <v>621</v>
      </c>
      <c r="F184" s="213" t="s">
        <v>597</v>
      </c>
      <c r="G184" s="214" t="s">
        <v>839</v>
      </c>
      <c r="H184" s="213" t="s">
        <v>109</v>
      </c>
      <c r="I184" s="215">
        <v>29.900000000000002</v>
      </c>
      <c r="J184" s="216"/>
      <c r="K184" s="216"/>
      <c r="L184" s="216"/>
      <c r="M184" s="216"/>
      <c r="N184" s="216">
        <v>75</v>
      </c>
      <c r="O184" s="217"/>
      <c r="P184" s="217">
        <v>23</v>
      </c>
      <c r="Q184" s="217"/>
      <c r="R184" s="217"/>
      <c r="S184" s="218"/>
    </row>
    <row r="185" spans="1:19" ht="15" customHeight="1">
      <c r="A185" s="413">
        <f t="shared" si="2"/>
        <v>185</v>
      </c>
      <c r="B185" s="26">
        <v>102</v>
      </c>
      <c r="C185" s="153" t="s">
        <v>849</v>
      </c>
      <c r="D185" s="211" t="s">
        <v>180</v>
      </c>
      <c r="E185" s="212" t="s">
        <v>621</v>
      </c>
      <c r="F185" s="213" t="s">
        <v>647</v>
      </c>
      <c r="G185" s="214" t="s">
        <v>840</v>
      </c>
      <c r="H185" s="213" t="s">
        <v>19</v>
      </c>
      <c r="I185" s="215">
        <v>28</v>
      </c>
      <c r="J185" s="216"/>
      <c r="K185" s="216"/>
      <c r="L185" s="216">
        <v>42</v>
      </c>
      <c r="M185" s="216"/>
      <c r="N185" s="216"/>
      <c r="O185" s="217"/>
      <c r="P185" s="217">
        <v>28</v>
      </c>
      <c r="Q185" s="217"/>
      <c r="R185" s="217"/>
      <c r="S185" s="218"/>
    </row>
    <row r="186" spans="1:19" ht="15" customHeight="1">
      <c r="A186" s="413">
        <f t="shared" si="2"/>
        <v>186</v>
      </c>
      <c r="B186" s="26">
        <v>102</v>
      </c>
      <c r="C186" s="153" t="s">
        <v>849</v>
      </c>
      <c r="D186" s="211" t="s">
        <v>180</v>
      </c>
      <c r="E186" s="212" t="s">
        <v>621</v>
      </c>
      <c r="F186" s="213" t="s">
        <v>597</v>
      </c>
      <c r="G186" s="214" t="s">
        <v>680</v>
      </c>
      <c r="H186" s="213" t="s">
        <v>109</v>
      </c>
      <c r="I186" s="215">
        <v>19.5</v>
      </c>
      <c r="J186" s="216"/>
      <c r="K186" s="216"/>
      <c r="L186" s="216"/>
      <c r="M186" s="216"/>
      <c r="N186" s="216">
        <v>52</v>
      </c>
      <c r="O186" s="217"/>
      <c r="P186" s="217">
        <v>15</v>
      </c>
      <c r="Q186" s="217"/>
      <c r="R186" s="217"/>
      <c r="S186" s="218"/>
    </row>
    <row r="187" spans="1:19" ht="15" customHeight="1">
      <c r="A187" s="413">
        <f t="shared" si="2"/>
        <v>187</v>
      </c>
      <c r="B187" s="26">
        <v>102</v>
      </c>
      <c r="C187" s="153" t="s">
        <v>849</v>
      </c>
      <c r="D187" s="211" t="s">
        <v>180</v>
      </c>
      <c r="E187" s="212" t="s">
        <v>621</v>
      </c>
      <c r="F187" s="213" t="s">
        <v>942</v>
      </c>
      <c r="G187" s="214" t="s">
        <v>943</v>
      </c>
      <c r="H187" s="213" t="s">
        <v>109</v>
      </c>
      <c r="I187" s="215">
        <v>5.2</v>
      </c>
      <c r="J187" s="216"/>
      <c r="K187" s="216"/>
      <c r="L187" s="216"/>
      <c r="M187" s="216"/>
      <c r="N187" s="216">
        <v>18</v>
      </c>
      <c r="O187" s="217"/>
      <c r="P187" s="217">
        <v>4</v>
      </c>
      <c r="Q187" s="217"/>
      <c r="R187" s="217"/>
      <c r="S187" s="218"/>
    </row>
    <row r="188" spans="1:19" ht="15" customHeight="1">
      <c r="A188" s="413">
        <f t="shared" si="2"/>
        <v>188</v>
      </c>
      <c r="B188" s="26">
        <v>102</v>
      </c>
      <c r="C188" s="153" t="s">
        <v>849</v>
      </c>
      <c r="D188" s="211" t="s">
        <v>180</v>
      </c>
      <c r="E188" s="212" t="s">
        <v>621</v>
      </c>
      <c r="F188" s="213" t="s">
        <v>647</v>
      </c>
      <c r="G188" s="214" t="s">
        <v>681</v>
      </c>
      <c r="H188" s="213" t="s">
        <v>19</v>
      </c>
      <c r="I188" s="215">
        <v>33</v>
      </c>
      <c r="J188" s="216"/>
      <c r="K188" s="216"/>
      <c r="L188" s="216">
        <v>56</v>
      </c>
      <c r="M188" s="216"/>
      <c r="N188" s="216"/>
      <c r="O188" s="217"/>
      <c r="P188" s="217">
        <v>33</v>
      </c>
      <c r="Q188" s="217"/>
      <c r="R188" s="217"/>
      <c r="S188" s="218"/>
    </row>
    <row r="189" spans="1:19" ht="15" customHeight="1">
      <c r="A189" s="413">
        <f t="shared" si="2"/>
        <v>189</v>
      </c>
      <c r="B189" s="26">
        <v>102</v>
      </c>
      <c r="C189" s="153" t="s">
        <v>849</v>
      </c>
      <c r="D189" s="211" t="s">
        <v>180</v>
      </c>
      <c r="E189" s="212" t="s">
        <v>621</v>
      </c>
      <c r="F189" s="213" t="s">
        <v>168</v>
      </c>
      <c r="G189" s="214" t="s">
        <v>843</v>
      </c>
      <c r="H189" s="213" t="s">
        <v>109</v>
      </c>
      <c r="I189" s="215">
        <v>0</v>
      </c>
      <c r="J189" s="216"/>
      <c r="K189" s="216"/>
      <c r="L189" s="216"/>
      <c r="M189" s="216"/>
      <c r="N189" s="216"/>
      <c r="O189" s="217"/>
      <c r="P189" s="217"/>
      <c r="Q189" s="217"/>
      <c r="R189" s="217"/>
      <c r="S189" s="218" t="s">
        <v>967</v>
      </c>
    </row>
    <row r="190" spans="1:19" ht="15" customHeight="1">
      <c r="A190" s="413">
        <f t="shared" si="2"/>
        <v>190</v>
      </c>
      <c r="B190" s="26">
        <v>102</v>
      </c>
      <c r="C190" s="153" t="s">
        <v>849</v>
      </c>
      <c r="D190" s="211" t="s">
        <v>180</v>
      </c>
      <c r="E190" s="212" t="s">
        <v>621</v>
      </c>
      <c r="F190" s="213" t="s">
        <v>168</v>
      </c>
      <c r="G190" s="214" t="s">
        <v>944</v>
      </c>
      <c r="H190" s="213" t="s">
        <v>109</v>
      </c>
      <c r="I190" s="215">
        <v>0</v>
      </c>
      <c r="J190" s="216"/>
      <c r="K190" s="216"/>
      <c r="L190" s="216"/>
      <c r="M190" s="216"/>
      <c r="N190" s="216"/>
      <c r="O190" s="217"/>
      <c r="P190" s="217"/>
      <c r="Q190" s="217"/>
      <c r="R190" s="217"/>
      <c r="S190" s="218" t="s">
        <v>968</v>
      </c>
    </row>
    <row r="191" spans="1:19" ht="15" customHeight="1">
      <c r="A191" s="413">
        <f t="shared" si="2"/>
        <v>191</v>
      </c>
      <c r="B191" s="26">
        <v>102</v>
      </c>
      <c r="C191" s="153" t="s">
        <v>849</v>
      </c>
      <c r="D191" s="211" t="s">
        <v>180</v>
      </c>
      <c r="E191" s="212" t="s">
        <v>621</v>
      </c>
      <c r="F191" s="213" t="s">
        <v>945</v>
      </c>
      <c r="G191" s="214" t="s">
        <v>169</v>
      </c>
      <c r="H191" s="213"/>
      <c r="I191" s="215">
        <v>19</v>
      </c>
      <c r="J191" s="216"/>
      <c r="K191" s="216"/>
      <c r="L191" s="216">
        <v>36</v>
      </c>
      <c r="M191" s="216"/>
      <c r="N191" s="216"/>
      <c r="O191" s="217"/>
      <c r="P191" s="217">
        <v>19</v>
      </c>
      <c r="Q191" s="217"/>
      <c r="R191" s="217"/>
      <c r="S191" s="218"/>
    </row>
    <row r="192" spans="1:19" ht="15" customHeight="1">
      <c r="A192" s="413">
        <f t="shared" si="2"/>
        <v>192</v>
      </c>
      <c r="B192" s="26">
        <v>103</v>
      </c>
      <c r="C192" s="153" t="s">
        <v>717</v>
      </c>
      <c r="D192" s="211" t="s">
        <v>180</v>
      </c>
      <c r="E192" s="212" t="s">
        <v>716</v>
      </c>
      <c r="F192" s="213" t="s">
        <v>718</v>
      </c>
      <c r="G192" s="214" t="s">
        <v>719</v>
      </c>
      <c r="H192" s="213" t="s">
        <v>174</v>
      </c>
      <c r="I192" s="215"/>
      <c r="J192" s="216">
        <f>(8.5*4)+(6.5*3)+27.5+27.5+8+(8.5*4)+(6.5*7)+(4*2.1)+(8*3.35)+(5*3.35)+(2.1*8)</f>
        <v>264.75</v>
      </c>
      <c r="K192" s="216"/>
      <c r="L192" s="216"/>
      <c r="M192" s="216">
        <f>4*0.3</f>
        <v>1.2</v>
      </c>
      <c r="N192" s="216"/>
      <c r="O192" s="217"/>
      <c r="P192" s="217"/>
      <c r="Q192" s="217">
        <v>101</v>
      </c>
      <c r="R192" s="217"/>
      <c r="S192" s="218"/>
    </row>
    <row r="193" spans="1:19" ht="15" customHeight="1">
      <c r="A193" s="413">
        <f t="shared" si="2"/>
        <v>193</v>
      </c>
      <c r="B193" s="26">
        <v>103</v>
      </c>
      <c r="C193" s="153" t="s">
        <v>717</v>
      </c>
      <c r="D193" s="211" t="s">
        <v>180</v>
      </c>
      <c r="E193" s="212" t="s">
        <v>716</v>
      </c>
      <c r="F193" s="213" t="s">
        <v>720</v>
      </c>
      <c r="G193" s="214" t="s">
        <v>721</v>
      </c>
      <c r="H193" s="213"/>
      <c r="I193" s="215">
        <v>0</v>
      </c>
      <c r="J193" s="216"/>
      <c r="K193" s="216"/>
      <c r="L193" s="216"/>
      <c r="M193" s="216"/>
      <c r="N193" s="216"/>
      <c r="O193" s="217"/>
      <c r="P193" s="217"/>
      <c r="Q193" s="217"/>
      <c r="R193" s="217"/>
      <c r="S193" s="218"/>
    </row>
    <row r="194" spans="1:19" ht="15" customHeight="1">
      <c r="A194" s="413">
        <f t="shared" si="2"/>
        <v>194</v>
      </c>
      <c r="B194" s="26">
        <v>103</v>
      </c>
      <c r="C194" s="153" t="s">
        <v>717</v>
      </c>
      <c r="D194" s="211" t="s">
        <v>180</v>
      </c>
      <c r="E194" s="212" t="s">
        <v>716</v>
      </c>
      <c r="F194" s="213" t="s">
        <v>722</v>
      </c>
      <c r="G194" s="214" t="s">
        <v>384</v>
      </c>
      <c r="H194" s="213" t="s">
        <v>298</v>
      </c>
      <c r="I194" s="215">
        <v>0</v>
      </c>
      <c r="J194" s="216"/>
      <c r="K194" s="216"/>
      <c r="L194" s="216"/>
      <c r="M194" s="216"/>
      <c r="N194" s="216"/>
      <c r="O194" s="217"/>
      <c r="P194" s="217"/>
      <c r="Q194" s="217"/>
      <c r="R194" s="217"/>
      <c r="S194" s="218"/>
    </row>
    <row r="195" spans="1:19" ht="15" customHeight="1">
      <c r="A195" s="413">
        <f t="shared" ref="A195:A258" si="3">1+A194</f>
        <v>195</v>
      </c>
      <c r="B195" s="26">
        <v>103</v>
      </c>
      <c r="C195" s="153" t="s">
        <v>717</v>
      </c>
      <c r="D195" s="211" t="s">
        <v>180</v>
      </c>
      <c r="E195" s="212" t="s">
        <v>716</v>
      </c>
      <c r="F195" s="213" t="s">
        <v>723</v>
      </c>
      <c r="G195" s="214" t="s">
        <v>724</v>
      </c>
      <c r="H195" s="213" t="s">
        <v>109</v>
      </c>
      <c r="I195" s="215">
        <v>0</v>
      </c>
      <c r="J195" s="216"/>
      <c r="K195" s="216"/>
      <c r="L195" s="216"/>
      <c r="M195" s="216"/>
      <c r="N195" s="216"/>
      <c r="O195" s="217"/>
      <c r="P195" s="217"/>
      <c r="Q195" s="217"/>
      <c r="R195" s="217"/>
      <c r="S195" s="218" t="s">
        <v>1318</v>
      </c>
    </row>
    <row r="196" spans="1:19" ht="15" customHeight="1">
      <c r="A196" s="413">
        <f t="shared" si="3"/>
        <v>196</v>
      </c>
      <c r="B196" s="26">
        <v>103</v>
      </c>
      <c r="C196" s="153" t="s">
        <v>717</v>
      </c>
      <c r="D196" s="211" t="s">
        <v>180</v>
      </c>
      <c r="E196" s="212" t="s">
        <v>716</v>
      </c>
      <c r="F196" s="213" t="s">
        <v>723</v>
      </c>
      <c r="G196" s="214" t="s">
        <v>725</v>
      </c>
      <c r="H196" s="213" t="s">
        <v>109</v>
      </c>
      <c r="I196" s="215">
        <v>0</v>
      </c>
      <c r="J196" s="216"/>
      <c r="K196" s="216"/>
      <c r="L196" s="216"/>
      <c r="M196" s="216"/>
      <c r="N196" s="216"/>
      <c r="O196" s="217"/>
      <c r="P196" s="217"/>
      <c r="Q196" s="217"/>
      <c r="R196" s="217"/>
      <c r="S196" s="218" t="s">
        <v>1318</v>
      </c>
    </row>
    <row r="197" spans="1:19" ht="15" customHeight="1">
      <c r="A197" s="413">
        <f t="shared" si="3"/>
        <v>197</v>
      </c>
      <c r="B197" s="26">
        <v>103</v>
      </c>
      <c r="C197" s="153" t="s">
        <v>717</v>
      </c>
      <c r="D197" s="211" t="s">
        <v>180</v>
      </c>
      <c r="E197" s="212" t="s">
        <v>327</v>
      </c>
      <c r="F197" s="213" t="s">
        <v>723</v>
      </c>
      <c r="G197" s="214" t="s">
        <v>726</v>
      </c>
      <c r="H197" s="213"/>
      <c r="I197" s="215">
        <v>0</v>
      </c>
      <c r="J197" s="216"/>
      <c r="K197" s="216"/>
      <c r="L197" s="216"/>
      <c r="M197" s="216"/>
      <c r="N197" s="216"/>
      <c r="O197" s="217"/>
      <c r="P197" s="217"/>
      <c r="Q197" s="217"/>
      <c r="R197" s="217"/>
      <c r="S197" s="218" t="s">
        <v>1318</v>
      </c>
    </row>
    <row r="198" spans="1:19" ht="15" customHeight="1">
      <c r="A198" s="413">
        <f t="shared" si="3"/>
        <v>198</v>
      </c>
      <c r="B198" s="26">
        <v>103</v>
      </c>
      <c r="C198" s="153" t="s">
        <v>717</v>
      </c>
      <c r="D198" s="211" t="s">
        <v>180</v>
      </c>
      <c r="E198" s="212" t="s">
        <v>327</v>
      </c>
      <c r="F198" s="213" t="s">
        <v>723</v>
      </c>
      <c r="G198" s="214" t="s">
        <v>727</v>
      </c>
      <c r="H198" s="213"/>
      <c r="I198" s="215">
        <v>0</v>
      </c>
      <c r="J198" s="216"/>
      <c r="K198" s="216"/>
      <c r="L198" s="216"/>
      <c r="M198" s="216"/>
      <c r="N198" s="216"/>
      <c r="O198" s="217"/>
      <c r="P198" s="217"/>
      <c r="Q198" s="217"/>
      <c r="R198" s="217"/>
      <c r="S198" s="218" t="s">
        <v>1318</v>
      </c>
    </row>
    <row r="199" spans="1:19" ht="15" customHeight="1">
      <c r="A199" s="413">
        <f t="shared" si="3"/>
        <v>199</v>
      </c>
      <c r="B199" s="26">
        <v>103</v>
      </c>
      <c r="C199" s="153" t="s">
        <v>717</v>
      </c>
      <c r="D199" s="211" t="s">
        <v>180</v>
      </c>
      <c r="E199" s="212" t="s">
        <v>357</v>
      </c>
      <c r="F199" s="213" t="s">
        <v>718</v>
      </c>
      <c r="G199" s="214" t="s">
        <v>359</v>
      </c>
      <c r="H199" s="213" t="s">
        <v>820</v>
      </c>
      <c r="I199" s="215">
        <v>27</v>
      </c>
      <c r="J199" s="216"/>
      <c r="K199" s="216"/>
      <c r="L199" s="216"/>
      <c r="M199" s="216"/>
      <c r="N199" s="216"/>
      <c r="O199" s="217"/>
      <c r="P199" s="217"/>
      <c r="Q199" s="217"/>
      <c r="R199" s="217"/>
      <c r="S199" s="218" t="s">
        <v>772</v>
      </c>
    </row>
    <row r="200" spans="1:19" ht="15" customHeight="1">
      <c r="A200" s="413">
        <f t="shared" si="3"/>
        <v>200</v>
      </c>
      <c r="B200" s="26">
        <v>103</v>
      </c>
      <c r="C200" s="153" t="s">
        <v>717</v>
      </c>
      <c r="D200" s="211" t="s">
        <v>180</v>
      </c>
      <c r="E200" s="212" t="s">
        <v>357</v>
      </c>
      <c r="F200" s="213" t="s">
        <v>720</v>
      </c>
      <c r="G200" s="214" t="s">
        <v>362</v>
      </c>
      <c r="H200" s="213" t="s">
        <v>174</v>
      </c>
      <c r="I200" s="215">
        <v>0</v>
      </c>
      <c r="J200" s="216"/>
      <c r="K200" s="216"/>
      <c r="L200" s="216"/>
      <c r="M200" s="216"/>
      <c r="N200" s="216"/>
      <c r="O200" s="217"/>
      <c r="P200" s="217"/>
      <c r="Q200" s="217"/>
      <c r="R200" s="217"/>
      <c r="S200" s="218" t="s">
        <v>773</v>
      </c>
    </row>
    <row r="201" spans="1:19" ht="15" customHeight="1">
      <c r="A201" s="413">
        <f t="shared" si="3"/>
        <v>201</v>
      </c>
      <c r="B201" s="26">
        <v>103</v>
      </c>
      <c r="C201" s="153" t="s">
        <v>717</v>
      </c>
      <c r="D201" s="211" t="s">
        <v>180</v>
      </c>
      <c r="E201" s="212" t="s">
        <v>357</v>
      </c>
      <c r="F201" s="213" t="s">
        <v>363</v>
      </c>
      <c r="G201" s="214" t="s">
        <v>361</v>
      </c>
      <c r="H201" s="213" t="s">
        <v>109</v>
      </c>
      <c r="I201" s="215">
        <v>754</v>
      </c>
      <c r="J201" s="216">
        <f>((2.8+1.6+2.7+5.7+1.9+4.8+3.7+1+2.5+4+11.3+6.5+1.9+18.5+1.1+6.8+3.3+3.3+7.3+1+7.3+1.8+1.9+4.8+1.5+28+0.6+3.1+1.9+5.5+4.5+6)*3)-N201</f>
        <v>368.79999999999995</v>
      </c>
      <c r="K201" s="216"/>
      <c r="L201" s="216"/>
      <c r="M201" s="216">
        <f>10+(1.25*3.1)</f>
        <v>13.875</v>
      </c>
      <c r="N201" s="216">
        <f>60+8+15+24</f>
        <v>107</v>
      </c>
      <c r="O201" s="217"/>
      <c r="P201" s="217"/>
      <c r="Q201" s="217">
        <v>580</v>
      </c>
      <c r="R201" s="217"/>
      <c r="S201" s="218" t="s">
        <v>521</v>
      </c>
    </row>
    <row r="202" spans="1:19" ht="15" customHeight="1">
      <c r="A202" s="413">
        <f t="shared" si="3"/>
        <v>202</v>
      </c>
      <c r="B202" s="26">
        <v>103</v>
      </c>
      <c r="C202" s="153" t="s">
        <v>717</v>
      </c>
      <c r="D202" s="211" t="s">
        <v>180</v>
      </c>
      <c r="E202" s="212" t="s">
        <v>357</v>
      </c>
      <c r="F202" s="213" t="s">
        <v>728</v>
      </c>
      <c r="G202" s="214" t="s">
        <v>365</v>
      </c>
      <c r="H202" s="213" t="s">
        <v>174</v>
      </c>
      <c r="I202" s="215">
        <v>25</v>
      </c>
      <c r="J202" s="216"/>
      <c r="K202" s="216"/>
      <c r="L202" s="216"/>
      <c r="M202" s="216"/>
      <c r="N202" s="216"/>
      <c r="O202" s="217"/>
      <c r="P202" s="217"/>
      <c r="Q202" s="217"/>
      <c r="R202" s="217"/>
      <c r="S202" s="218"/>
    </row>
    <row r="203" spans="1:19" ht="15" customHeight="1">
      <c r="A203" s="413">
        <f t="shared" si="3"/>
        <v>203</v>
      </c>
      <c r="B203" s="26">
        <v>103</v>
      </c>
      <c r="C203" s="153" t="s">
        <v>717</v>
      </c>
      <c r="D203" s="211" t="s">
        <v>180</v>
      </c>
      <c r="E203" s="212" t="s">
        <v>357</v>
      </c>
      <c r="F203" s="213" t="s">
        <v>729</v>
      </c>
      <c r="G203" s="214" t="s">
        <v>366</v>
      </c>
      <c r="H203" s="213" t="s">
        <v>19</v>
      </c>
      <c r="I203" s="215">
        <f>((2.5*12.3))*1.3</f>
        <v>39.975000000000001</v>
      </c>
      <c r="J203" s="216">
        <v>5</v>
      </c>
      <c r="K203" s="216"/>
      <c r="L203" s="216"/>
      <c r="M203" s="216"/>
      <c r="N203" s="216">
        <v>37</v>
      </c>
      <c r="O203" s="217"/>
      <c r="P203" s="217"/>
      <c r="Q203" s="217">
        <v>25</v>
      </c>
      <c r="R203" s="217"/>
      <c r="S203" s="218"/>
    </row>
    <row r="204" spans="1:19" ht="15" customHeight="1">
      <c r="A204" s="413">
        <f t="shared" si="3"/>
        <v>204</v>
      </c>
      <c r="B204" s="26">
        <v>103</v>
      </c>
      <c r="C204" s="153" t="s">
        <v>717</v>
      </c>
      <c r="D204" s="211" t="s">
        <v>180</v>
      </c>
      <c r="E204" s="212" t="s">
        <v>357</v>
      </c>
      <c r="F204" s="213" t="s">
        <v>373</v>
      </c>
      <c r="G204" s="214" t="s">
        <v>367</v>
      </c>
      <c r="H204" s="213" t="s">
        <v>174</v>
      </c>
      <c r="I204" s="215">
        <v>22</v>
      </c>
      <c r="J204" s="216"/>
      <c r="K204" s="216"/>
      <c r="L204" s="216"/>
      <c r="M204" s="216"/>
      <c r="N204" s="216"/>
      <c r="O204" s="217"/>
      <c r="P204" s="217"/>
      <c r="Q204" s="217"/>
      <c r="R204" s="217"/>
      <c r="S204" s="218"/>
    </row>
    <row r="205" spans="1:19" ht="15" customHeight="1">
      <c r="A205" s="413">
        <f t="shared" si="3"/>
        <v>205</v>
      </c>
      <c r="B205" s="26">
        <v>103</v>
      </c>
      <c r="C205" s="153" t="s">
        <v>717</v>
      </c>
      <c r="D205" s="211" t="s">
        <v>180</v>
      </c>
      <c r="E205" s="212" t="s">
        <v>357</v>
      </c>
      <c r="F205" s="213" t="s">
        <v>375</v>
      </c>
      <c r="G205" s="214" t="s">
        <v>369</v>
      </c>
      <c r="H205" s="213" t="s">
        <v>19</v>
      </c>
      <c r="I205" s="215">
        <f>((2.9+4.8)*2.8)*1.3</f>
        <v>28.027999999999995</v>
      </c>
      <c r="J205" s="216"/>
      <c r="K205" s="216"/>
      <c r="L205" s="216"/>
      <c r="M205" s="216"/>
      <c r="N205" s="216"/>
      <c r="O205" s="217"/>
      <c r="P205" s="217"/>
      <c r="Q205" s="217"/>
      <c r="R205" s="217"/>
      <c r="S205" s="218"/>
    </row>
    <row r="206" spans="1:19" ht="15" customHeight="1">
      <c r="A206" s="413">
        <f t="shared" si="3"/>
        <v>206</v>
      </c>
      <c r="B206" s="26">
        <v>103</v>
      </c>
      <c r="C206" s="153" t="s">
        <v>717</v>
      </c>
      <c r="D206" s="211" t="s">
        <v>180</v>
      </c>
      <c r="E206" s="212" t="s">
        <v>357</v>
      </c>
      <c r="F206" s="213" t="s">
        <v>373</v>
      </c>
      <c r="G206" s="214" t="s">
        <v>371</v>
      </c>
      <c r="H206" s="213" t="s">
        <v>174</v>
      </c>
      <c r="I206" s="215">
        <v>34</v>
      </c>
      <c r="J206" s="216"/>
      <c r="K206" s="216"/>
      <c r="L206" s="216"/>
      <c r="M206" s="216"/>
      <c r="N206" s="216"/>
      <c r="O206" s="217"/>
      <c r="P206" s="217"/>
      <c r="Q206" s="217"/>
      <c r="R206" s="217"/>
      <c r="S206" s="218"/>
    </row>
    <row r="207" spans="1:19" ht="15" customHeight="1">
      <c r="A207" s="413">
        <f t="shared" si="3"/>
        <v>207</v>
      </c>
      <c r="B207" s="26">
        <v>103</v>
      </c>
      <c r="C207" s="153" t="s">
        <v>717</v>
      </c>
      <c r="D207" s="211" t="s">
        <v>180</v>
      </c>
      <c r="E207" s="212" t="s">
        <v>357</v>
      </c>
      <c r="F207" s="213" t="s">
        <v>373</v>
      </c>
      <c r="G207" s="214" t="s">
        <v>372</v>
      </c>
      <c r="H207" s="213" t="s">
        <v>174</v>
      </c>
      <c r="I207" s="215">
        <v>34</v>
      </c>
      <c r="J207" s="216"/>
      <c r="K207" s="216"/>
      <c r="L207" s="216"/>
      <c r="M207" s="216"/>
      <c r="N207" s="216"/>
      <c r="O207" s="217"/>
      <c r="P207" s="217"/>
      <c r="Q207" s="217"/>
      <c r="R207" s="217"/>
      <c r="S207" s="218"/>
    </row>
    <row r="208" spans="1:19" ht="15" customHeight="1">
      <c r="A208" s="413">
        <f t="shared" si="3"/>
        <v>208</v>
      </c>
      <c r="B208" s="26">
        <v>103</v>
      </c>
      <c r="C208" s="153" t="s">
        <v>717</v>
      </c>
      <c r="D208" s="211" t="s">
        <v>180</v>
      </c>
      <c r="E208" s="212" t="s">
        <v>357</v>
      </c>
      <c r="F208" s="213" t="s">
        <v>373</v>
      </c>
      <c r="G208" s="214" t="s">
        <v>374</v>
      </c>
      <c r="H208" s="213" t="s">
        <v>174</v>
      </c>
      <c r="I208" s="215">
        <v>34</v>
      </c>
      <c r="J208" s="216"/>
      <c r="K208" s="216"/>
      <c r="L208" s="216"/>
      <c r="M208" s="216"/>
      <c r="N208" s="216"/>
      <c r="O208" s="217"/>
      <c r="P208" s="217"/>
      <c r="Q208" s="217"/>
      <c r="R208" s="217"/>
      <c r="S208" s="218"/>
    </row>
    <row r="209" spans="1:19" ht="15" customHeight="1">
      <c r="A209" s="413">
        <f t="shared" si="3"/>
        <v>209</v>
      </c>
      <c r="B209" s="26">
        <v>103</v>
      </c>
      <c r="C209" s="153" t="s">
        <v>717</v>
      </c>
      <c r="D209" s="211" t="s">
        <v>180</v>
      </c>
      <c r="E209" s="212" t="s">
        <v>357</v>
      </c>
      <c r="F209" s="213" t="s">
        <v>363</v>
      </c>
      <c r="G209" s="214" t="s">
        <v>376</v>
      </c>
      <c r="H209" s="213" t="s">
        <v>109</v>
      </c>
      <c r="I209" s="215">
        <f>(140+(5.1*5.4))*1.3</f>
        <v>217.80199999999999</v>
      </c>
      <c r="J209" s="216"/>
      <c r="K209" s="216"/>
      <c r="L209" s="216"/>
      <c r="M209" s="216"/>
      <c r="N209" s="216">
        <f>(12.2+3.3+4.8+1.36+3.5+6+3.4+4.2+6.35+5.4+5.4)*2.7</f>
        <v>150.95700000000002</v>
      </c>
      <c r="O209" s="217"/>
      <c r="P209" s="217"/>
      <c r="Q209" s="217">
        <v>140</v>
      </c>
      <c r="R209" s="217"/>
      <c r="S209" s="218"/>
    </row>
    <row r="210" spans="1:19" ht="15" customHeight="1">
      <c r="A210" s="413">
        <f t="shared" si="3"/>
        <v>210</v>
      </c>
      <c r="B210" s="26">
        <v>103</v>
      </c>
      <c r="C210" s="153" t="s">
        <v>717</v>
      </c>
      <c r="D210" s="211" t="s">
        <v>180</v>
      </c>
      <c r="E210" s="212" t="s">
        <v>357</v>
      </c>
      <c r="F210" s="213" t="s">
        <v>730</v>
      </c>
      <c r="G210" s="214" t="s">
        <v>378</v>
      </c>
      <c r="H210" s="213"/>
      <c r="I210" s="215">
        <v>12</v>
      </c>
      <c r="J210" s="216"/>
      <c r="K210" s="216"/>
      <c r="L210" s="216"/>
      <c r="M210" s="216"/>
      <c r="N210" s="216"/>
      <c r="O210" s="217"/>
      <c r="P210" s="217"/>
      <c r="Q210" s="217"/>
      <c r="R210" s="217"/>
      <c r="S210" s="218" t="s">
        <v>1141</v>
      </c>
    </row>
    <row r="211" spans="1:19" ht="15" customHeight="1">
      <c r="A211" s="413">
        <f t="shared" si="3"/>
        <v>211</v>
      </c>
      <c r="B211" s="26">
        <v>103</v>
      </c>
      <c r="C211" s="153" t="s">
        <v>717</v>
      </c>
      <c r="D211" s="211" t="s">
        <v>180</v>
      </c>
      <c r="E211" s="212" t="s">
        <v>357</v>
      </c>
      <c r="F211" s="213" t="s">
        <v>731</v>
      </c>
      <c r="G211" s="214" t="s">
        <v>732</v>
      </c>
      <c r="H211" s="213"/>
      <c r="I211" s="215">
        <v>16</v>
      </c>
      <c r="J211" s="216"/>
      <c r="K211" s="216">
        <v>27</v>
      </c>
      <c r="L211" s="216"/>
      <c r="M211" s="216"/>
      <c r="N211" s="216"/>
      <c r="O211" s="217"/>
      <c r="P211" s="217"/>
      <c r="Q211" s="217"/>
      <c r="R211" s="217"/>
      <c r="S211" s="218" t="s">
        <v>1142</v>
      </c>
    </row>
    <row r="212" spans="1:19" ht="15" customHeight="1">
      <c r="A212" s="413">
        <f t="shared" si="3"/>
        <v>212</v>
      </c>
      <c r="B212" s="26">
        <v>103</v>
      </c>
      <c r="C212" s="153" t="s">
        <v>717</v>
      </c>
      <c r="D212" s="211" t="s">
        <v>180</v>
      </c>
      <c r="E212" s="212" t="s">
        <v>357</v>
      </c>
      <c r="F212" s="213" t="s">
        <v>722</v>
      </c>
      <c r="G212" s="214" t="s">
        <v>384</v>
      </c>
      <c r="H212" s="213" t="s">
        <v>298</v>
      </c>
      <c r="I212" s="215">
        <v>7.8000000000000007</v>
      </c>
      <c r="J212" s="216"/>
      <c r="K212" s="216"/>
      <c r="L212" s="216"/>
      <c r="M212" s="216"/>
      <c r="N212" s="216"/>
      <c r="O212" s="217"/>
      <c r="P212" s="217"/>
      <c r="Q212" s="217"/>
      <c r="R212" s="217"/>
      <c r="S212" s="218"/>
    </row>
    <row r="213" spans="1:19" ht="15" customHeight="1">
      <c r="A213" s="413">
        <f t="shared" si="3"/>
        <v>213</v>
      </c>
      <c r="B213" s="26">
        <v>103</v>
      </c>
      <c r="C213" s="153" t="s">
        <v>717</v>
      </c>
      <c r="D213" s="211" t="s">
        <v>180</v>
      </c>
      <c r="E213" s="212" t="s">
        <v>357</v>
      </c>
      <c r="F213" s="213" t="s">
        <v>733</v>
      </c>
      <c r="G213" s="214" t="s">
        <v>297</v>
      </c>
      <c r="H213" s="213" t="s">
        <v>298</v>
      </c>
      <c r="I213" s="215">
        <v>7.8000000000000007</v>
      </c>
      <c r="J213" s="216"/>
      <c r="K213" s="216"/>
      <c r="L213" s="216"/>
      <c r="M213" s="216"/>
      <c r="N213" s="216"/>
      <c r="O213" s="217"/>
      <c r="P213" s="217"/>
      <c r="Q213" s="217"/>
      <c r="R213" s="217"/>
      <c r="S213" s="218"/>
    </row>
    <row r="214" spans="1:19" ht="15" customHeight="1">
      <c r="A214" s="413">
        <f t="shared" si="3"/>
        <v>214</v>
      </c>
      <c r="B214" s="26">
        <v>103</v>
      </c>
      <c r="C214" s="153" t="s">
        <v>717</v>
      </c>
      <c r="D214" s="211" t="s">
        <v>180</v>
      </c>
      <c r="E214" s="212" t="s">
        <v>357</v>
      </c>
      <c r="F214" s="213" t="s">
        <v>175</v>
      </c>
      <c r="G214" s="214" t="s">
        <v>390</v>
      </c>
      <c r="H214" s="213" t="s">
        <v>109</v>
      </c>
      <c r="I214" s="215">
        <f>((2*1.5)+(1.8*2.8))*1.3</f>
        <v>10.452</v>
      </c>
      <c r="J214" s="216"/>
      <c r="K214" s="216"/>
      <c r="L214" s="216"/>
      <c r="M214" s="216"/>
      <c r="N214" s="216">
        <f>(1.8+1.3+2+1.5+3.8+2.8)*2.4</f>
        <v>31.679999999999996</v>
      </c>
      <c r="O214" s="217"/>
      <c r="P214" s="217"/>
      <c r="Q214" s="217">
        <v>8</v>
      </c>
      <c r="R214" s="217"/>
      <c r="S214" s="218"/>
    </row>
    <row r="215" spans="1:19" ht="15" customHeight="1">
      <c r="A215" s="413">
        <f t="shared" si="3"/>
        <v>215</v>
      </c>
      <c r="B215" s="26">
        <v>103</v>
      </c>
      <c r="C215" s="153" t="s">
        <v>717</v>
      </c>
      <c r="D215" s="211" t="s">
        <v>180</v>
      </c>
      <c r="E215" s="212" t="s">
        <v>357</v>
      </c>
      <c r="F215" s="213" t="s">
        <v>175</v>
      </c>
      <c r="G215" s="214" t="s">
        <v>389</v>
      </c>
      <c r="H215" s="213" t="s">
        <v>19</v>
      </c>
      <c r="I215" s="215">
        <f>((1.15*8))*1.3</f>
        <v>11.959999999999999</v>
      </c>
      <c r="J215" s="216"/>
      <c r="K215" s="216"/>
      <c r="L215" s="216"/>
      <c r="M215" s="216"/>
      <c r="N215" s="216">
        <f>(8+1.15+8+1.15)*4.15</f>
        <v>75.944999999999993</v>
      </c>
      <c r="O215" s="217"/>
      <c r="P215" s="217"/>
      <c r="Q215" s="217">
        <f>I215</f>
        <v>11.959999999999999</v>
      </c>
      <c r="R215" s="217"/>
      <c r="S215" s="218"/>
    </row>
    <row r="216" spans="1:19" ht="15" customHeight="1">
      <c r="A216" s="413">
        <f t="shared" si="3"/>
        <v>216</v>
      </c>
      <c r="B216" s="26">
        <v>103</v>
      </c>
      <c r="C216" s="153" t="s">
        <v>717</v>
      </c>
      <c r="D216" s="211" t="s">
        <v>180</v>
      </c>
      <c r="E216" s="212" t="s">
        <v>357</v>
      </c>
      <c r="F216" s="213" t="s">
        <v>543</v>
      </c>
      <c r="G216" s="214" t="s">
        <v>392</v>
      </c>
      <c r="H216" s="213" t="s">
        <v>166</v>
      </c>
      <c r="I216" s="215">
        <v>2.8600000000000003</v>
      </c>
      <c r="J216" s="216"/>
      <c r="K216" s="216"/>
      <c r="L216" s="216"/>
      <c r="M216" s="216"/>
      <c r="N216" s="216"/>
      <c r="O216" s="217"/>
      <c r="P216" s="217"/>
      <c r="Q216" s="217"/>
      <c r="R216" s="217"/>
      <c r="S216" s="218"/>
    </row>
    <row r="217" spans="1:19" ht="15" customHeight="1">
      <c r="A217" s="413">
        <f t="shared" si="3"/>
        <v>217</v>
      </c>
      <c r="B217" s="26">
        <v>103</v>
      </c>
      <c r="C217" s="153" t="s">
        <v>717</v>
      </c>
      <c r="D217" s="211" t="s">
        <v>180</v>
      </c>
      <c r="E217" s="212" t="s">
        <v>357</v>
      </c>
      <c r="F217" s="213" t="s">
        <v>175</v>
      </c>
      <c r="G217" s="214" t="s">
        <v>391</v>
      </c>
      <c r="H217" s="213" t="s">
        <v>166</v>
      </c>
      <c r="I217" s="215">
        <v>1.3</v>
      </c>
      <c r="J217" s="216"/>
      <c r="K217" s="216"/>
      <c r="L217" s="216"/>
      <c r="M217" s="216"/>
      <c r="N217" s="216"/>
      <c r="O217" s="217"/>
      <c r="P217" s="217"/>
      <c r="Q217" s="217"/>
      <c r="R217" s="217"/>
      <c r="S217" s="218" t="s">
        <v>229</v>
      </c>
    </row>
    <row r="218" spans="1:19" ht="15" customHeight="1">
      <c r="A218" s="413">
        <f t="shared" si="3"/>
        <v>218</v>
      </c>
      <c r="B218" s="26">
        <v>103</v>
      </c>
      <c r="C218" s="153" t="s">
        <v>717</v>
      </c>
      <c r="D218" s="211" t="s">
        <v>180</v>
      </c>
      <c r="E218" s="212" t="s">
        <v>357</v>
      </c>
      <c r="F218" s="213" t="s">
        <v>175</v>
      </c>
      <c r="G218" s="214" t="s">
        <v>393</v>
      </c>
      <c r="H218" s="213"/>
      <c r="I218" s="215">
        <v>0</v>
      </c>
      <c r="J218" s="216"/>
      <c r="K218" s="216"/>
      <c r="L218" s="216"/>
      <c r="M218" s="216"/>
      <c r="N218" s="216"/>
      <c r="O218" s="217"/>
      <c r="P218" s="217"/>
      <c r="Q218" s="217"/>
      <c r="R218" s="217"/>
      <c r="S218" s="218" t="s">
        <v>1318</v>
      </c>
    </row>
    <row r="219" spans="1:19" ht="15" customHeight="1">
      <c r="A219" s="413">
        <f t="shared" si="3"/>
        <v>219</v>
      </c>
      <c r="B219" s="26">
        <v>103</v>
      </c>
      <c r="C219" s="153" t="s">
        <v>717</v>
      </c>
      <c r="D219" s="211" t="s">
        <v>180</v>
      </c>
      <c r="E219" s="212" t="s">
        <v>357</v>
      </c>
      <c r="F219" s="213" t="s">
        <v>175</v>
      </c>
      <c r="G219" s="214" t="s">
        <v>394</v>
      </c>
      <c r="H219" s="213" t="s">
        <v>44</v>
      </c>
      <c r="I219" s="215">
        <f>(7.1*2.8)*1.3</f>
        <v>25.844000000000001</v>
      </c>
      <c r="J219" s="216"/>
      <c r="K219" s="216"/>
      <c r="L219" s="216"/>
      <c r="M219" s="216"/>
      <c r="N219" s="216">
        <f>(7.1+2.8+7.1+2.8)*2.25</f>
        <v>44.550000000000004</v>
      </c>
      <c r="O219" s="217"/>
      <c r="P219" s="217"/>
      <c r="Q219" s="217">
        <v>19.899999999999999</v>
      </c>
      <c r="R219" s="217"/>
      <c r="S219" s="218"/>
    </row>
    <row r="220" spans="1:19" ht="15" customHeight="1">
      <c r="A220" s="413">
        <f t="shared" si="3"/>
        <v>220</v>
      </c>
      <c r="B220" s="26">
        <v>103</v>
      </c>
      <c r="C220" s="153" t="s">
        <v>717</v>
      </c>
      <c r="D220" s="211" t="s">
        <v>180</v>
      </c>
      <c r="E220" s="212" t="s">
        <v>357</v>
      </c>
      <c r="F220" s="213" t="s">
        <v>543</v>
      </c>
      <c r="G220" s="214" t="s">
        <v>397</v>
      </c>
      <c r="H220" s="213" t="s">
        <v>166</v>
      </c>
      <c r="I220" s="215">
        <v>7.8000000000000007</v>
      </c>
      <c r="J220" s="216"/>
      <c r="K220" s="216"/>
      <c r="L220" s="216"/>
      <c r="M220" s="216"/>
      <c r="N220" s="216"/>
      <c r="O220" s="217"/>
      <c r="P220" s="217"/>
      <c r="Q220" s="217"/>
      <c r="R220" s="217"/>
      <c r="S220" s="218"/>
    </row>
    <row r="221" spans="1:19" ht="15" customHeight="1">
      <c r="A221" s="413">
        <f t="shared" si="3"/>
        <v>221</v>
      </c>
      <c r="B221" s="26">
        <v>103</v>
      </c>
      <c r="C221" s="153" t="s">
        <v>717</v>
      </c>
      <c r="D221" s="211" t="s">
        <v>180</v>
      </c>
      <c r="E221" s="212" t="s">
        <v>357</v>
      </c>
      <c r="F221" s="213" t="s">
        <v>175</v>
      </c>
      <c r="G221" s="214" t="s">
        <v>735</v>
      </c>
      <c r="H221" s="213" t="s">
        <v>44</v>
      </c>
      <c r="I221" s="215">
        <v>3.9000000000000004</v>
      </c>
      <c r="J221" s="216"/>
      <c r="K221" s="216"/>
      <c r="L221" s="216"/>
      <c r="M221" s="216"/>
      <c r="N221" s="216">
        <f>(3.5+2+3.5+2+3.5)*4</f>
        <v>58</v>
      </c>
      <c r="O221" s="217"/>
      <c r="P221" s="217"/>
      <c r="Q221" s="217">
        <v>7</v>
      </c>
      <c r="R221" s="217"/>
      <c r="S221" s="218"/>
    </row>
    <row r="222" spans="1:19" ht="15" customHeight="1">
      <c r="A222" s="413">
        <f t="shared" si="3"/>
        <v>222</v>
      </c>
      <c r="B222" s="26">
        <v>103</v>
      </c>
      <c r="C222" s="153" t="s">
        <v>717</v>
      </c>
      <c r="D222" s="211" t="s">
        <v>180</v>
      </c>
      <c r="E222" s="212" t="s">
        <v>357</v>
      </c>
      <c r="F222" s="213" t="s">
        <v>736</v>
      </c>
      <c r="G222" s="214" t="s">
        <v>737</v>
      </c>
      <c r="H222" s="213" t="s">
        <v>166</v>
      </c>
      <c r="I222" s="215">
        <v>4.55</v>
      </c>
      <c r="J222" s="216"/>
      <c r="K222" s="216"/>
      <c r="L222" s="216"/>
      <c r="M222" s="216"/>
      <c r="N222" s="216"/>
      <c r="O222" s="217"/>
      <c r="P222" s="217"/>
      <c r="Q222" s="217"/>
      <c r="R222" s="217"/>
      <c r="S222" s="218"/>
    </row>
    <row r="223" spans="1:19" ht="15" customHeight="1">
      <c r="A223" s="413">
        <f t="shared" si="3"/>
        <v>223</v>
      </c>
      <c r="B223" s="26">
        <v>103</v>
      </c>
      <c r="C223" s="153" t="s">
        <v>717</v>
      </c>
      <c r="D223" s="211" t="s">
        <v>180</v>
      </c>
      <c r="E223" s="212" t="s">
        <v>357</v>
      </c>
      <c r="F223" s="213" t="s">
        <v>736</v>
      </c>
      <c r="G223" s="214" t="s">
        <v>738</v>
      </c>
      <c r="H223" s="213" t="s">
        <v>166</v>
      </c>
      <c r="I223" s="215">
        <v>6.5</v>
      </c>
      <c r="J223" s="216"/>
      <c r="K223" s="216"/>
      <c r="L223" s="216"/>
      <c r="M223" s="216"/>
      <c r="N223" s="216"/>
      <c r="O223" s="217"/>
      <c r="P223" s="217"/>
      <c r="Q223" s="217"/>
      <c r="R223" s="217"/>
      <c r="S223" s="218"/>
    </row>
    <row r="224" spans="1:19" ht="15" customHeight="1">
      <c r="A224" s="413">
        <f t="shared" si="3"/>
        <v>224</v>
      </c>
      <c r="B224" s="26">
        <v>103</v>
      </c>
      <c r="C224" s="153" t="s">
        <v>717</v>
      </c>
      <c r="D224" s="211" t="s">
        <v>180</v>
      </c>
      <c r="E224" s="212" t="s">
        <v>357</v>
      </c>
      <c r="F224" s="213" t="s">
        <v>175</v>
      </c>
      <c r="G224" s="214" t="s">
        <v>739</v>
      </c>
      <c r="H224" s="213" t="s">
        <v>109</v>
      </c>
      <c r="I224" s="215">
        <f>((3.25*1.9)-(0.4*0.3))*1.3</f>
        <v>7.8715000000000002</v>
      </c>
      <c r="J224" s="216"/>
      <c r="K224" s="216"/>
      <c r="L224" s="216">
        <f>(3.25+1.9+3.25+0.3+0.3+1.9)*2.7</f>
        <v>29.430000000000007</v>
      </c>
      <c r="M224" s="216"/>
      <c r="N224" s="216"/>
      <c r="O224" s="217"/>
      <c r="P224" s="217"/>
      <c r="Q224" s="217">
        <v>6.1</v>
      </c>
      <c r="R224" s="217"/>
      <c r="S224" s="218" t="s">
        <v>521</v>
      </c>
    </row>
    <row r="225" spans="1:19" ht="15" customHeight="1">
      <c r="A225" s="413">
        <f t="shared" si="3"/>
        <v>225</v>
      </c>
      <c r="B225" s="26">
        <v>103</v>
      </c>
      <c r="C225" s="153" t="s">
        <v>717</v>
      </c>
      <c r="D225" s="211" t="s">
        <v>180</v>
      </c>
      <c r="E225" s="212" t="s">
        <v>357</v>
      </c>
      <c r="F225" s="213" t="s">
        <v>736</v>
      </c>
      <c r="G225" s="214" t="s">
        <v>396</v>
      </c>
      <c r="H225" s="213" t="s">
        <v>166</v>
      </c>
      <c r="I225" s="215">
        <v>8.254999999999999</v>
      </c>
      <c r="J225" s="216"/>
      <c r="K225" s="216"/>
      <c r="L225" s="216"/>
      <c r="M225" s="216"/>
      <c r="N225" s="216"/>
      <c r="O225" s="217"/>
      <c r="P225" s="217"/>
      <c r="Q225" s="217"/>
      <c r="R225" s="217"/>
      <c r="S225" s="218"/>
    </row>
    <row r="226" spans="1:19" ht="15" customHeight="1">
      <c r="A226" s="413">
        <f t="shared" si="3"/>
        <v>226</v>
      </c>
      <c r="B226" s="26">
        <v>103</v>
      </c>
      <c r="C226" s="153" t="s">
        <v>717</v>
      </c>
      <c r="D226" s="211" t="s">
        <v>180</v>
      </c>
      <c r="E226" s="212" t="s">
        <v>357</v>
      </c>
      <c r="F226" s="213" t="s">
        <v>422</v>
      </c>
      <c r="G226" s="214" t="s">
        <v>423</v>
      </c>
      <c r="H226" s="213" t="s">
        <v>109</v>
      </c>
      <c r="I226" s="215">
        <v>45.5</v>
      </c>
      <c r="J226" s="216"/>
      <c r="K226" s="216"/>
      <c r="L226" s="216"/>
      <c r="M226" s="216"/>
      <c r="N226" s="216">
        <v>90</v>
      </c>
      <c r="O226" s="217"/>
      <c r="P226" s="217"/>
      <c r="Q226" s="217">
        <v>35</v>
      </c>
      <c r="R226" s="217"/>
      <c r="S226" s="218"/>
    </row>
    <row r="227" spans="1:19" ht="15" customHeight="1">
      <c r="A227" s="413">
        <f t="shared" si="3"/>
        <v>227</v>
      </c>
      <c r="B227" s="26">
        <v>103</v>
      </c>
      <c r="C227" s="153" t="s">
        <v>717</v>
      </c>
      <c r="D227" s="211" t="s">
        <v>180</v>
      </c>
      <c r="E227" s="212" t="s">
        <v>357</v>
      </c>
      <c r="F227" s="213" t="s">
        <v>177</v>
      </c>
      <c r="G227" s="214" t="s">
        <v>425</v>
      </c>
      <c r="H227" s="213"/>
      <c r="I227" s="215">
        <v>0</v>
      </c>
      <c r="J227" s="216"/>
      <c r="K227" s="216"/>
      <c r="L227" s="216"/>
      <c r="M227" s="216"/>
      <c r="N227" s="216"/>
      <c r="O227" s="217"/>
      <c r="P227" s="217"/>
      <c r="Q227" s="217"/>
      <c r="R227" s="217"/>
      <c r="S227" s="218" t="s">
        <v>1318</v>
      </c>
    </row>
    <row r="228" spans="1:19" ht="15" customHeight="1">
      <c r="A228" s="413">
        <f t="shared" si="3"/>
        <v>228</v>
      </c>
      <c r="B228" s="26">
        <v>103</v>
      </c>
      <c r="C228" s="153" t="s">
        <v>717</v>
      </c>
      <c r="D228" s="211" t="s">
        <v>180</v>
      </c>
      <c r="E228" s="212" t="s">
        <v>357</v>
      </c>
      <c r="F228" s="213" t="s">
        <v>439</v>
      </c>
      <c r="G228" s="214" t="s">
        <v>740</v>
      </c>
      <c r="H228" s="213" t="s">
        <v>44</v>
      </c>
      <c r="I228" s="215">
        <v>13</v>
      </c>
      <c r="J228" s="216"/>
      <c r="K228" s="216"/>
      <c r="L228" s="216"/>
      <c r="M228" s="216"/>
      <c r="N228" s="216">
        <v>36</v>
      </c>
      <c r="O228" s="217"/>
      <c r="P228" s="217"/>
      <c r="Q228" s="217">
        <v>10</v>
      </c>
      <c r="R228" s="217"/>
      <c r="S228" s="218" t="s">
        <v>521</v>
      </c>
    </row>
    <row r="229" spans="1:19" ht="15" customHeight="1">
      <c r="A229" s="413">
        <f t="shared" si="3"/>
        <v>229</v>
      </c>
      <c r="B229" s="26">
        <v>103</v>
      </c>
      <c r="C229" s="153" t="s">
        <v>717</v>
      </c>
      <c r="D229" s="211" t="s">
        <v>180</v>
      </c>
      <c r="E229" s="212" t="s">
        <v>357</v>
      </c>
      <c r="F229" s="213" t="s">
        <v>41</v>
      </c>
      <c r="G229" s="214" t="s">
        <v>441</v>
      </c>
      <c r="H229" s="213" t="s">
        <v>109</v>
      </c>
      <c r="I229" s="215">
        <f>((4.3*2.5)+(3.5*2))*1.3</f>
        <v>23.074999999999999</v>
      </c>
      <c r="J229" s="216">
        <v>1</v>
      </c>
      <c r="K229" s="216"/>
      <c r="L229" s="216"/>
      <c r="M229" s="216"/>
      <c r="N229" s="216">
        <f>(4.3+2.5+1.75+2+3.5+4.8)*4.2</f>
        <v>79.170000000000016</v>
      </c>
      <c r="O229" s="217"/>
      <c r="P229" s="217"/>
      <c r="Q229" s="217">
        <f>I229</f>
        <v>23.074999999999999</v>
      </c>
      <c r="R229" s="217"/>
      <c r="S229" s="218"/>
    </row>
    <row r="230" spans="1:19" ht="15" customHeight="1">
      <c r="A230" s="413">
        <f t="shared" si="3"/>
        <v>230</v>
      </c>
      <c r="B230" s="26">
        <v>103</v>
      </c>
      <c r="C230" s="153" t="s">
        <v>717</v>
      </c>
      <c r="D230" s="211" t="s">
        <v>180</v>
      </c>
      <c r="E230" s="212" t="s">
        <v>357</v>
      </c>
      <c r="F230" s="213" t="s">
        <v>41</v>
      </c>
      <c r="G230" s="214" t="s">
        <v>443</v>
      </c>
      <c r="H230" s="213" t="s">
        <v>109</v>
      </c>
      <c r="I230" s="215">
        <f>(2*3.5)*1.3</f>
        <v>9.1</v>
      </c>
      <c r="J230" s="216"/>
      <c r="K230" s="216"/>
      <c r="L230" s="216"/>
      <c r="M230" s="216"/>
      <c r="N230" s="216">
        <f>(3.5+2+3.5+2)*3.6</f>
        <v>39.6</v>
      </c>
      <c r="O230" s="217"/>
      <c r="P230" s="217"/>
      <c r="Q230" s="217">
        <f>I230</f>
        <v>9.1</v>
      </c>
      <c r="R230" s="217"/>
      <c r="S230" s="218"/>
    </row>
    <row r="231" spans="1:19" ht="15" customHeight="1">
      <c r="A231" s="413">
        <f t="shared" si="3"/>
        <v>231</v>
      </c>
      <c r="B231" s="26">
        <v>103</v>
      </c>
      <c r="C231" s="153" t="s">
        <v>717</v>
      </c>
      <c r="D231" s="211" t="s">
        <v>180</v>
      </c>
      <c r="E231" s="212" t="s">
        <v>357</v>
      </c>
      <c r="F231" s="213" t="s">
        <v>40</v>
      </c>
      <c r="G231" s="214" t="s">
        <v>445</v>
      </c>
      <c r="H231" s="213" t="s">
        <v>109</v>
      </c>
      <c r="I231" s="215">
        <f>(4*3.9)*1.3</f>
        <v>20.28</v>
      </c>
      <c r="J231" s="216"/>
      <c r="K231" s="216"/>
      <c r="L231" s="216">
        <f>(4+3.9+4+3.9)*3.1</f>
        <v>48.980000000000004</v>
      </c>
      <c r="M231" s="216"/>
      <c r="N231" s="216"/>
      <c r="O231" s="217"/>
      <c r="P231" s="217"/>
      <c r="Q231" s="217">
        <f>I231</f>
        <v>20.28</v>
      </c>
      <c r="R231" s="217"/>
      <c r="S231" s="218" t="s">
        <v>521</v>
      </c>
    </row>
    <row r="232" spans="1:19" ht="15" customHeight="1">
      <c r="A232" s="413">
        <f t="shared" si="3"/>
        <v>232</v>
      </c>
      <c r="B232" s="26">
        <v>103</v>
      </c>
      <c r="C232" s="153" t="s">
        <v>717</v>
      </c>
      <c r="D232" s="211" t="s">
        <v>180</v>
      </c>
      <c r="E232" s="212" t="s">
        <v>357</v>
      </c>
      <c r="F232" s="213" t="s">
        <v>446</v>
      </c>
      <c r="G232" s="214" t="s">
        <v>447</v>
      </c>
      <c r="H232" s="213"/>
      <c r="I232" s="215">
        <v>0</v>
      </c>
      <c r="J232" s="216"/>
      <c r="K232" s="216"/>
      <c r="L232" s="216"/>
      <c r="M232" s="216"/>
      <c r="N232" s="216"/>
      <c r="O232" s="217"/>
      <c r="P232" s="217"/>
      <c r="Q232" s="217"/>
      <c r="R232" s="217"/>
      <c r="S232" s="218" t="s">
        <v>1318</v>
      </c>
    </row>
    <row r="233" spans="1:19" ht="15" customHeight="1">
      <c r="A233" s="413">
        <f t="shared" si="3"/>
        <v>233</v>
      </c>
      <c r="B233" s="26">
        <v>103</v>
      </c>
      <c r="C233" s="153" t="s">
        <v>717</v>
      </c>
      <c r="D233" s="211" t="s">
        <v>180</v>
      </c>
      <c r="E233" s="212" t="s">
        <v>357</v>
      </c>
      <c r="F233" s="213" t="s">
        <v>446</v>
      </c>
      <c r="G233" s="214" t="s">
        <v>448</v>
      </c>
      <c r="H233" s="213"/>
      <c r="I233" s="215">
        <v>0</v>
      </c>
      <c r="J233" s="216"/>
      <c r="K233" s="216"/>
      <c r="L233" s="216"/>
      <c r="M233" s="216"/>
      <c r="N233" s="216"/>
      <c r="O233" s="217"/>
      <c r="P233" s="217"/>
      <c r="Q233" s="217"/>
      <c r="R233" s="217"/>
      <c r="S233" s="218" t="s">
        <v>1318</v>
      </c>
    </row>
    <row r="234" spans="1:19" ht="15" customHeight="1">
      <c r="A234" s="413">
        <f t="shared" si="3"/>
        <v>234</v>
      </c>
      <c r="B234" s="26">
        <v>103</v>
      </c>
      <c r="C234" s="153" t="s">
        <v>717</v>
      </c>
      <c r="D234" s="211" t="s">
        <v>180</v>
      </c>
      <c r="E234" s="212" t="s">
        <v>357</v>
      </c>
      <c r="F234" s="213" t="s">
        <v>446</v>
      </c>
      <c r="G234" s="214" t="s">
        <v>449</v>
      </c>
      <c r="H234" s="213"/>
      <c r="I234" s="215">
        <v>0</v>
      </c>
      <c r="J234" s="216"/>
      <c r="K234" s="216"/>
      <c r="L234" s="216"/>
      <c r="M234" s="216"/>
      <c r="N234" s="216"/>
      <c r="O234" s="217"/>
      <c r="P234" s="217"/>
      <c r="Q234" s="217"/>
      <c r="R234" s="217"/>
      <c r="S234" s="218" t="s">
        <v>1318</v>
      </c>
    </row>
    <row r="235" spans="1:19" ht="15" customHeight="1">
      <c r="A235" s="413">
        <f t="shared" si="3"/>
        <v>235</v>
      </c>
      <c r="B235" s="26">
        <v>103</v>
      </c>
      <c r="C235" s="153" t="s">
        <v>717</v>
      </c>
      <c r="D235" s="211" t="s">
        <v>180</v>
      </c>
      <c r="E235" s="212" t="s">
        <v>357</v>
      </c>
      <c r="F235" s="213" t="s">
        <v>446</v>
      </c>
      <c r="G235" s="214" t="s">
        <v>450</v>
      </c>
      <c r="H235" s="213"/>
      <c r="I235" s="215">
        <v>0</v>
      </c>
      <c r="J235" s="216"/>
      <c r="K235" s="216"/>
      <c r="L235" s="216"/>
      <c r="M235" s="216"/>
      <c r="N235" s="216"/>
      <c r="O235" s="217"/>
      <c r="P235" s="217"/>
      <c r="Q235" s="217"/>
      <c r="R235" s="217"/>
      <c r="S235" s="218" t="s">
        <v>1318</v>
      </c>
    </row>
    <row r="236" spans="1:19" ht="15" customHeight="1">
      <c r="A236" s="413">
        <f t="shared" si="3"/>
        <v>236</v>
      </c>
      <c r="B236" s="26">
        <v>103</v>
      </c>
      <c r="C236" s="153" t="s">
        <v>717</v>
      </c>
      <c r="D236" s="211" t="s">
        <v>180</v>
      </c>
      <c r="E236" s="212" t="s">
        <v>357</v>
      </c>
      <c r="F236" s="213" t="s">
        <v>446</v>
      </c>
      <c r="G236" s="214" t="s">
        <v>451</v>
      </c>
      <c r="H236" s="213"/>
      <c r="I236" s="215">
        <v>0</v>
      </c>
      <c r="J236" s="216"/>
      <c r="K236" s="216"/>
      <c r="L236" s="216"/>
      <c r="M236" s="216"/>
      <c r="N236" s="216"/>
      <c r="O236" s="217"/>
      <c r="P236" s="217"/>
      <c r="Q236" s="217"/>
      <c r="R236" s="217"/>
      <c r="S236" s="218" t="s">
        <v>1318</v>
      </c>
    </row>
    <row r="237" spans="1:19" ht="15" customHeight="1">
      <c r="A237" s="413">
        <f t="shared" si="3"/>
        <v>237</v>
      </c>
      <c r="B237" s="26">
        <v>103</v>
      </c>
      <c r="C237" s="153" t="s">
        <v>717</v>
      </c>
      <c r="D237" s="211" t="s">
        <v>180</v>
      </c>
      <c r="E237" s="212" t="s">
        <v>357</v>
      </c>
      <c r="F237" s="213" t="s">
        <v>446</v>
      </c>
      <c r="G237" s="214" t="s">
        <v>452</v>
      </c>
      <c r="H237" s="213"/>
      <c r="I237" s="215">
        <v>0</v>
      </c>
      <c r="J237" s="216"/>
      <c r="K237" s="216"/>
      <c r="L237" s="216"/>
      <c r="M237" s="216"/>
      <c r="N237" s="216"/>
      <c r="O237" s="217"/>
      <c r="P237" s="217"/>
      <c r="Q237" s="217"/>
      <c r="R237" s="217"/>
      <c r="S237" s="218" t="s">
        <v>1318</v>
      </c>
    </row>
    <row r="238" spans="1:19" ht="15" customHeight="1">
      <c r="A238" s="413">
        <f t="shared" si="3"/>
        <v>238</v>
      </c>
      <c r="B238" s="26">
        <v>103</v>
      </c>
      <c r="C238" s="153" t="s">
        <v>717</v>
      </c>
      <c r="D238" s="211" t="s">
        <v>180</v>
      </c>
      <c r="E238" s="212" t="s">
        <v>357</v>
      </c>
      <c r="F238" s="213" t="s">
        <v>446</v>
      </c>
      <c r="G238" s="214" t="s">
        <v>453</v>
      </c>
      <c r="H238" s="213"/>
      <c r="I238" s="215">
        <v>0</v>
      </c>
      <c r="J238" s="216"/>
      <c r="K238" s="216"/>
      <c r="L238" s="216"/>
      <c r="M238" s="216"/>
      <c r="N238" s="216"/>
      <c r="O238" s="217"/>
      <c r="P238" s="217"/>
      <c r="Q238" s="217"/>
      <c r="R238" s="217"/>
      <c r="S238" s="218" t="s">
        <v>1318</v>
      </c>
    </row>
    <row r="239" spans="1:19" ht="15" customHeight="1">
      <c r="A239" s="413">
        <f t="shared" si="3"/>
        <v>239</v>
      </c>
      <c r="B239" s="26">
        <v>103</v>
      </c>
      <c r="C239" s="153" t="s">
        <v>717</v>
      </c>
      <c r="D239" s="211" t="s">
        <v>180</v>
      </c>
      <c r="E239" s="212" t="s">
        <v>357</v>
      </c>
      <c r="F239" s="213" t="s">
        <v>446</v>
      </c>
      <c r="G239" s="214" t="s">
        <v>454</v>
      </c>
      <c r="H239" s="213"/>
      <c r="I239" s="215">
        <v>0</v>
      </c>
      <c r="J239" s="216"/>
      <c r="K239" s="216"/>
      <c r="L239" s="216"/>
      <c r="M239" s="216"/>
      <c r="N239" s="216"/>
      <c r="O239" s="217"/>
      <c r="P239" s="217"/>
      <c r="Q239" s="217"/>
      <c r="R239" s="217"/>
      <c r="S239" s="218" t="s">
        <v>1318</v>
      </c>
    </row>
    <row r="240" spans="1:19" ht="15" customHeight="1">
      <c r="A240" s="413">
        <f t="shared" si="3"/>
        <v>240</v>
      </c>
      <c r="B240" s="26">
        <v>103</v>
      </c>
      <c r="C240" s="153" t="s">
        <v>717</v>
      </c>
      <c r="D240" s="211" t="s">
        <v>180</v>
      </c>
      <c r="E240" s="212" t="s">
        <v>357</v>
      </c>
      <c r="F240" s="213" t="s">
        <v>446</v>
      </c>
      <c r="G240" s="214" t="s">
        <v>456</v>
      </c>
      <c r="H240" s="213"/>
      <c r="I240" s="215">
        <v>0</v>
      </c>
      <c r="J240" s="216"/>
      <c r="K240" s="216"/>
      <c r="L240" s="216"/>
      <c r="M240" s="216"/>
      <c r="N240" s="216"/>
      <c r="O240" s="217"/>
      <c r="P240" s="217"/>
      <c r="Q240" s="217"/>
      <c r="R240" s="217"/>
      <c r="S240" s="218" t="s">
        <v>1318</v>
      </c>
    </row>
    <row r="241" spans="1:19" ht="15" customHeight="1">
      <c r="A241" s="413">
        <f t="shared" si="3"/>
        <v>241</v>
      </c>
      <c r="B241" s="26">
        <v>103</v>
      </c>
      <c r="C241" s="153" t="s">
        <v>717</v>
      </c>
      <c r="D241" s="211" t="s">
        <v>180</v>
      </c>
      <c r="E241" s="212" t="s">
        <v>357</v>
      </c>
      <c r="F241" s="213" t="s">
        <v>446</v>
      </c>
      <c r="G241" s="214" t="s">
        <v>458</v>
      </c>
      <c r="H241" s="213"/>
      <c r="I241" s="215">
        <v>0</v>
      </c>
      <c r="J241" s="216"/>
      <c r="K241" s="216"/>
      <c r="L241" s="216"/>
      <c r="M241" s="216"/>
      <c r="N241" s="216"/>
      <c r="O241" s="217"/>
      <c r="P241" s="217"/>
      <c r="Q241" s="217"/>
      <c r="R241" s="217"/>
      <c r="S241" s="218" t="s">
        <v>1318</v>
      </c>
    </row>
    <row r="242" spans="1:19" ht="15" customHeight="1">
      <c r="A242" s="413">
        <f t="shared" si="3"/>
        <v>242</v>
      </c>
      <c r="B242" s="26">
        <v>103</v>
      </c>
      <c r="C242" s="153" t="s">
        <v>717</v>
      </c>
      <c r="D242" s="211" t="s">
        <v>180</v>
      </c>
      <c r="E242" s="212" t="s">
        <v>357</v>
      </c>
      <c r="F242" s="213" t="s">
        <v>446</v>
      </c>
      <c r="G242" s="214" t="s">
        <v>460</v>
      </c>
      <c r="H242" s="213" t="s">
        <v>318</v>
      </c>
      <c r="I242" s="215">
        <v>6</v>
      </c>
      <c r="J242" s="216">
        <v>1.5</v>
      </c>
      <c r="K242" s="216"/>
      <c r="L242" s="216"/>
      <c r="M242" s="216"/>
      <c r="N242" s="216">
        <v>24</v>
      </c>
      <c r="O242" s="217"/>
      <c r="P242" s="217"/>
      <c r="Q242" s="217"/>
      <c r="R242" s="217">
        <v>6</v>
      </c>
      <c r="S242" s="218" t="s">
        <v>1319</v>
      </c>
    </row>
    <row r="243" spans="1:19" ht="15" customHeight="1">
      <c r="A243" s="413">
        <f t="shared" si="3"/>
        <v>243</v>
      </c>
      <c r="B243" s="26">
        <v>103</v>
      </c>
      <c r="C243" s="153" t="s">
        <v>717</v>
      </c>
      <c r="D243" s="211" t="s">
        <v>180</v>
      </c>
      <c r="E243" s="212" t="s">
        <v>357</v>
      </c>
      <c r="F243" s="213" t="s">
        <v>446</v>
      </c>
      <c r="G243" s="214" t="s">
        <v>742</v>
      </c>
      <c r="H243" s="213" t="s">
        <v>19</v>
      </c>
      <c r="I243" s="215">
        <v>2</v>
      </c>
      <c r="J243" s="216"/>
      <c r="K243" s="216"/>
      <c r="L243" s="216">
        <v>12</v>
      </c>
      <c r="M243" s="216"/>
      <c r="N243" s="216"/>
      <c r="O243" s="217"/>
      <c r="P243" s="217"/>
      <c r="Q243" s="217"/>
      <c r="R243" s="217"/>
      <c r="S243" s="218" t="s">
        <v>1319</v>
      </c>
    </row>
    <row r="244" spans="1:19" ht="15" customHeight="1">
      <c r="A244" s="413">
        <f t="shared" si="3"/>
        <v>244</v>
      </c>
      <c r="B244" s="26">
        <v>103</v>
      </c>
      <c r="C244" s="153" t="s">
        <v>717</v>
      </c>
      <c r="D244" s="211" t="s">
        <v>180</v>
      </c>
      <c r="E244" s="212" t="s">
        <v>357</v>
      </c>
      <c r="F244" s="213" t="s">
        <v>446</v>
      </c>
      <c r="G244" s="214" t="s">
        <v>743</v>
      </c>
      <c r="H244" s="213" t="s">
        <v>109</v>
      </c>
      <c r="I244" s="215">
        <v>1</v>
      </c>
      <c r="J244" s="216">
        <v>10</v>
      </c>
      <c r="K244" s="216"/>
      <c r="L244" s="216"/>
      <c r="M244" s="216"/>
      <c r="N244" s="216"/>
      <c r="O244" s="217"/>
      <c r="P244" s="217"/>
      <c r="Q244" s="217"/>
      <c r="R244" s="217">
        <v>1</v>
      </c>
      <c r="S244" s="218" t="s">
        <v>1319</v>
      </c>
    </row>
    <row r="245" spans="1:19" ht="15" customHeight="1">
      <c r="A245" s="413">
        <f t="shared" si="3"/>
        <v>245</v>
      </c>
      <c r="B245" s="26">
        <v>103</v>
      </c>
      <c r="C245" s="153" t="s">
        <v>717</v>
      </c>
      <c r="D245" s="211" t="s">
        <v>180</v>
      </c>
      <c r="E245" s="212" t="s">
        <v>357</v>
      </c>
      <c r="F245" s="213" t="s">
        <v>446</v>
      </c>
      <c r="G245" s="214" t="s">
        <v>744</v>
      </c>
      <c r="H245" s="213" t="s">
        <v>109</v>
      </c>
      <c r="I245" s="215">
        <v>1</v>
      </c>
      <c r="J245" s="216">
        <v>10</v>
      </c>
      <c r="K245" s="216"/>
      <c r="L245" s="216"/>
      <c r="M245" s="216"/>
      <c r="N245" s="216"/>
      <c r="O245" s="217"/>
      <c r="P245" s="217"/>
      <c r="Q245" s="217"/>
      <c r="R245" s="217">
        <v>1</v>
      </c>
      <c r="S245" s="218" t="s">
        <v>1319</v>
      </c>
    </row>
    <row r="246" spans="1:19" ht="15" customHeight="1">
      <c r="A246" s="413">
        <f t="shared" si="3"/>
        <v>246</v>
      </c>
      <c r="B246" s="26">
        <v>103</v>
      </c>
      <c r="C246" s="153" t="s">
        <v>717</v>
      </c>
      <c r="D246" s="211" t="s">
        <v>180</v>
      </c>
      <c r="E246" s="212" t="s">
        <v>357</v>
      </c>
      <c r="F246" s="213" t="s">
        <v>446</v>
      </c>
      <c r="G246" s="214" t="s">
        <v>745</v>
      </c>
      <c r="H246" s="213"/>
      <c r="I246" s="215">
        <v>0</v>
      </c>
      <c r="J246" s="216"/>
      <c r="K246" s="216"/>
      <c r="L246" s="216"/>
      <c r="M246" s="216"/>
      <c r="N246" s="216"/>
      <c r="O246" s="217"/>
      <c r="P246" s="217"/>
      <c r="Q246" s="217"/>
      <c r="R246" s="217"/>
      <c r="S246" s="218" t="s">
        <v>1318</v>
      </c>
    </row>
    <row r="247" spans="1:19" ht="15" customHeight="1">
      <c r="A247" s="413">
        <f t="shared" si="3"/>
        <v>247</v>
      </c>
      <c r="B247" s="26">
        <v>103</v>
      </c>
      <c r="C247" s="153" t="s">
        <v>717</v>
      </c>
      <c r="D247" s="211" t="s">
        <v>180</v>
      </c>
      <c r="E247" s="212" t="s">
        <v>357</v>
      </c>
      <c r="F247" s="213" t="s">
        <v>446</v>
      </c>
      <c r="G247" s="214" t="s">
        <v>746</v>
      </c>
      <c r="H247" s="213" t="s">
        <v>109</v>
      </c>
      <c r="I247" s="215">
        <f>(1.4*1.2)*1.3</f>
        <v>2.1840000000000002</v>
      </c>
      <c r="J247" s="216">
        <f>(1.2+1.4+1.2+1.4)*2.15</f>
        <v>11.179999999999998</v>
      </c>
      <c r="K247" s="216"/>
      <c r="L247" s="216"/>
      <c r="M247" s="216"/>
      <c r="N247" s="216"/>
      <c r="O247" s="217"/>
      <c r="P247" s="217"/>
      <c r="Q247" s="217"/>
      <c r="R247" s="217">
        <f>I247</f>
        <v>2.1840000000000002</v>
      </c>
      <c r="S247" s="218" t="s">
        <v>525</v>
      </c>
    </row>
    <row r="248" spans="1:19" ht="15" customHeight="1">
      <c r="A248" s="413">
        <f t="shared" si="3"/>
        <v>248</v>
      </c>
      <c r="B248" s="26">
        <v>103</v>
      </c>
      <c r="C248" s="153" t="s">
        <v>717</v>
      </c>
      <c r="D248" s="211" t="s">
        <v>180</v>
      </c>
      <c r="E248" s="212" t="s">
        <v>357</v>
      </c>
      <c r="F248" s="213" t="s">
        <v>446</v>
      </c>
      <c r="G248" s="214" t="s">
        <v>747</v>
      </c>
      <c r="H248" s="213" t="s">
        <v>109</v>
      </c>
      <c r="I248" s="215">
        <f>(1.2*1.2)*1.3</f>
        <v>1.8719999999999999</v>
      </c>
      <c r="J248" s="216">
        <f>(1.2+1.2+1.2+1.2)*2.15</f>
        <v>10.319999999999999</v>
      </c>
      <c r="K248" s="216"/>
      <c r="L248" s="216"/>
      <c r="M248" s="216"/>
      <c r="N248" s="216"/>
      <c r="O248" s="217"/>
      <c r="P248" s="217"/>
      <c r="Q248" s="217"/>
      <c r="R248" s="217">
        <f>I248</f>
        <v>1.8719999999999999</v>
      </c>
      <c r="S248" s="218" t="s">
        <v>525</v>
      </c>
    </row>
    <row r="249" spans="1:19" ht="15" customHeight="1">
      <c r="A249" s="413">
        <f t="shared" si="3"/>
        <v>249</v>
      </c>
      <c r="B249" s="26">
        <v>103</v>
      </c>
      <c r="C249" s="153" t="s">
        <v>717</v>
      </c>
      <c r="D249" s="211" t="s">
        <v>180</v>
      </c>
      <c r="E249" s="212" t="s">
        <v>357</v>
      </c>
      <c r="F249" s="213" t="s">
        <v>446</v>
      </c>
      <c r="G249" s="214" t="s">
        <v>748</v>
      </c>
      <c r="H249" s="213" t="s">
        <v>109</v>
      </c>
      <c r="I249" s="215">
        <f>(1.4*1.2)*1.3</f>
        <v>2.1840000000000002</v>
      </c>
      <c r="J249" s="216">
        <f>(1.2+1.4+1.2+1.4)*2.15</f>
        <v>11.179999999999998</v>
      </c>
      <c r="K249" s="216"/>
      <c r="L249" s="216"/>
      <c r="M249" s="216"/>
      <c r="N249" s="216"/>
      <c r="O249" s="217"/>
      <c r="P249" s="217"/>
      <c r="Q249" s="217"/>
      <c r="R249" s="217">
        <f>I249</f>
        <v>2.1840000000000002</v>
      </c>
      <c r="S249" s="218" t="s">
        <v>525</v>
      </c>
    </row>
    <row r="250" spans="1:19" ht="15" customHeight="1">
      <c r="A250" s="413">
        <f t="shared" si="3"/>
        <v>250</v>
      </c>
      <c r="B250" s="26">
        <v>103</v>
      </c>
      <c r="C250" s="153" t="s">
        <v>717</v>
      </c>
      <c r="D250" s="211" t="s">
        <v>180</v>
      </c>
      <c r="E250" s="212" t="s">
        <v>357</v>
      </c>
      <c r="F250" s="213" t="s">
        <v>446</v>
      </c>
      <c r="G250" s="214" t="s">
        <v>749</v>
      </c>
      <c r="H250" s="213" t="s">
        <v>109</v>
      </c>
      <c r="I250" s="215">
        <f>(1.2*1.2)*1.3</f>
        <v>1.8719999999999999</v>
      </c>
      <c r="J250" s="216">
        <f>(1.2+1.2+1.2+1.2)*2.15</f>
        <v>10.319999999999999</v>
      </c>
      <c r="K250" s="216"/>
      <c r="L250" s="216"/>
      <c r="M250" s="216"/>
      <c r="N250" s="216"/>
      <c r="O250" s="217"/>
      <c r="P250" s="217"/>
      <c r="Q250" s="217"/>
      <c r="R250" s="217">
        <f>I250</f>
        <v>1.8719999999999999</v>
      </c>
      <c r="S250" s="218" t="s">
        <v>525</v>
      </c>
    </row>
    <row r="251" spans="1:19" ht="15" customHeight="1">
      <c r="A251" s="413">
        <f t="shared" si="3"/>
        <v>251</v>
      </c>
      <c r="B251" s="26">
        <v>103</v>
      </c>
      <c r="C251" s="153" t="s">
        <v>717</v>
      </c>
      <c r="D251" s="211" t="s">
        <v>180</v>
      </c>
      <c r="E251" s="212" t="s">
        <v>357</v>
      </c>
      <c r="F251" s="213" t="s">
        <v>446</v>
      </c>
      <c r="G251" s="214" t="s">
        <v>750</v>
      </c>
      <c r="H251" s="213" t="s">
        <v>44</v>
      </c>
      <c r="I251" s="215">
        <f>(1.7*0.95)*1.3</f>
        <v>2.0994999999999999</v>
      </c>
      <c r="J251" s="216">
        <f>(0.95+1.6+0.95+1.6)*2.3</f>
        <v>11.729999999999999</v>
      </c>
      <c r="K251" s="216"/>
      <c r="L251" s="216"/>
      <c r="M251" s="216"/>
      <c r="N251" s="216"/>
      <c r="O251" s="217"/>
      <c r="P251" s="217"/>
      <c r="Q251" s="217"/>
      <c r="R251" s="217">
        <v>1.6</v>
      </c>
      <c r="S251" s="218" t="s">
        <v>525</v>
      </c>
    </row>
    <row r="252" spans="1:19" ht="15" customHeight="1">
      <c r="A252" s="413">
        <f t="shared" si="3"/>
        <v>252</v>
      </c>
      <c r="B252" s="26">
        <v>103</v>
      </c>
      <c r="C252" s="153" t="s">
        <v>717</v>
      </c>
      <c r="D252" s="211" t="s">
        <v>180</v>
      </c>
      <c r="E252" s="212" t="s">
        <v>357</v>
      </c>
      <c r="F252" s="213" t="s">
        <v>446</v>
      </c>
      <c r="G252" s="214" t="s">
        <v>751</v>
      </c>
      <c r="H252" s="213" t="s">
        <v>44</v>
      </c>
      <c r="I252" s="215">
        <f>(1.2*0.95)*1.3</f>
        <v>1.482</v>
      </c>
      <c r="J252" s="216">
        <f>(1.2+0.95+1.2+0.95)*2.3</f>
        <v>9.8899999999999988</v>
      </c>
      <c r="K252" s="216"/>
      <c r="L252" s="216"/>
      <c r="M252" s="216"/>
      <c r="N252" s="216"/>
      <c r="O252" s="217"/>
      <c r="P252" s="217"/>
      <c r="Q252" s="217"/>
      <c r="R252" s="217">
        <v>1.1000000000000001</v>
      </c>
      <c r="S252" s="218" t="s">
        <v>525</v>
      </c>
    </row>
    <row r="253" spans="1:19" ht="15" customHeight="1">
      <c r="A253" s="413">
        <f t="shared" si="3"/>
        <v>253</v>
      </c>
      <c r="B253" s="26">
        <v>103</v>
      </c>
      <c r="C253" s="153" t="s">
        <v>717</v>
      </c>
      <c r="D253" s="211" t="s">
        <v>180</v>
      </c>
      <c r="E253" s="212" t="s">
        <v>357</v>
      </c>
      <c r="F253" s="213" t="s">
        <v>446</v>
      </c>
      <c r="G253" s="214" t="s">
        <v>752</v>
      </c>
      <c r="H253" s="213" t="s">
        <v>44</v>
      </c>
      <c r="I253" s="215">
        <f>(1.7*0.95)*1.3</f>
        <v>2.0994999999999999</v>
      </c>
      <c r="J253" s="216">
        <f>(0.95+1.6+0.95+1.6)*2.3</f>
        <v>11.729999999999999</v>
      </c>
      <c r="K253" s="216"/>
      <c r="L253" s="216"/>
      <c r="M253" s="216"/>
      <c r="N253" s="216"/>
      <c r="O253" s="217"/>
      <c r="P253" s="217"/>
      <c r="Q253" s="217"/>
      <c r="R253" s="217">
        <v>1.6</v>
      </c>
      <c r="S253" s="218" t="s">
        <v>525</v>
      </c>
    </row>
    <row r="254" spans="1:19" ht="15" customHeight="1">
      <c r="A254" s="413">
        <f t="shared" si="3"/>
        <v>254</v>
      </c>
      <c r="B254" s="26">
        <v>103</v>
      </c>
      <c r="C254" s="153" t="s">
        <v>717</v>
      </c>
      <c r="D254" s="211" t="s">
        <v>180</v>
      </c>
      <c r="E254" s="212" t="s">
        <v>357</v>
      </c>
      <c r="F254" s="213" t="s">
        <v>446</v>
      </c>
      <c r="G254" s="214" t="s">
        <v>753</v>
      </c>
      <c r="H254" s="213" t="s">
        <v>44</v>
      </c>
      <c r="I254" s="215">
        <f>(1.2*0.95)*1.3</f>
        <v>1.482</v>
      </c>
      <c r="J254" s="216">
        <f>(1.2+0.95+1.2+0.95)*2.3</f>
        <v>9.8899999999999988</v>
      </c>
      <c r="K254" s="216"/>
      <c r="L254" s="216"/>
      <c r="M254" s="216"/>
      <c r="N254" s="216"/>
      <c r="O254" s="217"/>
      <c r="P254" s="217"/>
      <c r="Q254" s="217"/>
      <c r="R254" s="217">
        <v>1.1000000000000001</v>
      </c>
      <c r="S254" s="218" t="s">
        <v>525</v>
      </c>
    </row>
    <row r="255" spans="1:19" ht="15" customHeight="1">
      <c r="A255" s="413">
        <f t="shared" si="3"/>
        <v>255</v>
      </c>
      <c r="B255" s="26">
        <v>103</v>
      </c>
      <c r="C255" s="153" t="s">
        <v>717</v>
      </c>
      <c r="D255" s="211" t="s">
        <v>180</v>
      </c>
      <c r="E255" s="212" t="s">
        <v>357</v>
      </c>
      <c r="F255" s="213" t="s">
        <v>331</v>
      </c>
      <c r="G255" s="214" t="s">
        <v>754</v>
      </c>
      <c r="H255" s="213" t="s">
        <v>44</v>
      </c>
      <c r="I255" s="215">
        <f>((5.8*3.9)+(3.5*2.6))*1.3</f>
        <v>41.235999999999997</v>
      </c>
      <c r="J255" s="216"/>
      <c r="K255" s="216"/>
      <c r="L255" s="216">
        <f>(5.8+3.9+2.65+3.5+2.6+7.6)*2.7</f>
        <v>70.334999999999994</v>
      </c>
      <c r="M255" s="216"/>
      <c r="N255" s="216"/>
      <c r="O255" s="217"/>
      <c r="P255" s="217"/>
      <c r="Q255" s="217">
        <f>I255</f>
        <v>41.235999999999997</v>
      </c>
      <c r="R255" s="217"/>
      <c r="S255" s="218"/>
    </row>
    <row r="256" spans="1:19" ht="15" customHeight="1">
      <c r="A256" s="413">
        <f t="shared" si="3"/>
        <v>256</v>
      </c>
      <c r="B256" s="26">
        <v>103</v>
      </c>
      <c r="C256" s="153" t="s">
        <v>717</v>
      </c>
      <c r="D256" s="211" t="s">
        <v>180</v>
      </c>
      <c r="E256" s="212" t="s">
        <v>357</v>
      </c>
      <c r="F256" s="213" t="s">
        <v>333</v>
      </c>
      <c r="G256" s="214" t="s">
        <v>755</v>
      </c>
      <c r="H256" s="213" t="s">
        <v>12</v>
      </c>
      <c r="I256" s="215">
        <v>44</v>
      </c>
      <c r="J256" s="216"/>
      <c r="K256" s="216"/>
      <c r="L256" s="216">
        <v>62</v>
      </c>
      <c r="M256" s="216"/>
      <c r="N256" s="216"/>
      <c r="O256" s="217"/>
      <c r="P256" s="217"/>
      <c r="Q256" s="217"/>
      <c r="R256" s="217">
        <v>44</v>
      </c>
      <c r="S256" s="218"/>
    </row>
    <row r="257" spans="1:19" ht="15" customHeight="1">
      <c r="A257" s="413">
        <f t="shared" si="3"/>
        <v>257</v>
      </c>
      <c r="B257" s="26">
        <v>103</v>
      </c>
      <c r="C257" s="153" t="s">
        <v>717</v>
      </c>
      <c r="D257" s="211" t="s">
        <v>180</v>
      </c>
      <c r="E257" s="212" t="s">
        <v>357</v>
      </c>
      <c r="F257" s="213" t="s">
        <v>333</v>
      </c>
      <c r="G257" s="214" t="s">
        <v>756</v>
      </c>
      <c r="H257" s="213" t="s">
        <v>1314</v>
      </c>
      <c r="I257" s="215">
        <v>24</v>
      </c>
      <c r="J257" s="216"/>
      <c r="K257" s="216"/>
      <c r="L257" s="216">
        <v>38</v>
      </c>
      <c r="M257" s="216"/>
      <c r="N257" s="216"/>
      <c r="O257" s="217"/>
      <c r="P257" s="217">
        <v>24</v>
      </c>
      <c r="Q257" s="217"/>
      <c r="R257" s="217"/>
      <c r="S257" s="218"/>
    </row>
    <row r="258" spans="1:19" ht="15" customHeight="1">
      <c r="A258" s="413">
        <f t="shared" si="3"/>
        <v>258</v>
      </c>
      <c r="B258" s="26">
        <v>103</v>
      </c>
      <c r="C258" s="153" t="s">
        <v>717</v>
      </c>
      <c r="D258" s="211" t="s">
        <v>180</v>
      </c>
      <c r="E258" s="212" t="s">
        <v>357</v>
      </c>
      <c r="F258" s="213" t="s">
        <v>168</v>
      </c>
      <c r="G258" s="214" t="s">
        <v>757</v>
      </c>
      <c r="H258" s="213"/>
      <c r="I258" s="215">
        <v>0</v>
      </c>
      <c r="J258" s="216"/>
      <c r="K258" s="216"/>
      <c r="L258" s="216"/>
      <c r="M258" s="216"/>
      <c r="N258" s="216"/>
      <c r="O258" s="217"/>
      <c r="P258" s="217"/>
      <c r="Q258" s="217"/>
      <c r="R258" s="217"/>
      <c r="S258" s="218" t="s">
        <v>774</v>
      </c>
    </row>
    <row r="259" spans="1:19" ht="15" customHeight="1">
      <c r="A259" s="413">
        <f t="shared" ref="A259:A322" si="4">1+A258</f>
        <v>259</v>
      </c>
      <c r="B259" s="26">
        <v>103</v>
      </c>
      <c r="C259" s="153" t="s">
        <v>717</v>
      </c>
      <c r="D259" s="211" t="s">
        <v>180</v>
      </c>
      <c r="E259" s="212" t="s">
        <v>357</v>
      </c>
      <c r="F259" s="213" t="s">
        <v>758</v>
      </c>
      <c r="G259" s="214" t="s">
        <v>759</v>
      </c>
      <c r="H259" s="213" t="s">
        <v>44</v>
      </c>
      <c r="I259" s="215">
        <v>7.7804999999999991</v>
      </c>
      <c r="J259" s="216"/>
      <c r="K259" s="216"/>
      <c r="L259" s="216"/>
      <c r="M259" s="216"/>
      <c r="N259" s="216">
        <v>24.24</v>
      </c>
      <c r="O259" s="217"/>
      <c r="P259" s="217"/>
      <c r="Q259" s="217"/>
      <c r="R259" s="217">
        <v>5.9849999999999994</v>
      </c>
      <c r="S259" s="218" t="s">
        <v>775</v>
      </c>
    </row>
    <row r="260" spans="1:19" ht="15" customHeight="1">
      <c r="A260" s="413">
        <f t="shared" si="4"/>
        <v>260</v>
      </c>
      <c r="B260" s="26">
        <v>103</v>
      </c>
      <c r="C260" s="153" t="s">
        <v>717</v>
      </c>
      <c r="D260" s="211" t="s">
        <v>180</v>
      </c>
      <c r="E260" s="212" t="s">
        <v>357</v>
      </c>
      <c r="F260" s="213" t="s">
        <v>306</v>
      </c>
      <c r="G260" s="214" t="s">
        <v>760</v>
      </c>
      <c r="H260" s="213" t="s">
        <v>109</v>
      </c>
      <c r="I260" s="215">
        <v>13</v>
      </c>
      <c r="J260" s="216"/>
      <c r="K260" s="216"/>
      <c r="L260" s="216">
        <v>37</v>
      </c>
      <c r="M260" s="216"/>
      <c r="N260" s="216"/>
      <c r="O260" s="217"/>
      <c r="P260" s="217"/>
      <c r="Q260" s="217">
        <v>10</v>
      </c>
      <c r="R260" s="217"/>
      <c r="S260" s="218" t="s">
        <v>521</v>
      </c>
    </row>
    <row r="261" spans="1:19" ht="15" customHeight="1">
      <c r="A261" s="413">
        <f t="shared" si="4"/>
        <v>261</v>
      </c>
      <c r="B261" s="26">
        <v>103</v>
      </c>
      <c r="C261" s="153" t="s">
        <v>717</v>
      </c>
      <c r="D261" s="211" t="s">
        <v>180</v>
      </c>
      <c r="E261" s="212" t="s">
        <v>357</v>
      </c>
      <c r="F261" s="213" t="s">
        <v>761</v>
      </c>
      <c r="G261" s="214" t="s">
        <v>762</v>
      </c>
      <c r="H261" s="213" t="s">
        <v>176</v>
      </c>
      <c r="I261" s="215">
        <v>10.4</v>
      </c>
      <c r="J261" s="216"/>
      <c r="K261" s="216"/>
      <c r="L261" s="216">
        <v>33</v>
      </c>
      <c r="M261" s="216"/>
      <c r="N261" s="216"/>
      <c r="O261" s="217"/>
      <c r="P261" s="217"/>
      <c r="Q261" s="217">
        <v>8</v>
      </c>
      <c r="R261" s="217"/>
      <c r="S261" s="218" t="s">
        <v>521</v>
      </c>
    </row>
    <row r="262" spans="1:19" ht="15" customHeight="1">
      <c r="A262" s="413">
        <f t="shared" si="4"/>
        <v>262</v>
      </c>
      <c r="B262" s="26">
        <v>103</v>
      </c>
      <c r="C262" s="153" t="s">
        <v>717</v>
      </c>
      <c r="D262" s="211" t="s">
        <v>180</v>
      </c>
      <c r="E262" s="212" t="s">
        <v>357</v>
      </c>
      <c r="F262" s="213" t="s">
        <v>478</v>
      </c>
      <c r="G262" s="214" t="s">
        <v>763</v>
      </c>
      <c r="H262" s="213"/>
      <c r="I262" s="215">
        <v>0</v>
      </c>
      <c r="J262" s="216"/>
      <c r="K262" s="216"/>
      <c r="L262" s="216"/>
      <c r="M262" s="216"/>
      <c r="N262" s="216"/>
      <c r="O262" s="217"/>
      <c r="P262" s="217"/>
      <c r="Q262" s="217"/>
      <c r="R262" s="217"/>
      <c r="S262" s="218" t="s">
        <v>1318</v>
      </c>
    </row>
    <row r="263" spans="1:19" ht="15" customHeight="1">
      <c r="A263" s="413">
        <f t="shared" si="4"/>
        <v>263</v>
      </c>
      <c r="B263" s="26">
        <v>103</v>
      </c>
      <c r="C263" s="153" t="s">
        <v>717</v>
      </c>
      <c r="D263" s="211" t="s">
        <v>180</v>
      </c>
      <c r="E263" s="212" t="s">
        <v>357</v>
      </c>
      <c r="F263" s="213" t="s">
        <v>764</v>
      </c>
      <c r="G263" s="214" t="s">
        <v>765</v>
      </c>
      <c r="H263" s="213"/>
      <c r="I263" s="215">
        <v>0</v>
      </c>
      <c r="J263" s="216"/>
      <c r="K263" s="216"/>
      <c r="L263" s="216"/>
      <c r="M263" s="216"/>
      <c r="N263" s="216"/>
      <c r="O263" s="217"/>
      <c r="P263" s="217"/>
      <c r="Q263" s="217"/>
      <c r="R263" s="217"/>
      <c r="S263" s="218" t="s">
        <v>1318</v>
      </c>
    </row>
    <row r="264" spans="1:19" ht="15" customHeight="1">
      <c r="A264" s="413">
        <f t="shared" si="4"/>
        <v>264</v>
      </c>
      <c r="B264" s="26">
        <v>103</v>
      </c>
      <c r="C264" s="153" t="s">
        <v>717</v>
      </c>
      <c r="D264" s="211" t="s">
        <v>180</v>
      </c>
      <c r="E264" s="212" t="s">
        <v>357</v>
      </c>
      <c r="F264" s="213" t="s">
        <v>478</v>
      </c>
      <c r="G264" s="214" t="s">
        <v>481</v>
      </c>
      <c r="H264" s="213"/>
      <c r="I264" s="215">
        <v>0</v>
      </c>
      <c r="J264" s="216"/>
      <c r="K264" s="216"/>
      <c r="L264" s="216"/>
      <c r="M264" s="216"/>
      <c r="N264" s="216"/>
      <c r="O264" s="217"/>
      <c r="P264" s="217"/>
      <c r="Q264" s="217"/>
      <c r="R264" s="217"/>
      <c r="S264" s="218" t="s">
        <v>1318</v>
      </c>
    </row>
    <row r="265" spans="1:19" ht="15" customHeight="1">
      <c r="A265" s="413">
        <f t="shared" si="4"/>
        <v>265</v>
      </c>
      <c r="B265" s="26">
        <v>103</v>
      </c>
      <c r="C265" s="153" t="s">
        <v>717</v>
      </c>
      <c r="D265" s="211" t="s">
        <v>180</v>
      </c>
      <c r="E265" s="212" t="s">
        <v>357</v>
      </c>
      <c r="F265" s="213" t="s">
        <v>764</v>
      </c>
      <c r="G265" s="214" t="s">
        <v>483</v>
      </c>
      <c r="H265" s="213"/>
      <c r="I265" s="215">
        <v>0</v>
      </c>
      <c r="J265" s="216"/>
      <c r="K265" s="216"/>
      <c r="L265" s="216"/>
      <c r="M265" s="216"/>
      <c r="N265" s="216"/>
      <c r="O265" s="217"/>
      <c r="P265" s="217"/>
      <c r="Q265" s="217"/>
      <c r="R265" s="217"/>
      <c r="S265" s="218" t="s">
        <v>1318</v>
      </c>
    </row>
    <row r="266" spans="1:19" ht="15" customHeight="1">
      <c r="A266" s="413">
        <f t="shared" si="4"/>
        <v>266</v>
      </c>
      <c r="B266" s="26">
        <v>103</v>
      </c>
      <c r="C266" s="153" t="s">
        <v>717</v>
      </c>
      <c r="D266" s="211" t="s">
        <v>180</v>
      </c>
      <c r="E266" s="212" t="s">
        <v>357</v>
      </c>
      <c r="F266" s="213" t="s">
        <v>478</v>
      </c>
      <c r="G266" s="214" t="s">
        <v>486</v>
      </c>
      <c r="H266" s="213"/>
      <c r="I266" s="215">
        <v>0</v>
      </c>
      <c r="J266" s="216"/>
      <c r="K266" s="216"/>
      <c r="L266" s="216"/>
      <c r="M266" s="216"/>
      <c r="N266" s="216"/>
      <c r="O266" s="217"/>
      <c r="P266" s="217"/>
      <c r="Q266" s="217"/>
      <c r="R266" s="217"/>
      <c r="S266" s="218" t="s">
        <v>1318</v>
      </c>
    </row>
    <row r="267" spans="1:19" ht="15" customHeight="1">
      <c r="A267" s="413">
        <f t="shared" si="4"/>
        <v>267</v>
      </c>
      <c r="B267" s="26">
        <v>103</v>
      </c>
      <c r="C267" s="153" t="s">
        <v>717</v>
      </c>
      <c r="D267" s="211" t="s">
        <v>180</v>
      </c>
      <c r="E267" s="212" t="s">
        <v>357</v>
      </c>
      <c r="F267" s="213" t="s">
        <v>764</v>
      </c>
      <c r="G267" s="214" t="s">
        <v>477</v>
      </c>
      <c r="H267" s="213"/>
      <c r="I267" s="215">
        <v>0</v>
      </c>
      <c r="J267" s="216"/>
      <c r="K267" s="216"/>
      <c r="L267" s="216"/>
      <c r="M267" s="216"/>
      <c r="N267" s="216"/>
      <c r="O267" s="217"/>
      <c r="P267" s="217"/>
      <c r="Q267" s="217"/>
      <c r="R267" s="217"/>
      <c r="S267" s="218" t="s">
        <v>1318</v>
      </c>
    </row>
    <row r="268" spans="1:19" ht="15" customHeight="1">
      <c r="A268" s="413">
        <f t="shared" si="4"/>
        <v>268</v>
      </c>
      <c r="B268" s="26">
        <v>103</v>
      </c>
      <c r="C268" s="153" t="s">
        <v>717</v>
      </c>
      <c r="D268" s="211" t="s">
        <v>180</v>
      </c>
      <c r="E268" s="212" t="s">
        <v>357</v>
      </c>
      <c r="F268" s="213" t="s">
        <v>478</v>
      </c>
      <c r="G268" s="214" t="s">
        <v>480</v>
      </c>
      <c r="H268" s="213" t="s">
        <v>318</v>
      </c>
      <c r="I268" s="215">
        <v>85</v>
      </c>
      <c r="J268" s="216"/>
      <c r="K268" s="216"/>
      <c r="L268" s="216">
        <v>35</v>
      </c>
      <c r="M268" s="216"/>
      <c r="N268" s="216">
        <v>35</v>
      </c>
      <c r="O268" s="217"/>
      <c r="P268" s="217"/>
      <c r="Q268" s="217"/>
      <c r="R268" s="217">
        <v>85</v>
      </c>
      <c r="S268" s="218" t="s">
        <v>1143</v>
      </c>
    </row>
    <row r="269" spans="1:19" ht="15" customHeight="1">
      <c r="A269" s="413">
        <f t="shared" si="4"/>
        <v>269</v>
      </c>
      <c r="B269" s="26">
        <v>103</v>
      </c>
      <c r="C269" s="153" t="s">
        <v>717</v>
      </c>
      <c r="D269" s="211" t="s">
        <v>180</v>
      </c>
      <c r="E269" s="212" t="s">
        <v>357</v>
      </c>
      <c r="F269" s="213" t="s">
        <v>478</v>
      </c>
      <c r="G269" s="214" t="s">
        <v>482</v>
      </c>
      <c r="H269" s="213"/>
      <c r="I269" s="215">
        <v>0</v>
      </c>
      <c r="J269" s="216"/>
      <c r="K269" s="216"/>
      <c r="L269" s="216"/>
      <c r="M269" s="216"/>
      <c r="N269" s="216"/>
      <c r="O269" s="217"/>
      <c r="P269" s="217"/>
      <c r="Q269" s="217"/>
      <c r="R269" s="217"/>
      <c r="S269" s="218" t="s">
        <v>1318</v>
      </c>
    </row>
    <row r="270" spans="1:19" ht="15" customHeight="1">
      <c r="A270" s="413">
        <f t="shared" si="4"/>
        <v>270</v>
      </c>
      <c r="B270" s="26">
        <v>103</v>
      </c>
      <c r="C270" s="153" t="s">
        <v>717</v>
      </c>
      <c r="D270" s="211" t="s">
        <v>180</v>
      </c>
      <c r="E270" s="212" t="s">
        <v>357</v>
      </c>
      <c r="F270" s="213" t="s">
        <v>764</v>
      </c>
      <c r="G270" s="214" t="s">
        <v>484</v>
      </c>
      <c r="H270" s="213"/>
      <c r="I270" s="215">
        <v>0</v>
      </c>
      <c r="J270" s="216"/>
      <c r="K270" s="216"/>
      <c r="L270" s="216"/>
      <c r="M270" s="216"/>
      <c r="N270" s="216"/>
      <c r="O270" s="217"/>
      <c r="P270" s="217"/>
      <c r="Q270" s="217"/>
      <c r="R270" s="217"/>
      <c r="S270" s="218" t="s">
        <v>1318</v>
      </c>
    </row>
    <row r="271" spans="1:19" ht="15" customHeight="1">
      <c r="A271" s="413">
        <f t="shared" si="4"/>
        <v>271</v>
      </c>
      <c r="B271" s="26">
        <v>103</v>
      </c>
      <c r="C271" s="153" t="s">
        <v>717</v>
      </c>
      <c r="D271" s="211" t="s">
        <v>180</v>
      </c>
      <c r="E271" s="212" t="s">
        <v>357</v>
      </c>
      <c r="F271" s="213" t="s">
        <v>723</v>
      </c>
      <c r="G271" s="214" t="s">
        <v>455</v>
      </c>
      <c r="H271" s="213"/>
      <c r="I271" s="215">
        <v>0</v>
      </c>
      <c r="J271" s="216"/>
      <c r="K271" s="216"/>
      <c r="L271" s="216"/>
      <c r="M271" s="216"/>
      <c r="N271" s="216"/>
      <c r="O271" s="217"/>
      <c r="P271" s="217"/>
      <c r="Q271" s="217"/>
      <c r="R271" s="217"/>
      <c r="S271" s="218" t="s">
        <v>1318</v>
      </c>
    </row>
    <row r="272" spans="1:19" ht="15" customHeight="1">
      <c r="A272" s="413">
        <f t="shared" si="4"/>
        <v>272</v>
      </c>
      <c r="B272" s="26">
        <v>103</v>
      </c>
      <c r="C272" s="153" t="s">
        <v>717</v>
      </c>
      <c r="D272" s="211" t="s">
        <v>180</v>
      </c>
      <c r="E272" s="212" t="s">
        <v>357</v>
      </c>
      <c r="F272" s="213" t="s">
        <v>723</v>
      </c>
      <c r="G272" s="214" t="s">
        <v>459</v>
      </c>
      <c r="H272" s="213"/>
      <c r="I272" s="215">
        <v>0</v>
      </c>
      <c r="J272" s="216"/>
      <c r="K272" s="216"/>
      <c r="L272" s="216"/>
      <c r="M272" s="216"/>
      <c r="N272" s="216"/>
      <c r="O272" s="217"/>
      <c r="P272" s="217"/>
      <c r="Q272" s="217"/>
      <c r="R272" s="217"/>
      <c r="S272" s="218" t="s">
        <v>1318</v>
      </c>
    </row>
    <row r="273" spans="1:19" ht="15" customHeight="1">
      <c r="A273" s="413">
        <f t="shared" si="4"/>
        <v>273</v>
      </c>
      <c r="B273" s="26">
        <v>103</v>
      </c>
      <c r="C273" s="153" t="s">
        <v>717</v>
      </c>
      <c r="D273" s="211" t="s">
        <v>180</v>
      </c>
      <c r="E273" s="212" t="s">
        <v>357</v>
      </c>
      <c r="F273" s="213" t="s">
        <v>723</v>
      </c>
      <c r="G273" s="214" t="s">
        <v>487</v>
      </c>
      <c r="H273" s="213" t="s">
        <v>109</v>
      </c>
      <c r="I273" s="215">
        <f>(2.5*5.5)*1.3</f>
        <v>17.875</v>
      </c>
      <c r="J273" s="216"/>
      <c r="K273" s="216"/>
      <c r="L273" s="216">
        <f>12.2+12.2+5.15+(5.15*2.9)</f>
        <v>44.484999999999999</v>
      </c>
      <c r="M273" s="216"/>
      <c r="N273" s="216"/>
      <c r="O273" s="217"/>
      <c r="P273" s="217">
        <f>I273</f>
        <v>17.875</v>
      </c>
      <c r="Q273" s="217"/>
      <c r="R273" s="217"/>
      <c r="S273" s="218"/>
    </row>
    <row r="274" spans="1:19" ht="15" customHeight="1">
      <c r="A274" s="413">
        <f t="shared" si="4"/>
        <v>274</v>
      </c>
      <c r="B274" s="26">
        <v>103</v>
      </c>
      <c r="C274" s="153" t="s">
        <v>717</v>
      </c>
      <c r="D274" s="211" t="s">
        <v>180</v>
      </c>
      <c r="E274" s="212" t="s">
        <v>357</v>
      </c>
      <c r="F274" s="213" t="s">
        <v>723</v>
      </c>
      <c r="G274" s="214" t="s">
        <v>766</v>
      </c>
      <c r="H274" s="213" t="s">
        <v>109</v>
      </c>
      <c r="I274" s="215">
        <f>(1.5*3)*1.3</f>
        <v>5.8500000000000005</v>
      </c>
      <c r="J274" s="216"/>
      <c r="K274" s="216"/>
      <c r="L274" s="216"/>
      <c r="M274" s="216"/>
      <c r="N274" s="216">
        <f>(1.5+3+1.5+3)*2.9</f>
        <v>26.099999999999998</v>
      </c>
      <c r="O274" s="217"/>
      <c r="P274" s="217"/>
      <c r="Q274" s="217">
        <f>I274</f>
        <v>5.8500000000000005</v>
      </c>
      <c r="R274" s="217"/>
      <c r="S274" s="218"/>
    </row>
    <row r="275" spans="1:19" ht="15" customHeight="1">
      <c r="A275" s="413">
        <f t="shared" si="4"/>
        <v>275</v>
      </c>
      <c r="B275" s="26">
        <v>103</v>
      </c>
      <c r="C275" s="153" t="s">
        <v>717</v>
      </c>
      <c r="D275" s="211" t="s">
        <v>180</v>
      </c>
      <c r="E275" s="212" t="s">
        <v>357</v>
      </c>
      <c r="F275" s="213" t="s">
        <v>723</v>
      </c>
      <c r="G275" s="214" t="s">
        <v>767</v>
      </c>
      <c r="H275" s="213" t="s">
        <v>109</v>
      </c>
      <c r="I275" s="215">
        <f>(2.5*1.9)*1.3</f>
        <v>6.1749999999999998</v>
      </c>
      <c r="J275" s="216"/>
      <c r="K275" s="216"/>
      <c r="L275" s="216"/>
      <c r="M275" s="216"/>
      <c r="N275" s="216">
        <f>(2.5+1.9+2.5+1.9)*2.9</f>
        <v>25.52</v>
      </c>
      <c r="O275" s="217"/>
      <c r="P275" s="217"/>
      <c r="Q275" s="217">
        <f>I275</f>
        <v>6.1749999999999998</v>
      </c>
      <c r="R275" s="217"/>
      <c r="S275" s="218"/>
    </row>
    <row r="276" spans="1:19" ht="15" customHeight="1">
      <c r="A276" s="413">
        <f t="shared" si="4"/>
        <v>276</v>
      </c>
      <c r="B276" s="26">
        <v>103</v>
      </c>
      <c r="C276" s="153" t="s">
        <v>717</v>
      </c>
      <c r="D276" s="211" t="s">
        <v>180</v>
      </c>
      <c r="E276" s="212" t="s">
        <v>357</v>
      </c>
      <c r="F276" s="213" t="s">
        <v>175</v>
      </c>
      <c r="G276" s="214" t="s">
        <v>768</v>
      </c>
      <c r="H276" s="213" t="s">
        <v>12</v>
      </c>
      <c r="I276" s="215">
        <v>23</v>
      </c>
      <c r="J276" s="216"/>
      <c r="K276" s="216"/>
      <c r="L276" s="216">
        <v>109</v>
      </c>
      <c r="M276" s="216"/>
      <c r="N276" s="216"/>
      <c r="O276" s="217"/>
      <c r="P276" s="217">
        <v>22</v>
      </c>
      <c r="Q276" s="217"/>
      <c r="R276" s="217">
        <v>1</v>
      </c>
      <c r="S276" s="218"/>
    </row>
    <row r="277" spans="1:19" ht="15" customHeight="1">
      <c r="A277" s="413">
        <f t="shared" si="4"/>
        <v>277</v>
      </c>
      <c r="B277" s="26">
        <v>103</v>
      </c>
      <c r="C277" s="153" t="s">
        <v>717</v>
      </c>
      <c r="D277" s="211" t="s">
        <v>180</v>
      </c>
      <c r="E277" s="212" t="s">
        <v>357</v>
      </c>
      <c r="F277" s="213" t="s">
        <v>723</v>
      </c>
      <c r="G277" s="214" t="s">
        <v>769</v>
      </c>
      <c r="H277" s="213"/>
      <c r="I277" s="215">
        <v>0</v>
      </c>
      <c r="J277" s="216"/>
      <c r="K277" s="216"/>
      <c r="L277" s="216"/>
      <c r="M277" s="216"/>
      <c r="N277" s="216"/>
      <c r="O277" s="217"/>
      <c r="P277" s="217"/>
      <c r="Q277" s="217"/>
      <c r="R277" s="217"/>
      <c r="S277" s="218" t="s">
        <v>1318</v>
      </c>
    </row>
    <row r="278" spans="1:19" ht="15" customHeight="1">
      <c r="A278" s="413">
        <f t="shared" si="4"/>
        <v>278</v>
      </c>
      <c r="B278" s="26">
        <v>103</v>
      </c>
      <c r="C278" s="153" t="s">
        <v>717</v>
      </c>
      <c r="D278" s="211" t="s">
        <v>180</v>
      </c>
      <c r="E278" s="212" t="s">
        <v>357</v>
      </c>
      <c r="F278" s="213" t="s">
        <v>488</v>
      </c>
      <c r="G278" s="214" t="s">
        <v>479</v>
      </c>
      <c r="H278" s="213" t="s">
        <v>44</v>
      </c>
      <c r="I278" s="215">
        <f>((4.9*1.7))*1.3</f>
        <v>10.829000000000001</v>
      </c>
      <c r="J278" s="216"/>
      <c r="K278" s="216"/>
      <c r="L278" s="216">
        <f>(4.9+1.7+4.9+1.7)*3.7</f>
        <v>48.839999999999996</v>
      </c>
      <c r="M278" s="216"/>
      <c r="N278" s="216"/>
      <c r="O278" s="217"/>
      <c r="P278" s="217">
        <f>I278</f>
        <v>10.829000000000001</v>
      </c>
      <c r="Q278" s="217"/>
      <c r="R278" s="217"/>
      <c r="S278" s="218"/>
    </row>
    <row r="279" spans="1:19" ht="15" customHeight="1">
      <c r="A279" s="413">
        <f t="shared" si="4"/>
        <v>279</v>
      </c>
      <c r="B279" s="26">
        <v>103</v>
      </c>
      <c r="C279" s="153" t="s">
        <v>717</v>
      </c>
      <c r="D279" s="211" t="s">
        <v>180</v>
      </c>
      <c r="E279" s="212" t="s">
        <v>357</v>
      </c>
      <c r="F279" s="213" t="s">
        <v>488</v>
      </c>
      <c r="G279" s="214" t="s">
        <v>770</v>
      </c>
      <c r="H279" s="213" t="s">
        <v>19</v>
      </c>
      <c r="I279" s="215">
        <v>9.1</v>
      </c>
      <c r="J279" s="216"/>
      <c r="K279" s="216"/>
      <c r="L279" s="216">
        <v>42</v>
      </c>
      <c r="M279" s="216"/>
      <c r="N279" s="216"/>
      <c r="O279" s="217"/>
      <c r="P279" s="217">
        <v>7</v>
      </c>
      <c r="Q279" s="217"/>
      <c r="R279" s="217"/>
      <c r="S279" s="218"/>
    </row>
    <row r="280" spans="1:19" ht="15" customHeight="1">
      <c r="A280" s="413">
        <f t="shared" si="4"/>
        <v>280</v>
      </c>
      <c r="B280" s="26">
        <v>103</v>
      </c>
      <c r="C280" s="153" t="s">
        <v>717</v>
      </c>
      <c r="D280" s="211" t="s">
        <v>180</v>
      </c>
      <c r="E280" s="212" t="s">
        <v>357</v>
      </c>
      <c r="F280" s="213" t="s">
        <v>488</v>
      </c>
      <c r="G280" s="214" t="s">
        <v>771</v>
      </c>
      <c r="H280" s="213" t="s">
        <v>44</v>
      </c>
      <c r="I280" s="215">
        <f>(0.9*3.5)*1.3</f>
        <v>4.0949999999999998</v>
      </c>
      <c r="J280" s="216"/>
      <c r="K280" s="216"/>
      <c r="L280" s="216">
        <f>(1.1+3.5+0.7+3.5)*3.1</f>
        <v>27.280000000000005</v>
      </c>
      <c r="M280" s="216"/>
      <c r="N280" s="216"/>
      <c r="O280" s="217"/>
      <c r="P280" s="217">
        <f>I280</f>
        <v>4.0949999999999998</v>
      </c>
      <c r="Q280" s="217"/>
      <c r="R280" s="217"/>
      <c r="S280" s="218"/>
    </row>
    <row r="281" spans="1:19" ht="15" customHeight="1">
      <c r="A281" s="413">
        <f t="shared" si="4"/>
        <v>281</v>
      </c>
      <c r="B281" s="26">
        <v>103</v>
      </c>
      <c r="C281" s="153" t="s">
        <v>717</v>
      </c>
      <c r="D281" s="211" t="s">
        <v>180</v>
      </c>
      <c r="E281" s="212" t="s">
        <v>357</v>
      </c>
      <c r="F281" s="213" t="s">
        <v>488</v>
      </c>
      <c r="G281" s="214" t="s">
        <v>492</v>
      </c>
      <c r="H281" s="213" t="s">
        <v>109</v>
      </c>
      <c r="I281" s="215">
        <v>18.720000000000002</v>
      </c>
      <c r="J281" s="216">
        <v>3</v>
      </c>
      <c r="K281" s="216"/>
      <c r="L281" s="216"/>
      <c r="M281" s="216"/>
      <c r="N281" s="216">
        <f>(3+0.6+1.25+2.35+5.1+1.35+1.9)*2.4</f>
        <v>37.319999999999993</v>
      </c>
      <c r="O281" s="217"/>
      <c r="P281" s="217"/>
      <c r="Q281" s="217">
        <v>14.4</v>
      </c>
      <c r="R281" s="217"/>
      <c r="S281" s="218" t="s">
        <v>530</v>
      </c>
    </row>
    <row r="282" spans="1:19" ht="15" customHeight="1">
      <c r="A282" s="413">
        <f t="shared" si="4"/>
        <v>282</v>
      </c>
      <c r="B282" s="26">
        <v>103</v>
      </c>
      <c r="C282" s="153" t="s">
        <v>717</v>
      </c>
      <c r="D282" s="211" t="s">
        <v>180</v>
      </c>
      <c r="E282" s="212" t="s">
        <v>357</v>
      </c>
      <c r="F282" s="213" t="s">
        <v>488</v>
      </c>
      <c r="G282" s="214" t="s">
        <v>401</v>
      </c>
      <c r="H282" s="213" t="s">
        <v>19</v>
      </c>
      <c r="I282" s="215">
        <f>(5.3*0.8)*1.3</f>
        <v>5.5120000000000005</v>
      </c>
      <c r="J282" s="216"/>
      <c r="K282" s="216"/>
      <c r="L282" s="216"/>
      <c r="M282" s="216"/>
      <c r="N282" s="216">
        <f>(5.3+0.8+5.3+0.8)*2.7</f>
        <v>32.94</v>
      </c>
      <c r="O282" s="217"/>
      <c r="P282" s="217"/>
      <c r="Q282" s="217">
        <v>4.2</v>
      </c>
      <c r="R282" s="217"/>
      <c r="S282" s="218"/>
    </row>
    <row r="283" spans="1:19" ht="15" customHeight="1">
      <c r="A283" s="413">
        <f t="shared" si="4"/>
        <v>283</v>
      </c>
      <c r="B283" s="26">
        <v>103</v>
      </c>
      <c r="C283" s="153" t="s">
        <v>717</v>
      </c>
      <c r="D283" s="211" t="s">
        <v>180</v>
      </c>
      <c r="E283" s="212" t="s">
        <v>357</v>
      </c>
      <c r="F283" s="213" t="s">
        <v>488</v>
      </c>
      <c r="G283" s="214" t="s">
        <v>494</v>
      </c>
      <c r="H283" s="213" t="s">
        <v>109</v>
      </c>
      <c r="I283" s="215">
        <f>(3.3*1.6)*1.3</f>
        <v>6.8640000000000008</v>
      </c>
      <c r="J283" s="216"/>
      <c r="K283" s="216"/>
      <c r="L283" s="216">
        <f>(1.6+3.3+1.6+3.3)*2.7</f>
        <v>26.460000000000004</v>
      </c>
      <c r="M283" s="216"/>
      <c r="N283" s="216"/>
      <c r="O283" s="217"/>
      <c r="P283" s="217"/>
      <c r="Q283" s="217">
        <v>5.3</v>
      </c>
      <c r="R283" s="217"/>
      <c r="S283" s="218" t="s">
        <v>521</v>
      </c>
    </row>
    <row r="284" spans="1:19" ht="15" customHeight="1">
      <c r="A284" s="413">
        <f t="shared" si="4"/>
        <v>284</v>
      </c>
      <c r="B284" s="26">
        <v>103</v>
      </c>
      <c r="C284" s="153" t="s">
        <v>717</v>
      </c>
      <c r="D284" s="211" t="s">
        <v>180</v>
      </c>
      <c r="E284" s="212" t="s">
        <v>357</v>
      </c>
      <c r="F284" s="213" t="s">
        <v>488</v>
      </c>
      <c r="G284" s="214" t="s">
        <v>495</v>
      </c>
      <c r="H284" s="213" t="s">
        <v>109</v>
      </c>
      <c r="I284" s="215">
        <v>100.10000000000001</v>
      </c>
      <c r="J284" s="216"/>
      <c r="K284" s="216"/>
      <c r="L284" s="216"/>
      <c r="M284" s="216"/>
      <c r="N284" s="216">
        <v>99</v>
      </c>
      <c r="O284" s="217"/>
      <c r="P284" s="217"/>
      <c r="Q284" s="217">
        <v>77</v>
      </c>
      <c r="R284" s="217"/>
      <c r="S284" s="218"/>
    </row>
    <row r="285" spans="1:19" ht="15" customHeight="1">
      <c r="A285" s="413">
        <f t="shared" si="4"/>
        <v>285</v>
      </c>
      <c r="B285" s="26">
        <v>103</v>
      </c>
      <c r="C285" s="153" t="s">
        <v>717</v>
      </c>
      <c r="D285" s="211" t="s">
        <v>180</v>
      </c>
      <c r="E285" s="212" t="s">
        <v>327</v>
      </c>
      <c r="F285" s="213" t="s">
        <v>776</v>
      </c>
      <c r="G285" s="214" t="s">
        <v>384</v>
      </c>
      <c r="H285" s="213"/>
      <c r="I285" s="215">
        <v>0</v>
      </c>
      <c r="J285" s="216"/>
      <c r="K285" s="216"/>
      <c r="L285" s="216"/>
      <c r="M285" s="216"/>
      <c r="N285" s="216"/>
      <c r="O285" s="217"/>
      <c r="P285" s="217"/>
      <c r="Q285" s="217"/>
      <c r="R285" s="217"/>
      <c r="S285" s="218"/>
    </row>
    <row r="286" spans="1:19" ht="15" customHeight="1">
      <c r="A286" s="413">
        <f t="shared" si="4"/>
        <v>286</v>
      </c>
      <c r="B286" s="26">
        <v>103</v>
      </c>
      <c r="C286" s="153" t="s">
        <v>717</v>
      </c>
      <c r="D286" s="211" t="s">
        <v>180</v>
      </c>
      <c r="E286" s="212" t="s">
        <v>327</v>
      </c>
      <c r="F286" s="213" t="s">
        <v>777</v>
      </c>
      <c r="G286" s="214" t="s">
        <v>542</v>
      </c>
      <c r="H286" s="213" t="s">
        <v>166</v>
      </c>
      <c r="I286" s="215">
        <v>3.9000000000000004</v>
      </c>
      <c r="J286" s="216"/>
      <c r="K286" s="216"/>
      <c r="L286" s="216"/>
      <c r="M286" s="216"/>
      <c r="N286" s="216"/>
      <c r="O286" s="217"/>
      <c r="P286" s="217"/>
      <c r="Q286" s="217"/>
      <c r="R286" s="217"/>
      <c r="S286" s="218"/>
    </row>
    <row r="287" spans="1:19" ht="15" customHeight="1">
      <c r="A287" s="413">
        <f t="shared" si="4"/>
        <v>287</v>
      </c>
      <c r="B287" s="26">
        <v>103</v>
      </c>
      <c r="C287" s="153" t="s">
        <v>717</v>
      </c>
      <c r="D287" s="211" t="s">
        <v>180</v>
      </c>
      <c r="E287" s="212" t="s">
        <v>327</v>
      </c>
      <c r="F287" s="213" t="s">
        <v>175</v>
      </c>
      <c r="G287" s="214" t="s">
        <v>544</v>
      </c>
      <c r="H287" s="213" t="s">
        <v>44</v>
      </c>
      <c r="I287" s="215">
        <v>26</v>
      </c>
      <c r="J287" s="216"/>
      <c r="K287" s="216"/>
      <c r="L287" s="216"/>
      <c r="M287" s="216"/>
      <c r="N287" s="216">
        <v>45</v>
      </c>
      <c r="O287" s="217"/>
      <c r="P287" s="217"/>
      <c r="Q287" s="217">
        <v>20</v>
      </c>
      <c r="R287" s="217"/>
      <c r="S287" s="218"/>
    </row>
    <row r="288" spans="1:19" ht="15" customHeight="1">
      <c r="A288" s="413">
        <f t="shared" si="4"/>
        <v>288</v>
      </c>
      <c r="B288" s="26">
        <v>103</v>
      </c>
      <c r="C288" s="153" t="s">
        <v>717</v>
      </c>
      <c r="D288" s="211" t="s">
        <v>180</v>
      </c>
      <c r="E288" s="212" t="s">
        <v>327</v>
      </c>
      <c r="F288" s="213" t="s">
        <v>777</v>
      </c>
      <c r="G288" s="214" t="s">
        <v>541</v>
      </c>
      <c r="H288" s="213" t="s">
        <v>166</v>
      </c>
      <c r="I288" s="215">
        <v>6.5</v>
      </c>
      <c r="J288" s="216"/>
      <c r="K288" s="216"/>
      <c r="L288" s="216"/>
      <c r="M288" s="216"/>
      <c r="N288" s="216"/>
      <c r="O288" s="217"/>
      <c r="P288" s="217"/>
      <c r="Q288" s="217"/>
      <c r="R288" s="217"/>
      <c r="S288" s="218"/>
    </row>
    <row r="289" spans="1:19" ht="15" customHeight="1">
      <c r="A289" s="413">
        <f t="shared" si="4"/>
        <v>289</v>
      </c>
      <c r="B289" s="26">
        <v>103</v>
      </c>
      <c r="C289" s="153" t="s">
        <v>717</v>
      </c>
      <c r="D289" s="211" t="s">
        <v>180</v>
      </c>
      <c r="E289" s="212" t="s">
        <v>327</v>
      </c>
      <c r="F289" s="213" t="s">
        <v>175</v>
      </c>
      <c r="G289" s="214" t="s">
        <v>549</v>
      </c>
      <c r="H289" s="213" t="s">
        <v>44</v>
      </c>
      <c r="I289" s="215">
        <v>126.10000000000001</v>
      </c>
      <c r="J289" s="216"/>
      <c r="K289" s="216"/>
      <c r="L289" s="216"/>
      <c r="M289" s="216"/>
      <c r="N289" s="216">
        <v>170</v>
      </c>
      <c r="O289" s="217"/>
      <c r="P289" s="217"/>
      <c r="Q289" s="217">
        <v>97</v>
      </c>
      <c r="R289" s="217"/>
      <c r="S289" s="218"/>
    </row>
    <row r="290" spans="1:19" ht="15" customHeight="1">
      <c r="A290" s="413">
        <f t="shared" si="4"/>
        <v>290</v>
      </c>
      <c r="B290" s="26">
        <v>103</v>
      </c>
      <c r="C290" s="153" t="s">
        <v>717</v>
      </c>
      <c r="D290" s="211" t="s">
        <v>180</v>
      </c>
      <c r="E290" s="212" t="s">
        <v>327</v>
      </c>
      <c r="F290" s="213" t="s">
        <v>777</v>
      </c>
      <c r="G290" s="214" t="s">
        <v>553</v>
      </c>
      <c r="H290" s="213" t="s">
        <v>166</v>
      </c>
      <c r="I290" s="215">
        <v>7.8000000000000007</v>
      </c>
      <c r="J290" s="216"/>
      <c r="K290" s="216"/>
      <c r="L290" s="216"/>
      <c r="M290" s="216"/>
      <c r="N290" s="216"/>
      <c r="O290" s="217"/>
      <c r="P290" s="217"/>
      <c r="Q290" s="217"/>
      <c r="R290" s="217"/>
      <c r="S290" s="218"/>
    </row>
    <row r="291" spans="1:19" ht="15" customHeight="1">
      <c r="A291" s="413">
        <f t="shared" si="4"/>
        <v>291</v>
      </c>
      <c r="B291" s="26">
        <v>103</v>
      </c>
      <c r="C291" s="153" t="s">
        <v>717</v>
      </c>
      <c r="D291" s="211" t="s">
        <v>180</v>
      </c>
      <c r="E291" s="212" t="s">
        <v>327</v>
      </c>
      <c r="F291" s="213" t="s">
        <v>175</v>
      </c>
      <c r="G291" s="214" t="s">
        <v>778</v>
      </c>
      <c r="H291" s="213" t="s">
        <v>44</v>
      </c>
      <c r="I291" s="215">
        <f>(2.8*10.6)*1.3</f>
        <v>38.583999999999996</v>
      </c>
      <c r="J291" s="216"/>
      <c r="K291" s="216"/>
      <c r="L291" s="216">
        <f>14.3*2.2</f>
        <v>31.460000000000004</v>
      </c>
      <c r="M291" s="216"/>
      <c r="N291" s="216"/>
      <c r="O291" s="217"/>
      <c r="P291" s="217">
        <f>I291</f>
        <v>38.583999999999996</v>
      </c>
      <c r="Q291" s="217"/>
      <c r="R291" s="217"/>
      <c r="S291" s="218"/>
    </row>
    <row r="292" spans="1:19" ht="15" customHeight="1">
      <c r="A292" s="413">
        <f t="shared" si="4"/>
        <v>292</v>
      </c>
      <c r="B292" s="26">
        <v>103</v>
      </c>
      <c r="C292" s="153" t="s">
        <v>717</v>
      </c>
      <c r="D292" s="211" t="s">
        <v>180</v>
      </c>
      <c r="E292" s="212" t="s">
        <v>327</v>
      </c>
      <c r="F292" s="213" t="s">
        <v>427</v>
      </c>
      <c r="G292" s="214" t="s">
        <v>779</v>
      </c>
      <c r="H292" s="213" t="s">
        <v>44</v>
      </c>
      <c r="I292" s="215">
        <v>7.8000000000000007</v>
      </c>
      <c r="J292" s="216"/>
      <c r="K292" s="216"/>
      <c r="L292" s="216">
        <v>22</v>
      </c>
      <c r="M292" s="216"/>
      <c r="N292" s="216"/>
      <c r="O292" s="217"/>
      <c r="P292" s="217">
        <v>6</v>
      </c>
      <c r="Q292" s="217"/>
      <c r="R292" s="217"/>
      <c r="S292" s="218"/>
    </row>
    <row r="293" spans="1:19" ht="15" customHeight="1">
      <c r="A293" s="413">
        <f t="shared" si="4"/>
        <v>293</v>
      </c>
      <c r="B293" s="26">
        <v>103</v>
      </c>
      <c r="C293" s="153" t="s">
        <v>717</v>
      </c>
      <c r="D293" s="211" t="s">
        <v>180</v>
      </c>
      <c r="E293" s="212" t="s">
        <v>327</v>
      </c>
      <c r="F293" s="213" t="s">
        <v>429</v>
      </c>
      <c r="G293" s="214" t="s">
        <v>780</v>
      </c>
      <c r="H293" s="213" t="s">
        <v>44</v>
      </c>
      <c r="I293" s="215">
        <v>3.9000000000000004</v>
      </c>
      <c r="J293" s="216"/>
      <c r="K293" s="216"/>
      <c r="L293" s="216">
        <v>15</v>
      </c>
      <c r="M293" s="216"/>
      <c r="N293" s="216"/>
      <c r="O293" s="217"/>
      <c r="P293" s="217">
        <v>3</v>
      </c>
      <c r="Q293" s="217"/>
      <c r="R293" s="217"/>
      <c r="S293" s="218"/>
    </row>
    <row r="294" spans="1:19" ht="15" customHeight="1">
      <c r="A294" s="413">
        <f t="shared" si="4"/>
        <v>294</v>
      </c>
      <c r="B294" s="26">
        <v>103</v>
      </c>
      <c r="C294" s="153" t="s">
        <v>717</v>
      </c>
      <c r="D294" s="211" t="s">
        <v>180</v>
      </c>
      <c r="E294" s="212" t="s">
        <v>327</v>
      </c>
      <c r="F294" s="213" t="s">
        <v>427</v>
      </c>
      <c r="G294" s="214" t="s">
        <v>781</v>
      </c>
      <c r="H294" s="213" t="s">
        <v>44</v>
      </c>
      <c r="I294" s="215">
        <v>10.4</v>
      </c>
      <c r="J294" s="216"/>
      <c r="K294" s="216"/>
      <c r="L294" s="216">
        <v>25</v>
      </c>
      <c r="M294" s="216"/>
      <c r="N294" s="216"/>
      <c r="O294" s="217"/>
      <c r="P294" s="217">
        <v>8</v>
      </c>
      <c r="Q294" s="217"/>
      <c r="R294" s="217"/>
      <c r="S294" s="218"/>
    </row>
    <row r="295" spans="1:19" ht="15" customHeight="1">
      <c r="A295" s="413">
        <f t="shared" si="4"/>
        <v>295</v>
      </c>
      <c r="B295" s="26">
        <v>103</v>
      </c>
      <c r="C295" s="153" t="s">
        <v>717</v>
      </c>
      <c r="D295" s="211" t="s">
        <v>180</v>
      </c>
      <c r="E295" s="212" t="s">
        <v>327</v>
      </c>
      <c r="F295" s="213" t="s">
        <v>429</v>
      </c>
      <c r="G295" s="214" t="s">
        <v>782</v>
      </c>
      <c r="H295" s="213" t="s">
        <v>44</v>
      </c>
      <c r="I295" s="215">
        <v>5.2</v>
      </c>
      <c r="J295" s="216"/>
      <c r="K295" s="216"/>
      <c r="L295" s="216">
        <v>20</v>
      </c>
      <c r="M295" s="216"/>
      <c r="N295" s="216"/>
      <c r="O295" s="217"/>
      <c r="P295" s="217">
        <v>4</v>
      </c>
      <c r="Q295" s="217"/>
      <c r="R295" s="217"/>
      <c r="S295" s="218"/>
    </row>
    <row r="296" spans="1:19" ht="15" customHeight="1">
      <c r="A296" s="413">
        <f t="shared" si="4"/>
        <v>296</v>
      </c>
      <c r="B296" s="26">
        <v>103</v>
      </c>
      <c r="C296" s="153" t="s">
        <v>717</v>
      </c>
      <c r="D296" s="211" t="s">
        <v>180</v>
      </c>
      <c r="E296" s="212" t="s">
        <v>327</v>
      </c>
      <c r="F296" s="213" t="s">
        <v>333</v>
      </c>
      <c r="G296" s="214" t="s">
        <v>783</v>
      </c>
      <c r="H296" s="213" t="s">
        <v>19</v>
      </c>
      <c r="I296" s="215">
        <v>13</v>
      </c>
      <c r="J296" s="216"/>
      <c r="K296" s="216"/>
      <c r="L296" s="216">
        <v>26</v>
      </c>
      <c r="M296" s="216"/>
      <c r="N296" s="216"/>
      <c r="O296" s="217"/>
      <c r="P296" s="217"/>
      <c r="Q296" s="217">
        <v>10</v>
      </c>
      <c r="R296" s="217"/>
      <c r="S296" s="218"/>
    </row>
    <row r="297" spans="1:19" ht="15" customHeight="1">
      <c r="A297" s="413">
        <f t="shared" si="4"/>
        <v>297</v>
      </c>
      <c r="B297" s="26">
        <v>103</v>
      </c>
      <c r="C297" s="153" t="s">
        <v>717</v>
      </c>
      <c r="D297" s="211" t="s">
        <v>180</v>
      </c>
      <c r="E297" s="212" t="s">
        <v>327</v>
      </c>
      <c r="F297" s="213" t="s">
        <v>333</v>
      </c>
      <c r="G297" s="214" t="s">
        <v>784</v>
      </c>
      <c r="H297" s="213" t="s">
        <v>19</v>
      </c>
      <c r="I297" s="215">
        <f>(4.1*14.5)*1.3</f>
        <v>77.284999999999997</v>
      </c>
      <c r="J297" s="216"/>
      <c r="K297" s="216"/>
      <c r="L297" s="216">
        <f>((14.5+4.1+14.5+4.1)*1.85)+((4.7+2.6+4.15+4.3)*4.6)</f>
        <v>141.26999999999998</v>
      </c>
      <c r="M297" s="216"/>
      <c r="N297" s="216"/>
      <c r="O297" s="217"/>
      <c r="P297" s="217">
        <f>I297-15.7</f>
        <v>61.584999999999994</v>
      </c>
      <c r="Q297" s="217"/>
      <c r="R297" s="217"/>
      <c r="S297" s="218"/>
    </row>
    <row r="298" spans="1:19" ht="15" customHeight="1">
      <c r="A298" s="413">
        <f t="shared" si="4"/>
        <v>298</v>
      </c>
      <c r="B298" s="26">
        <v>103</v>
      </c>
      <c r="C298" s="153" t="s">
        <v>717</v>
      </c>
      <c r="D298" s="211" t="s">
        <v>180</v>
      </c>
      <c r="E298" s="212" t="s">
        <v>327</v>
      </c>
      <c r="F298" s="213" t="s">
        <v>331</v>
      </c>
      <c r="G298" s="214" t="s">
        <v>785</v>
      </c>
      <c r="H298" s="213" t="s">
        <v>44</v>
      </c>
      <c r="I298" s="215">
        <f>(3*7.4)*1.3</f>
        <v>28.860000000000003</v>
      </c>
      <c r="J298" s="216"/>
      <c r="K298" s="216"/>
      <c r="L298" s="216">
        <f>(7.4+3+7.4+3)*1.75</f>
        <v>36.4</v>
      </c>
      <c r="M298" s="216"/>
      <c r="N298" s="216"/>
      <c r="O298" s="217"/>
      <c r="P298" s="217">
        <f>I298</f>
        <v>28.860000000000003</v>
      </c>
      <c r="Q298" s="217"/>
      <c r="R298" s="217"/>
      <c r="S298" s="218"/>
    </row>
    <row r="299" spans="1:19" ht="15" customHeight="1">
      <c r="A299" s="413">
        <f t="shared" si="4"/>
        <v>299</v>
      </c>
      <c r="B299" s="26">
        <v>103</v>
      </c>
      <c r="C299" s="153" t="s">
        <v>717</v>
      </c>
      <c r="D299" s="211" t="s">
        <v>180</v>
      </c>
      <c r="E299" s="212" t="s">
        <v>327</v>
      </c>
      <c r="F299" s="213" t="s">
        <v>168</v>
      </c>
      <c r="G299" s="214" t="s">
        <v>786</v>
      </c>
      <c r="H299" s="213" t="s">
        <v>109</v>
      </c>
      <c r="I299" s="215">
        <v>105.3</v>
      </c>
      <c r="J299" s="216"/>
      <c r="K299" s="216"/>
      <c r="L299" s="216"/>
      <c r="M299" s="216"/>
      <c r="N299" s="216">
        <f>((6+4.4+6+4)*2.5)+((8.5+4.4+8.5)*2.25)</f>
        <v>99.15</v>
      </c>
      <c r="O299" s="217"/>
      <c r="P299" s="217"/>
      <c r="Q299" s="217">
        <v>41</v>
      </c>
      <c r="R299" s="217"/>
      <c r="S299" s="218"/>
    </row>
    <row r="300" spans="1:19" ht="15" customHeight="1">
      <c r="A300" s="413">
        <f t="shared" si="4"/>
        <v>300</v>
      </c>
      <c r="B300" s="26">
        <v>103</v>
      </c>
      <c r="C300" s="153" t="s">
        <v>717</v>
      </c>
      <c r="D300" s="211" t="s">
        <v>180</v>
      </c>
      <c r="E300" s="212" t="s">
        <v>327</v>
      </c>
      <c r="F300" s="213" t="s">
        <v>168</v>
      </c>
      <c r="G300" s="214" t="s">
        <v>787</v>
      </c>
      <c r="H300" s="213" t="s">
        <v>109</v>
      </c>
      <c r="I300" s="215">
        <v>96.2</v>
      </c>
      <c r="J300" s="216"/>
      <c r="K300" s="216"/>
      <c r="L300" s="216"/>
      <c r="M300" s="216"/>
      <c r="N300" s="216">
        <v>117</v>
      </c>
      <c r="O300" s="217"/>
      <c r="P300" s="217"/>
      <c r="Q300" s="217">
        <v>56</v>
      </c>
      <c r="R300" s="217"/>
      <c r="S300" s="218"/>
    </row>
    <row r="301" spans="1:19" ht="15" customHeight="1">
      <c r="A301" s="413">
        <f t="shared" si="4"/>
        <v>301</v>
      </c>
      <c r="B301" s="26">
        <v>103</v>
      </c>
      <c r="C301" s="153" t="s">
        <v>717</v>
      </c>
      <c r="D301" s="211" t="s">
        <v>180</v>
      </c>
      <c r="E301" s="212" t="s">
        <v>327</v>
      </c>
      <c r="F301" s="213" t="s">
        <v>168</v>
      </c>
      <c r="G301" s="214" t="s">
        <v>601</v>
      </c>
      <c r="H301" s="213" t="s">
        <v>109</v>
      </c>
      <c r="I301" s="215">
        <f>(7.4*8.4)*1.3</f>
        <v>80.808000000000007</v>
      </c>
      <c r="J301" s="216"/>
      <c r="K301" s="216"/>
      <c r="L301" s="216"/>
      <c r="M301" s="216"/>
      <c r="N301" s="216">
        <f>(8.4+7.4+8.4)*2.2</f>
        <v>53.240000000000009</v>
      </c>
      <c r="O301" s="217"/>
      <c r="P301" s="217"/>
      <c r="Q301" s="217">
        <f>0.3*N301</f>
        <v>15.972000000000001</v>
      </c>
      <c r="R301" s="217"/>
      <c r="S301" s="218"/>
    </row>
    <row r="302" spans="1:19" ht="15" customHeight="1">
      <c r="A302" s="413">
        <f t="shared" si="4"/>
        <v>302</v>
      </c>
      <c r="B302" s="26">
        <v>103</v>
      </c>
      <c r="C302" s="153" t="s">
        <v>717</v>
      </c>
      <c r="D302" s="211" t="s">
        <v>180</v>
      </c>
      <c r="E302" s="212" t="s">
        <v>327</v>
      </c>
      <c r="F302" s="213" t="s">
        <v>123</v>
      </c>
      <c r="G302" s="214" t="s">
        <v>788</v>
      </c>
      <c r="H302" s="213" t="s">
        <v>109</v>
      </c>
      <c r="I302" s="215">
        <v>10.4</v>
      </c>
      <c r="J302" s="216"/>
      <c r="K302" s="216"/>
      <c r="L302" s="216"/>
      <c r="M302" s="216"/>
      <c r="N302" s="216">
        <v>25</v>
      </c>
      <c r="O302" s="217"/>
      <c r="P302" s="217"/>
      <c r="Q302" s="217">
        <v>8</v>
      </c>
      <c r="R302" s="217"/>
      <c r="S302" s="218"/>
    </row>
    <row r="303" spans="1:19" ht="15" customHeight="1">
      <c r="A303" s="413">
        <f t="shared" si="4"/>
        <v>303</v>
      </c>
      <c r="B303" s="26">
        <v>103</v>
      </c>
      <c r="C303" s="153" t="s">
        <v>717</v>
      </c>
      <c r="D303" s="211" t="s">
        <v>180</v>
      </c>
      <c r="E303" s="212" t="s">
        <v>54</v>
      </c>
      <c r="F303" s="213" t="s">
        <v>373</v>
      </c>
      <c r="G303" s="214" t="s">
        <v>789</v>
      </c>
      <c r="H303" s="213"/>
      <c r="I303" s="215"/>
      <c r="J303" s="216"/>
      <c r="K303" s="216"/>
      <c r="L303" s="216"/>
      <c r="M303" s="216"/>
      <c r="N303" s="216"/>
      <c r="O303" s="217"/>
      <c r="P303" s="217"/>
      <c r="Q303" s="217"/>
      <c r="R303" s="217"/>
      <c r="S303" s="218" t="s">
        <v>1144</v>
      </c>
    </row>
    <row r="304" spans="1:19" ht="15" customHeight="1">
      <c r="A304" s="413">
        <f t="shared" si="4"/>
        <v>304</v>
      </c>
      <c r="B304" s="26">
        <v>103</v>
      </c>
      <c r="C304" s="153" t="s">
        <v>717</v>
      </c>
      <c r="D304" s="211" t="s">
        <v>180</v>
      </c>
      <c r="E304" s="212" t="s">
        <v>54</v>
      </c>
      <c r="F304" s="213" t="s">
        <v>375</v>
      </c>
      <c r="G304" s="214" t="s">
        <v>790</v>
      </c>
      <c r="H304" s="213"/>
      <c r="I304" s="215">
        <v>0</v>
      </c>
      <c r="J304" s="216"/>
      <c r="K304" s="216"/>
      <c r="L304" s="216"/>
      <c r="M304" s="216"/>
      <c r="N304" s="216"/>
      <c r="O304" s="217"/>
      <c r="P304" s="217"/>
      <c r="Q304" s="217"/>
      <c r="R304" s="217"/>
      <c r="S304" s="218" t="s">
        <v>961</v>
      </c>
    </row>
    <row r="305" spans="1:19" ht="15" customHeight="1">
      <c r="A305" s="413">
        <f t="shared" si="4"/>
        <v>305</v>
      </c>
      <c r="B305" s="26">
        <v>103</v>
      </c>
      <c r="C305" s="153" t="s">
        <v>717</v>
      </c>
      <c r="D305" s="211" t="s">
        <v>180</v>
      </c>
      <c r="E305" s="212" t="s">
        <v>54</v>
      </c>
      <c r="F305" s="213" t="s">
        <v>54</v>
      </c>
      <c r="G305" s="214" t="s">
        <v>791</v>
      </c>
      <c r="H305" s="213" t="s">
        <v>109</v>
      </c>
      <c r="I305" s="215">
        <f>(((18.5+42.8+33.2+47.3+31.5)*8)+(21.5*5.35))*1.3</f>
        <v>1951.8525000000002</v>
      </c>
      <c r="J305" s="216">
        <f>((2.8*3.3)*20)</f>
        <v>184.79999999999995</v>
      </c>
      <c r="K305" s="216"/>
      <c r="L305" s="216"/>
      <c r="M305" s="216">
        <f>12+26</f>
        <v>38</v>
      </c>
      <c r="N305" s="216">
        <f>((194.8*3.3)*2)+((3.2+2.2+3.2+2.2)*3.3)+24+((21.5*3.25)*2)</f>
        <v>1485.0700000000002</v>
      </c>
      <c r="O305" s="217"/>
      <c r="P305" s="217"/>
      <c r="Q305" s="217">
        <f>((18.5+42.8+33.2+47.3+31.5)*14.8)+(21.5*5.35)</f>
        <v>2679.8650000000002</v>
      </c>
      <c r="R305" s="217"/>
      <c r="S305" s="218" t="s">
        <v>521</v>
      </c>
    </row>
    <row r="306" spans="1:19" ht="15" customHeight="1">
      <c r="A306" s="413">
        <f t="shared" si="4"/>
        <v>306</v>
      </c>
      <c r="B306" s="26">
        <v>103</v>
      </c>
      <c r="C306" s="153" t="s">
        <v>717</v>
      </c>
      <c r="D306" s="211" t="s">
        <v>180</v>
      </c>
      <c r="E306" s="212" t="s">
        <v>54</v>
      </c>
      <c r="F306" s="213" t="s">
        <v>373</v>
      </c>
      <c r="G306" s="214" t="s">
        <v>792</v>
      </c>
      <c r="H306" s="213"/>
      <c r="I306" s="215"/>
      <c r="J306" s="216"/>
      <c r="K306" s="216"/>
      <c r="L306" s="216"/>
      <c r="M306" s="216"/>
      <c r="N306" s="216"/>
      <c r="O306" s="217"/>
      <c r="P306" s="217"/>
      <c r="Q306" s="217"/>
      <c r="R306" s="217"/>
      <c r="S306" s="218" t="s">
        <v>1032</v>
      </c>
    </row>
    <row r="307" spans="1:19" ht="15" customHeight="1">
      <c r="A307" s="413">
        <f t="shared" si="4"/>
        <v>307</v>
      </c>
      <c r="B307" s="26">
        <v>103</v>
      </c>
      <c r="C307" s="153" t="s">
        <v>717</v>
      </c>
      <c r="D307" s="211" t="s">
        <v>180</v>
      </c>
      <c r="E307" s="212" t="s">
        <v>54</v>
      </c>
      <c r="F307" s="213" t="s">
        <v>373</v>
      </c>
      <c r="G307" s="214" t="s">
        <v>793</v>
      </c>
      <c r="H307" s="213"/>
      <c r="I307" s="215"/>
      <c r="J307" s="216"/>
      <c r="K307" s="216"/>
      <c r="L307" s="216"/>
      <c r="M307" s="216"/>
      <c r="N307" s="216"/>
      <c r="O307" s="217"/>
      <c r="P307" s="217"/>
      <c r="Q307" s="217"/>
      <c r="R307" s="217"/>
      <c r="S307" s="218" t="s">
        <v>1145</v>
      </c>
    </row>
    <row r="308" spans="1:19" ht="15" customHeight="1">
      <c r="A308" s="413">
        <f t="shared" si="4"/>
        <v>308</v>
      </c>
      <c r="B308" s="26">
        <v>103</v>
      </c>
      <c r="C308" s="153" t="s">
        <v>717</v>
      </c>
      <c r="D308" s="211" t="s">
        <v>180</v>
      </c>
      <c r="E308" s="212" t="s">
        <v>54</v>
      </c>
      <c r="F308" s="213" t="s">
        <v>373</v>
      </c>
      <c r="G308" s="214" t="s">
        <v>794</v>
      </c>
      <c r="H308" s="213"/>
      <c r="I308" s="215"/>
      <c r="J308" s="216"/>
      <c r="K308" s="216"/>
      <c r="L308" s="216"/>
      <c r="M308" s="216"/>
      <c r="N308" s="216"/>
      <c r="O308" s="217"/>
      <c r="P308" s="217"/>
      <c r="Q308" s="217"/>
      <c r="R308" s="217"/>
      <c r="S308" s="218" t="s">
        <v>1146</v>
      </c>
    </row>
    <row r="309" spans="1:19" ht="15" customHeight="1">
      <c r="A309" s="413">
        <f t="shared" si="4"/>
        <v>309</v>
      </c>
      <c r="B309" s="26">
        <v>103</v>
      </c>
      <c r="C309" s="153" t="s">
        <v>717</v>
      </c>
      <c r="D309" s="211" t="s">
        <v>180</v>
      </c>
      <c r="E309" s="212" t="s">
        <v>54</v>
      </c>
      <c r="F309" s="213" t="s">
        <v>733</v>
      </c>
      <c r="G309" s="214" t="s">
        <v>297</v>
      </c>
      <c r="H309" s="213"/>
      <c r="I309" s="215">
        <v>0</v>
      </c>
      <c r="J309" s="216"/>
      <c r="K309" s="216"/>
      <c r="L309" s="216"/>
      <c r="M309" s="216"/>
      <c r="N309" s="216"/>
      <c r="O309" s="217"/>
      <c r="P309" s="217"/>
      <c r="Q309" s="217"/>
      <c r="R309" s="217"/>
      <c r="S309" s="218"/>
    </row>
    <row r="310" spans="1:19" ht="15" customHeight="1">
      <c r="A310" s="413">
        <f t="shared" si="4"/>
        <v>310</v>
      </c>
      <c r="B310" s="26">
        <v>103</v>
      </c>
      <c r="C310" s="153" t="s">
        <v>717</v>
      </c>
      <c r="D310" s="211" t="s">
        <v>180</v>
      </c>
      <c r="E310" s="212" t="s">
        <v>54</v>
      </c>
      <c r="F310" s="213" t="s">
        <v>175</v>
      </c>
      <c r="G310" s="214" t="s">
        <v>796</v>
      </c>
      <c r="H310" s="213" t="s">
        <v>44</v>
      </c>
      <c r="I310" s="215">
        <f>(27.6+22)*1.3</f>
        <v>64.48</v>
      </c>
      <c r="J310" s="216"/>
      <c r="K310" s="216"/>
      <c r="L310" s="216">
        <f>(1.8+1.7+1.65+5.3+2.9+1+3+1+2.6+1+2.2+3.2+0.3+4.6)*3.3</f>
        <v>106.425</v>
      </c>
      <c r="M310" s="216"/>
      <c r="N310" s="216"/>
      <c r="O310" s="217"/>
      <c r="P310" s="217"/>
      <c r="Q310" s="217">
        <f>28</f>
        <v>28</v>
      </c>
      <c r="R310" s="217"/>
      <c r="S310" s="218" t="s">
        <v>821</v>
      </c>
    </row>
    <row r="311" spans="1:19" ht="15" customHeight="1">
      <c r="A311" s="413">
        <f t="shared" si="4"/>
        <v>311</v>
      </c>
      <c r="B311" s="26">
        <v>103</v>
      </c>
      <c r="C311" s="153" t="s">
        <v>717</v>
      </c>
      <c r="D311" s="211" t="s">
        <v>180</v>
      </c>
      <c r="E311" s="212" t="s">
        <v>54</v>
      </c>
      <c r="F311" s="213" t="s">
        <v>175</v>
      </c>
      <c r="G311" s="214" t="s">
        <v>798</v>
      </c>
      <c r="H311" s="213" t="s">
        <v>44</v>
      </c>
      <c r="I311" s="215">
        <f>(1.4*3.4)*1.3</f>
        <v>6.1879999999999997</v>
      </c>
      <c r="J311" s="216"/>
      <c r="K311" s="216"/>
      <c r="L311" s="216">
        <f>(2.4+3.4+2.4+3.4)*3.35</f>
        <v>38.86</v>
      </c>
      <c r="M311" s="216"/>
      <c r="N311" s="216"/>
      <c r="O311" s="217"/>
      <c r="P311" s="217"/>
      <c r="Q311" s="217">
        <f>(2.4*3.4)</f>
        <v>8.16</v>
      </c>
      <c r="R311" s="217"/>
      <c r="S311" s="218"/>
    </row>
    <row r="312" spans="1:19" ht="15" customHeight="1">
      <c r="A312" s="413">
        <f t="shared" si="4"/>
        <v>312</v>
      </c>
      <c r="B312" s="26">
        <v>103</v>
      </c>
      <c r="C312" s="153" t="s">
        <v>717</v>
      </c>
      <c r="D312" s="211" t="s">
        <v>180</v>
      </c>
      <c r="E312" s="212" t="s">
        <v>54</v>
      </c>
      <c r="F312" s="213" t="s">
        <v>546</v>
      </c>
      <c r="G312" s="214" t="s">
        <v>628</v>
      </c>
      <c r="H312" s="213" t="s">
        <v>166</v>
      </c>
      <c r="I312" s="215">
        <v>4.42</v>
      </c>
      <c r="J312" s="216"/>
      <c r="K312" s="216"/>
      <c r="L312" s="216"/>
      <c r="M312" s="216"/>
      <c r="N312" s="216"/>
      <c r="O312" s="217"/>
      <c r="P312" s="217"/>
      <c r="Q312" s="217"/>
      <c r="R312" s="217"/>
      <c r="S312" s="218"/>
    </row>
    <row r="313" spans="1:19" ht="15" customHeight="1">
      <c r="A313" s="413">
        <f t="shared" si="4"/>
        <v>313</v>
      </c>
      <c r="B313" s="26">
        <v>103</v>
      </c>
      <c r="C313" s="153" t="s">
        <v>717</v>
      </c>
      <c r="D313" s="211" t="s">
        <v>180</v>
      </c>
      <c r="E313" s="212" t="s">
        <v>54</v>
      </c>
      <c r="F313" s="213" t="s">
        <v>799</v>
      </c>
      <c r="G313" s="214" t="s">
        <v>800</v>
      </c>
      <c r="H313" s="213" t="s">
        <v>820</v>
      </c>
      <c r="I313" s="215">
        <v>0</v>
      </c>
      <c r="J313" s="216"/>
      <c r="K313" s="216"/>
      <c r="L313" s="216"/>
      <c r="M313" s="216"/>
      <c r="N313" s="216"/>
      <c r="O313" s="217"/>
      <c r="P313" s="217"/>
      <c r="Q313" s="217"/>
      <c r="R313" s="217"/>
      <c r="S313" s="218"/>
    </row>
    <row r="314" spans="1:19" ht="15" customHeight="1">
      <c r="A314" s="413">
        <f t="shared" si="4"/>
        <v>314</v>
      </c>
      <c r="B314" s="26">
        <v>103</v>
      </c>
      <c r="C314" s="153" t="s">
        <v>717</v>
      </c>
      <c r="D314" s="211" t="s">
        <v>180</v>
      </c>
      <c r="E314" s="212" t="s">
        <v>54</v>
      </c>
      <c r="F314" s="213" t="s">
        <v>175</v>
      </c>
      <c r="G314" s="214" t="s">
        <v>801</v>
      </c>
      <c r="H314" s="213" t="s">
        <v>174</v>
      </c>
      <c r="I314" s="215">
        <v>0</v>
      </c>
      <c r="J314" s="216"/>
      <c r="K314" s="216"/>
      <c r="L314" s="216"/>
      <c r="M314" s="216"/>
      <c r="N314" s="216"/>
      <c r="O314" s="217"/>
      <c r="P314" s="217"/>
      <c r="Q314" s="217"/>
      <c r="R314" s="217"/>
      <c r="S314" s="218" t="s">
        <v>1337</v>
      </c>
    </row>
    <row r="315" spans="1:19" ht="15" customHeight="1">
      <c r="A315" s="413">
        <f t="shared" si="4"/>
        <v>315</v>
      </c>
      <c r="B315" s="26">
        <v>103</v>
      </c>
      <c r="C315" s="153" t="s">
        <v>717</v>
      </c>
      <c r="D315" s="211" t="s">
        <v>180</v>
      </c>
      <c r="E315" s="212" t="s">
        <v>54</v>
      </c>
      <c r="F315" s="213" t="s">
        <v>175</v>
      </c>
      <c r="G315" s="214" t="s">
        <v>802</v>
      </c>
      <c r="H315" s="213" t="s">
        <v>44</v>
      </c>
      <c r="I315" s="215">
        <f>(2.8*1.4)*1.3</f>
        <v>5.0959999999999992</v>
      </c>
      <c r="J315" s="216"/>
      <c r="K315" s="216"/>
      <c r="L315" s="216">
        <f>(2.8+1.4+2.8+1.4)*4.25</f>
        <v>35.699999999999996</v>
      </c>
      <c r="M315" s="216"/>
      <c r="N315" s="216"/>
      <c r="O315" s="217"/>
      <c r="P315" s="217">
        <f>I315</f>
        <v>5.0959999999999992</v>
      </c>
      <c r="Q315" s="217"/>
      <c r="R315" s="217"/>
      <c r="S315" s="218"/>
    </row>
    <row r="316" spans="1:19" ht="15" customHeight="1">
      <c r="A316" s="413">
        <f t="shared" si="4"/>
        <v>316</v>
      </c>
      <c r="B316" s="26">
        <v>103</v>
      </c>
      <c r="C316" s="153" t="s">
        <v>717</v>
      </c>
      <c r="D316" s="211" t="s">
        <v>180</v>
      </c>
      <c r="E316" s="212" t="s">
        <v>54</v>
      </c>
      <c r="F316" s="213" t="s">
        <v>546</v>
      </c>
      <c r="G316" s="214" t="s">
        <v>803</v>
      </c>
      <c r="H316" s="213" t="s">
        <v>166</v>
      </c>
      <c r="I316" s="215">
        <f>(3)*1.3</f>
        <v>3.9000000000000004</v>
      </c>
      <c r="J316" s="216"/>
      <c r="K316" s="216"/>
      <c r="L316" s="216"/>
      <c r="M316" s="216"/>
      <c r="N316" s="216"/>
      <c r="O316" s="217"/>
      <c r="P316" s="217"/>
      <c r="Q316" s="217"/>
      <c r="R316" s="217"/>
      <c r="S316" s="218"/>
    </row>
    <row r="317" spans="1:19" ht="15" customHeight="1">
      <c r="A317" s="413">
        <f t="shared" si="4"/>
        <v>317</v>
      </c>
      <c r="B317" s="26">
        <v>103</v>
      </c>
      <c r="C317" s="153" t="s">
        <v>717</v>
      </c>
      <c r="D317" s="211" t="s">
        <v>180</v>
      </c>
      <c r="E317" s="212" t="s">
        <v>54</v>
      </c>
      <c r="F317" s="213" t="s">
        <v>422</v>
      </c>
      <c r="G317" s="214" t="s">
        <v>804</v>
      </c>
      <c r="H317" s="213" t="s">
        <v>176</v>
      </c>
      <c r="I317" s="215">
        <f>(4.65*3.6)*1.3</f>
        <v>21.762000000000004</v>
      </c>
      <c r="J317" s="216"/>
      <c r="K317" s="216"/>
      <c r="L317" s="216"/>
      <c r="M317" s="216"/>
      <c r="N317" s="216">
        <f>(4.65+3.6+4.65+3.6)*3.35</f>
        <v>55.274999999999999</v>
      </c>
      <c r="O317" s="217"/>
      <c r="P317" s="217"/>
      <c r="Q317" s="217">
        <f>I317</f>
        <v>21.762000000000004</v>
      </c>
      <c r="R317" s="217"/>
      <c r="S317" s="218"/>
    </row>
    <row r="318" spans="1:19" ht="15" customHeight="1">
      <c r="A318" s="413">
        <f t="shared" si="4"/>
        <v>318</v>
      </c>
      <c r="B318" s="26">
        <v>103</v>
      </c>
      <c r="C318" s="153" t="s">
        <v>717</v>
      </c>
      <c r="D318" s="211" t="s">
        <v>180</v>
      </c>
      <c r="E318" s="212" t="s">
        <v>54</v>
      </c>
      <c r="F318" s="213" t="s">
        <v>36</v>
      </c>
      <c r="G318" s="214" t="s">
        <v>805</v>
      </c>
      <c r="H318" s="213" t="s">
        <v>176</v>
      </c>
      <c r="I318" s="215">
        <f>((2.2*8.5)+(3.5*4))*1.3</f>
        <v>42.510000000000005</v>
      </c>
      <c r="J318" s="216"/>
      <c r="K318" s="216"/>
      <c r="L318" s="216">
        <f>(2.2+8.5+2.8+3.4+5+11.9)*3.35</f>
        <v>113.22999999999999</v>
      </c>
      <c r="M318" s="216"/>
      <c r="N318" s="216"/>
      <c r="O318" s="217"/>
      <c r="P318" s="217"/>
      <c r="Q318" s="217">
        <f>I318</f>
        <v>42.510000000000005</v>
      </c>
      <c r="R318" s="217"/>
      <c r="S318" s="218"/>
    </row>
    <row r="319" spans="1:19" ht="15" customHeight="1">
      <c r="A319" s="413">
        <f t="shared" si="4"/>
        <v>319</v>
      </c>
      <c r="B319" s="26">
        <v>103</v>
      </c>
      <c r="C319" s="153" t="s">
        <v>717</v>
      </c>
      <c r="D319" s="211" t="s">
        <v>180</v>
      </c>
      <c r="E319" s="212" t="s">
        <v>54</v>
      </c>
      <c r="F319" s="213" t="s">
        <v>36</v>
      </c>
      <c r="G319" s="214" t="s">
        <v>806</v>
      </c>
      <c r="H319" s="213" t="s">
        <v>176</v>
      </c>
      <c r="I319" s="215">
        <f>((2.95*4.4)+(1.75*1.9))*1.3</f>
        <v>21.196500000000004</v>
      </c>
      <c r="J319" s="216"/>
      <c r="K319" s="216"/>
      <c r="L319" s="216">
        <f>(2.95+6.15+1.9+1.75+1.15+4.4)*4.2</f>
        <v>76.860000000000028</v>
      </c>
      <c r="M319" s="216"/>
      <c r="N319" s="216"/>
      <c r="O319" s="217"/>
      <c r="P319" s="217">
        <f>I319</f>
        <v>21.196500000000004</v>
      </c>
      <c r="Q319" s="217"/>
      <c r="R319" s="217"/>
      <c r="S319" s="218"/>
    </row>
    <row r="320" spans="1:19" ht="15" customHeight="1">
      <c r="A320" s="413">
        <f t="shared" si="4"/>
        <v>320</v>
      </c>
      <c r="B320" s="26">
        <v>103</v>
      </c>
      <c r="C320" s="153" t="s">
        <v>717</v>
      </c>
      <c r="D320" s="211" t="s">
        <v>180</v>
      </c>
      <c r="E320" s="212" t="s">
        <v>54</v>
      </c>
      <c r="F320" s="213" t="s">
        <v>435</v>
      </c>
      <c r="G320" s="214" t="s">
        <v>807</v>
      </c>
      <c r="H320" s="213" t="s">
        <v>44</v>
      </c>
      <c r="I320" s="215">
        <f>(2.5*3.3)*1.3</f>
        <v>10.725</v>
      </c>
      <c r="J320" s="216"/>
      <c r="K320" s="216"/>
      <c r="L320" s="216">
        <f>(2.5+3.3+2.5+3.3)*3.3</f>
        <v>38.28</v>
      </c>
      <c r="M320" s="216"/>
      <c r="N320" s="216"/>
      <c r="O320" s="217"/>
      <c r="P320" s="217"/>
      <c r="Q320" s="217">
        <f>I320</f>
        <v>10.725</v>
      </c>
      <c r="R320" s="217"/>
      <c r="S320" s="218"/>
    </row>
    <row r="321" spans="1:19" ht="15" customHeight="1">
      <c r="A321" s="413">
        <f t="shared" si="4"/>
        <v>321</v>
      </c>
      <c r="B321" s="26">
        <v>103</v>
      </c>
      <c r="C321" s="153" t="s">
        <v>717</v>
      </c>
      <c r="D321" s="211" t="s">
        <v>180</v>
      </c>
      <c r="E321" s="212" t="s">
        <v>54</v>
      </c>
      <c r="F321" s="213" t="s">
        <v>437</v>
      </c>
      <c r="G321" s="214" t="s">
        <v>808</v>
      </c>
      <c r="H321" s="213" t="s">
        <v>44</v>
      </c>
      <c r="I321" s="215">
        <f>(2.5*3.35)*1.3</f>
        <v>10.887500000000001</v>
      </c>
      <c r="J321" s="216"/>
      <c r="K321" s="216"/>
      <c r="L321" s="216">
        <f>(2.5+3.35+2.5+3.35)*3.3</f>
        <v>38.609999999999992</v>
      </c>
      <c r="M321" s="216"/>
      <c r="N321" s="216"/>
      <c r="O321" s="217"/>
      <c r="P321" s="217"/>
      <c r="Q321" s="217">
        <f>I321</f>
        <v>10.887500000000001</v>
      </c>
      <c r="R321" s="217"/>
      <c r="S321" s="218"/>
    </row>
    <row r="322" spans="1:19" ht="15" customHeight="1">
      <c r="A322" s="413">
        <f t="shared" si="4"/>
        <v>322</v>
      </c>
      <c r="B322" s="26">
        <v>103</v>
      </c>
      <c r="C322" s="153" t="s">
        <v>717</v>
      </c>
      <c r="D322" s="211" t="s">
        <v>180</v>
      </c>
      <c r="E322" s="212" t="s">
        <v>54</v>
      </c>
      <c r="F322" s="213" t="s">
        <v>809</v>
      </c>
      <c r="G322" s="214" t="s">
        <v>810</v>
      </c>
      <c r="H322" s="213"/>
      <c r="I322" s="215">
        <v>0</v>
      </c>
      <c r="J322" s="216"/>
      <c r="K322" s="216"/>
      <c r="L322" s="216"/>
      <c r="M322" s="216"/>
      <c r="N322" s="216"/>
      <c r="O322" s="217"/>
      <c r="P322" s="217"/>
      <c r="Q322" s="217"/>
      <c r="R322" s="217"/>
      <c r="S322" s="218" t="s">
        <v>822</v>
      </c>
    </row>
    <row r="323" spans="1:19" ht="15" customHeight="1">
      <c r="A323" s="413">
        <f t="shared" ref="A323:A386" si="5">1+A322</f>
        <v>323</v>
      </c>
      <c r="B323" s="26">
        <v>103</v>
      </c>
      <c r="C323" s="153" t="s">
        <v>717</v>
      </c>
      <c r="D323" s="211" t="s">
        <v>180</v>
      </c>
      <c r="E323" s="212" t="s">
        <v>54</v>
      </c>
      <c r="F323" s="213" t="s">
        <v>439</v>
      </c>
      <c r="G323" s="214" t="s">
        <v>811</v>
      </c>
      <c r="H323" s="213" t="s">
        <v>176</v>
      </c>
      <c r="I323" s="215">
        <f>(3*3.35)*1.3</f>
        <v>13.065000000000001</v>
      </c>
      <c r="J323" s="216"/>
      <c r="K323" s="216"/>
      <c r="L323" s="216"/>
      <c r="M323" s="216"/>
      <c r="N323" s="216">
        <f>(3+3.35+3+3.35)*3.35</f>
        <v>42.545000000000002</v>
      </c>
      <c r="O323" s="217"/>
      <c r="P323" s="217"/>
      <c r="Q323" s="217">
        <f>I323</f>
        <v>13.065000000000001</v>
      </c>
      <c r="R323" s="217"/>
      <c r="S323" s="218"/>
    </row>
    <row r="324" spans="1:19" ht="15" customHeight="1">
      <c r="A324" s="413">
        <f t="shared" si="5"/>
        <v>324</v>
      </c>
      <c r="B324" s="26">
        <v>103</v>
      </c>
      <c r="C324" s="153" t="s">
        <v>717</v>
      </c>
      <c r="D324" s="211" t="s">
        <v>180</v>
      </c>
      <c r="E324" s="212" t="s">
        <v>54</v>
      </c>
      <c r="F324" s="213" t="s">
        <v>597</v>
      </c>
      <c r="G324" s="214" t="s">
        <v>812</v>
      </c>
      <c r="H324" s="213"/>
      <c r="I324" s="215">
        <v>0</v>
      </c>
      <c r="J324" s="216"/>
      <c r="K324" s="216"/>
      <c r="L324" s="216"/>
      <c r="M324" s="216"/>
      <c r="N324" s="216"/>
      <c r="O324" s="217"/>
      <c r="P324" s="217"/>
      <c r="Q324" s="217"/>
      <c r="R324" s="217"/>
      <c r="S324" s="218" t="s">
        <v>823</v>
      </c>
    </row>
    <row r="325" spans="1:19" ht="15" customHeight="1">
      <c r="A325" s="413">
        <f t="shared" si="5"/>
        <v>325</v>
      </c>
      <c r="B325" s="26">
        <v>103</v>
      </c>
      <c r="C325" s="153" t="s">
        <v>717</v>
      </c>
      <c r="D325" s="211" t="s">
        <v>180</v>
      </c>
      <c r="E325" s="212" t="s">
        <v>54</v>
      </c>
      <c r="F325" s="213" t="s">
        <v>461</v>
      </c>
      <c r="G325" s="214" t="s">
        <v>813</v>
      </c>
      <c r="H325" s="213" t="s">
        <v>44</v>
      </c>
      <c r="I325" s="215">
        <f>(4.75*2.9)*1.3</f>
        <v>17.907500000000002</v>
      </c>
      <c r="J325" s="216"/>
      <c r="K325" s="216"/>
      <c r="L325" s="216">
        <f>(4.75+2.9+4.75+2.9)*2.9</f>
        <v>44.37</v>
      </c>
      <c r="M325" s="216"/>
      <c r="N325" s="216"/>
      <c r="O325" s="217"/>
      <c r="P325" s="217"/>
      <c r="Q325" s="217">
        <f>I325</f>
        <v>17.907500000000002</v>
      </c>
      <c r="R325" s="217"/>
      <c r="S325" s="218"/>
    </row>
    <row r="326" spans="1:19" ht="15" customHeight="1">
      <c r="A326" s="413">
        <f t="shared" si="5"/>
        <v>326</v>
      </c>
      <c r="B326" s="26">
        <v>103</v>
      </c>
      <c r="C326" s="153" t="s">
        <v>717</v>
      </c>
      <c r="D326" s="211" t="s">
        <v>180</v>
      </c>
      <c r="E326" s="212" t="s">
        <v>54</v>
      </c>
      <c r="F326" s="213" t="s">
        <v>461</v>
      </c>
      <c r="G326" s="214" t="s">
        <v>814</v>
      </c>
      <c r="H326" s="213" t="s">
        <v>176</v>
      </c>
      <c r="I326" s="215">
        <f>((2.65*4.45)-(0.55*0.8))*1.3</f>
        <v>14.758250000000002</v>
      </c>
      <c r="J326" s="216"/>
      <c r="K326" s="216"/>
      <c r="L326" s="216"/>
      <c r="M326" s="216"/>
      <c r="N326" s="216">
        <f>(2.65+4.45+2.65+0.55+0.55+4.45)*4.25</f>
        <v>65.025000000000006</v>
      </c>
      <c r="O326" s="217"/>
      <c r="P326" s="217"/>
      <c r="Q326" s="217">
        <f>I326</f>
        <v>14.758250000000002</v>
      </c>
      <c r="R326" s="217"/>
      <c r="S326" s="218"/>
    </row>
    <row r="327" spans="1:19" ht="15" customHeight="1">
      <c r="A327" s="413">
        <f t="shared" si="5"/>
        <v>327</v>
      </c>
      <c r="B327" s="26">
        <v>103</v>
      </c>
      <c r="C327" s="153" t="s">
        <v>717</v>
      </c>
      <c r="D327" s="211" t="s">
        <v>180</v>
      </c>
      <c r="E327" s="212" t="s">
        <v>54</v>
      </c>
      <c r="F327" s="213" t="s">
        <v>168</v>
      </c>
      <c r="G327" s="214" t="s">
        <v>815</v>
      </c>
      <c r="H327" s="213" t="s">
        <v>109</v>
      </c>
      <c r="I327" s="215">
        <f>((6.8+4+6.7)*2.7)*1.3</f>
        <v>61.425000000000004</v>
      </c>
      <c r="J327" s="216"/>
      <c r="K327" s="216"/>
      <c r="L327" s="216"/>
      <c r="M327" s="216"/>
      <c r="N327" s="216">
        <f>((6.8+2.7+6.8)*1.95)+((4+4)*2.3)+((6.7+2.7+6.7)*2)+(1.7*1.4)+(1.7*2.1)+((1.7*1.4)/2)+((2.9*2.1)/2)</f>
        <v>92.57</v>
      </c>
      <c r="O327" s="217"/>
      <c r="P327" s="217"/>
      <c r="Q327" s="217">
        <f>I327*0.3</f>
        <v>18.427500000000002</v>
      </c>
      <c r="R327" s="217"/>
      <c r="S327" s="218"/>
    </row>
    <row r="328" spans="1:19" ht="15" customHeight="1">
      <c r="A328" s="413">
        <f t="shared" si="5"/>
        <v>328</v>
      </c>
      <c r="B328" s="26">
        <v>103</v>
      </c>
      <c r="C328" s="153" t="s">
        <v>717</v>
      </c>
      <c r="D328" s="211" t="s">
        <v>180</v>
      </c>
      <c r="E328" s="212" t="s">
        <v>54</v>
      </c>
      <c r="F328" s="213" t="s">
        <v>168</v>
      </c>
      <c r="G328" s="214" t="s">
        <v>657</v>
      </c>
      <c r="H328" s="213" t="s">
        <v>109</v>
      </c>
      <c r="I328" s="215">
        <f>(5.15*6.7)*1.3</f>
        <v>44.856500000000004</v>
      </c>
      <c r="J328" s="216"/>
      <c r="K328" s="216"/>
      <c r="L328" s="216"/>
      <c r="M328" s="216"/>
      <c r="N328" s="216">
        <f>(5.15+6.7+5.15+6.7)*2.2</f>
        <v>52.14</v>
      </c>
      <c r="O328" s="217"/>
      <c r="P328" s="217"/>
      <c r="Q328" s="217"/>
      <c r="R328" s="217"/>
      <c r="S328" s="218" t="s">
        <v>824</v>
      </c>
    </row>
    <row r="329" spans="1:19" ht="15" customHeight="1">
      <c r="A329" s="413">
        <f t="shared" si="5"/>
        <v>329</v>
      </c>
      <c r="B329" s="26">
        <v>103</v>
      </c>
      <c r="C329" s="153" t="s">
        <v>717</v>
      </c>
      <c r="D329" s="211" t="s">
        <v>180</v>
      </c>
      <c r="E329" s="212" t="s">
        <v>54</v>
      </c>
      <c r="F329" s="213" t="s">
        <v>123</v>
      </c>
      <c r="G329" s="214" t="s">
        <v>816</v>
      </c>
      <c r="H329" s="213" t="s">
        <v>109</v>
      </c>
      <c r="I329" s="215">
        <f>(2*3)*1.3</f>
        <v>7.8000000000000007</v>
      </c>
      <c r="J329" s="216"/>
      <c r="K329" s="216"/>
      <c r="L329" s="216"/>
      <c r="M329" s="216"/>
      <c r="N329" s="216">
        <f>10*3.35</f>
        <v>33.5</v>
      </c>
      <c r="O329" s="217"/>
      <c r="P329" s="217"/>
      <c r="Q329" s="217">
        <f>I329</f>
        <v>7.8000000000000007</v>
      </c>
      <c r="R329" s="217"/>
      <c r="S329" s="218"/>
    </row>
    <row r="330" spans="1:19" ht="15" customHeight="1">
      <c r="A330" s="413">
        <f t="shared" si="5"/>
        <v>330</v>
      </c>
      <c r="B330" s="26">
        <v>103</v>
      </c>
      <c r="C330" s="153" t="s">
        <v>717</v>
      </c>
      <c r="D330" s="211" t="s">
        <v>180</v>
      </c>
      <c r="E330" s="212" t="s">
        <v>54</v>
      </c>
      <c r="F330" s="213" t="s">
        <v>488</v>
      </c>
      <c r="G330" s="214" t="s">
        <v>817</v>
      </c>
      <c r="H330" s="213" t="s">
        <v>109</v>
      </c>
      <c r="I330" s="215">
        <f>(2.4*1.9)*1.3</f>
        <v>5.9279999999999999</v>
      </c>
      <c r="J330" s="216"/>
      <c r="K330" s="216"/>
      <c r="L330" s="216">
        <f>(2.4*2.25)+(2.4*1)+(1.9*1.25)+(1.9*1)+(1.9*1)</f>
        <v>13.975</v>
      </c>
      <c r="M330" s="216"/>
      <c r="N330" s="216"/>
      <c r="O330" s="217"/>
      <c r="P330" s="217">
        <f>I330*1.3</f>
        <v>7.7064000000000004</v>
      </c>
      <c r="Q330" s="217"/>
      <c r="R330" s="217"/>
      <c r="S330" s="218"/>
    </row>
    <row r="331" spans="1:19" ht="15" customHeight="1">
      <c r="A331" s="413">
        <f t="shared" si="5"/>
        <v>331</v>
      </c>
      <c r="B331" s="26">
        <v>103</v>
      </c>
      <c r="C331" s="153" t="s">
        <v>717</v>
      </c>
      <c r="D331" s="211" t="s">
        <v>180</v>
      </c>
      <c r="E331" s="212" t="s">
        <v>54</v>
      </c>
      <c r="F331" s="213" t="s">
        <v>488</v>
      </c>
      <c r="G331" s="214" t="s">
        <v>818</v>
      </c>
      <c r="H331" s="213" t="s">
        <v>176</v>
      </c>
      <c r="I331" s="215">
        <f>(1.7*1.7)*1.3</f>
        <v>3.7569999999999997</v>
      </c>
      <c r="J331" s="216"/>
      <c r="K331" s="216"/>
      <c r="L331" s="216"/>
      <c r="M331" s="216"/>
      <c r="N331" s="216">
        <f>(1.7+1.7+1.7+1.7)*2.3</f>
        <v>15.639999999999999</v>
      </c>
      <c r="O331" s="217"/>
      <c r="P331" s="217"/>
      <c r="Q331" s="217">
        <f>I331</f>
        <v>3.7569999999999997</v>
      </c>
      <c r="R331" s="217"/>
      <c r="S331" s="218" t="s">
        <v>825</v>
      </c>
    </row>
    <row r="332" spans="1:19" ht="15" customHeight="1">
      <c r="A332" s="413">
        <f t="shared" si="5"/>
        <v>332</v>
      </c>
      <c r="B332" s="26">
        <v>103</v>
      </c>
      <c r="C332" s="153" t="s">
        <v>717</v>
      </c>
      <c r="D332" s="211" t="s">
        <v>180</v>
      </c>
      <c r="E332" s="212" t="s">
        <v>54</v>
      </c>
      <c r="F332" s="213" t="s">
        <v>488</v>
      </c>
      <c r="G332" s="214" t="s">
        <v>819</v>
      </c>
      <c r="H332" s="213" t="s">
        <v>174</v>
      </c>
      <c r="I332" s="215">
        <f>(2.8*2.2)*1.3</f>
        <v>8.0080000000000009</v>
      </c>
      <c r="J332" s="216"/>
      <c r="K332" s="216"/>
      <c r="L332" s="216"/>
      <c r="M332" s="216"/>
      <c r="N332" s="216"/>
      <c r="O332" s="217"/>
      <c r="P332" s="217"/>
      <c r="Q332" s="217"/>
      <c r="R332" s="217"/>
      <c r="S332" s="218"/>
    </row>
    <row r="333" spans="1:19" ht="15" customHeight="1">
      <c r="A333" s="413">
        <f t="shared" si="5"/>
        <v>333</v>
      </c>
      <c r="B333" s="26">
        <v>103</v>
      </c>
      <c r="C333" s="153" t="s">
        <v>717</v>
      </c>
      <c r="D333" s="211" t="s">
        <v>180</v>
      </c>
      <c r="E333" s="212" t="s">
        <v>621</v>
      </c>
      <c r="F333" s="213" t="s">
        <v>622</v>
      </c>
      <c r="G333" s="214" t="s">
        <v>297</v>
      </c>
      <c r="H333" s="213"/>
      <c r="I333" s="215">
        <v>0</v>
      </c>
      <c r="J333" s="216"/>
      <c r="K333" s="216"/>
      <c r="L333" s="216"/>
      <c r="M333" s="216"/>
      <c r="N333" s="216"/>
      <c r="O333" s="217"/>
      <c r="P333" s="217"/>
      <c r="Q333" s="217"/>
      <c r="R333" s="217"/>
      <c r="S333" s="218"/>
    </row>
    <row r="334" spans="1:19" ht="15" customHeight="1">
      <c r="A334" s="413">
        <f t="shared" si="5"/>
        <v>334</v>
      </c>
      <c r="B334" s="26">
        <v>103</v>
      </c>
      <c r="C334" s="153" t="s">
        <v>717</v>
      </c>
      <c r="D334" s="211" t="s">
        <v>180</v>
      </c>
      <c r="E334" s="212" t="s">
        <v>621</v>
      </c>
      <c r="F334" s="213" t="s">
        <v>546</v>
      </c>
      <c r="G334" s="214" t="s">
        <v>674</v>
      </c>
      <c r="H334" s="213"/>
      <c r="I334" s="215">
        <v>0</v>
      </c>
      <c r="J334" s="216"/>
      <c r="K334" s="216"/>
      <c r="L334" s="216"/>
      <c r="M334" s="216"/>
      <c r="N334" s="216"/>
      <c r="O334" s="217"/>
      <c r="P334" s="217"/>
      <c r="Q334" s="217"/>
      <c r="R334" s="217"/>
      <c r="S334" s="218" t="s">
        <v>845</v>
      </c>
    </row>
    <row r="335" spans="1:19" ht="15" customHeight="1">
      <c r="A335" s="413">
        <f t="shared" si="5"/>
        <v>335</v>
      </c>
      <c r="B335" s="26">
        <v>103</v>
      </c>
      <c r="C335" s="153" t="s">
        <v>717</v>
      </c>
      <c r="D335" s="211" t="s">
        <v>180</v>
      </c>
      <c r="E335" s="212" t="s">
        <v>621</v>
      </c>
      <c r="F335" s="213" t="s">
        <v>175</v>
      </c>
      <c r="G335" s="214" t="s">
        <v>826</v>
      </c>
      <c r="H335" s="213" t="s">
        <v>109</v>
      </c>
      <c r="I335" s="215">
        <v>1.3</v>
      </c>
      <c r="J335" s="216"/>
      <c r="K335" s="216"/>
      <c r="L335" s="216">
        <v>16.2</v>
      </c>
      <c r="M335" s="216"/>
      <c r="N335" s="216"/>
      <c r="O335" s="217"/>
      <c r="P335" s="217">
        <v>1</v>
      </c>
      <c r="Q335" s="217"/>
      <c r="R335" s="217"/>
      <c r="S335" s="218"/>
    </row>
    <row r="336" spans="1:19" ht="15" customHeight="1">
      <c r="A336" s="413">
        <f t="shared" si="5"/>
        <v>336</v>
      </c>
      <c r="B336" s="26">
        <v>103</v>
      </c>
      <c r="C336" s="153" t="s">
        <v>717</v>
      </c>
      <c r="D336" s="211" t="s">
        <v>180</v>
      </c>
      <c r="E336" s="212" t="s">
        <v>621</v>
      </c>
      <c r="F336" s="213" t="s">
        <v>630</v>
      </c>
      <c r="G336" s="214" t="s">
        <v>828</v>
      </c>
      <c r="H336" s="213" t="s">
        <v>19</v>
      </c>
      <c r="I336" s="215">
        <v>73</v>
      </c>
      <c r="J336" s="216"/>
      <c r="K336" s="216"/>
      <c r="L336" s="216">
        <v>171</v>
      </c>
      <c r="M336" s="216"/>
      <c r="N336" s="216"/>
      <c r="O336" s="217"/>
      <c r="P336" s="217">
        <v>73</v>
      </c>
      <c r="Q336" s="217"/>
      <c r="R336" s="217"/>
      <c r="S336" s="218"/>
    </row>
    <row r="337" spans="1:19" ht="15" customHeight="1">
      <c r="A337" s="413">
        <f t="shared" si="5"/>
        <v>337</v>
      </c>
      <c r="B337" s="26">
        <v>103</v>
      </c>
      <c r="C337" s="153" t="s">
        <v>717</v>
      </c>
      <c r="D337" s="211" t="s">
        <v>180</v>
      </c>
      <c r="E337" s="212" t="s">
        <v>621</v>
      </c>
      <c r="F337" s="213" t="s">
        <v>630</v>
      </c>
      <c r="G337" s="214" t="s">
        <v>829</v>
      </c>
      <c r="H337" s="213" t="s">
        <v>19</v>
      </c>
      <c r="I337" s="215">
        <v>1123</v>
      </c>
      <c r="J337" s="216"/>
      <c r="K337" s="216"/>
      <c r="L337" s="216">
        <v>673</v>
      </c>
      <c r="M337" s="216"/>
      <c r="N337" s="216"/>
      <c r="O337" s="217"/>
      <c r="P337" s="217">
        <v>1123</v>
      </c>
      <c r="Q337" s="217"/>
      <c r="R337" s="217"/>
      <c r="S337" s="218"/>
    </row>
    <row r="338" spans="1:19" ht="15" customHeight="1">
      <c r="A338" s="413">
        <f t="shared" si="5"/>
        <v>338</v>
      </c>
      <c r="B338" s="26">
        <v>103</v>
      </c>
      <c r="C338" s="153" t="s">
        <v>717</v>
      </c>
      <c r="D338" s="211" t="s">
        <v>180</v>
      </c>
      <c r="E338" s="212" t="s">
        <v>621</v>
      </c>
      <c r="F338" s="213" t="s">
        <v>546</v>
      </c>
      <c r="G338" s="214" t="s">
        <v>830</v>
      </c>
      <c r="H338" s="213"/>
      <c r="I338" s="215">
        <v>0</v>
      </c>
      <c r="J338" s="216"/>
      <c r="K338" s="216"/>
      <c r="L338" s="216"/>
      <c r="M338" s="216"/>
      <c r="N338" s="216"/>
      <c r="O338" s="217"/>
      <c r="P338" s="217"/>
      <c r="Q338" s="217"/>
      <c r="R338" s="217"/>
      <c r="S338" s="218" t="s">
        <v>846</v>
      </c>
    </row>
    <row r="339" spans="1:19" ht="15" customHeight="1">
      <c r="A339" s="413">
        <f t="shared" si="5"/>
        <v>339</v>
      </c>
      <c r="B339" s="26">
        <v>103</v>
      </c>
      <c r="C339" s="153" t="s">
        <v>717</v>
      </c>
      <c r="D339" s="211" t="s">
        <v>180</v>
      </c>
      <c r="E339" s="212" t="s">
        <v>621</v>
      </c>
      <c r="F339" s="213" t="s">
        <v>546</v>
      </c>
      <c r="G339" s="214" t="s">
        <v>831</v>
      </c>
      <c r="H339" s="213" t="s">
        <v>19</v>
      </c>
      <c r="I339" s="215">
        <v>2.6</v>
      </c>
      <c r="J339" s="216"/>
      <c r="K339" s="216"/>
      <c r="L339" s="216">
        <v>5</v>
      </c>
      <c r="M339" s="216"/>
      <c r="N339" s="216"/>
      <c r="O339" s="217"/>
      <c r="P339" s="217"/>
      <c r="Q339" s="217"/>
      <c r="R339" s="217"/>
      <c r="S339" s="218"/>
    </row>
    <row r="340" spans="1:19" ht="15" customHeight="1">
      <c r="A340" s="413">
        <f t="shared" si="5"/>
        <v>340</v>
      </c>
      <c r="B340" s="26">
        <v>103</v>
      </c>
      <c r="C340" s="153" t="s">
        <v>717</v>
      </c>
      <c r="D340" s="211" t="s">
        <v>180</v>
      </c>
      <c r="E340" s="212" t="s">
        <v>621</v>
      </c>
      <c r="F340" s="213" t="s">
        <v>175</v>
      </c>
      <c r="G340" s="214" t="s">
        <v>832</v>
      </c>
      <c r="H340" s="213" t="s">
        <v>109</v>
      </c>
      <c r="I340" s="215">
        <v>1.3</v>
      </c>
      <c r="J340" s="216"/>
      <c r="K340" s="216"/>
      <c r="L340" s="216">
        <v>3</v>
      </c>
      <c r="M340" s="216"/>
      <c r="N340" s="216"/>
      <c r="O340" s="217"/>
      <c r="P340" s="217"/>
      <c r="Q340" s="217"/>
      <c r="R340" s="217"/>
      <c r="S340" s="218"/>
    </row>
    <row r="341" spans="1:19" ht="15" customHeight="1">
      <c r="A341" s="413">
        <f t="shared" si="5"/>
        <v>341</v>
      </c>
      <c r="B341" s="26">
        <v>103</v>
      </c>
      <c r="C341" s="153" t="s">
        <v>717</v>
      </c>
      <c r="D341" s="211" t="s">
        <v>180</v>
      </c>
      <c r="E341" s="212" t="s">
        <v>621</v>
      </c>
      <c r="F341" s="213" t="s">
        <v>833</v>
      </c>
      <c r="G341" s="214" t="s">
        <v>834</v>
      </c>
      <c r="H341" s="213" t="s">
        <v>19</v>
      </c>
      <c r="I341" s="215">
        <v>17</v>
      </c>
      <c r="J341" s="216"/>
      <c r="K341" s="216"/>
      <c r="L341" s="216">
        <v>33</v>
      </c>
      <c r="M341" s="216"/>
      <c r="N341" s="216"/>
      <c r="O341" s="217"/>
      <c r="P341" s="217">
        <v>17</v>
      </c>
      <c r="Q341" s="217"/>
      <c r="R341" s="217"/>
      <c r="S341" s="218"/>
    </row>
    <row r="342" spans="1:19" ht="15" customHeight="1">
      <c r="A342" s="413">
        <f t="shared" si="5"/>
        <v>342</v>
      </c>
      <c r="B342" s="26">
        <v>103</v>
      </c>
      <c r="C342" s="153" t="s">
        <v>717</v>
      </c>
      <c r="D342" s="211" t="s">
        <v>180</v>
      </c>
      <c r="E342" s="212" t="s">
        <v>621</v>
      </c>
      <c r="F342" s="213" t="s">
        <v>835</v>
      </c>
      <c r="G342" s="214" t="s">
        <v>836</v>
      </c>
      <c r="H342" s="213" t="s">
        <v>19</v>
      </c>
      <c r="I342" s="215">
        <v>16</v>
      </c>
      <c r="J342" s="216"/>
      <c r="K342" s="216"/>
      <c r="L342" s="216">
        <v>26</v>
      </c>
      <c r="M342" s="216"/>
      <c r="N342" s="216"/>
      <c r="O342" s="217"/>
      <c r="P342" s="217">
        <v>16</v>
      </c>
      <c r="Q342" s="217"/>
      <c r="R342" s="217"/>
      <c r="S342" s="218"/>
    </row>
    <row r="343" spans="1:19" ht="15" customHeight="1">
      <c r="A343" s="413">
        <f t="shared" si="5"/>
        <v>343</v>
      </c>
      <c r="B343" s="26">
        <v>103</v>
      </c>
      <c r="C343" s="153" t="s">
        <v>717</v>
      </c>
      <c r="D343" s="211" t="s">
        <v>180</v>
      </c>
      <c r="E343" s="212" t="s">
        <v>621</v>
      </c>
      <c r="F343" s="213" t="s">
        <v>837</v>
      </c>
      <c r="G343" s="214" t="s">
        <v>838</v>
      </c>
      <c r="H343" s="213" t="s">
        <v>19</v>
      </c>
      <c r="I343" s="215">
        <v>19</v>
      </c>
      <c r="J343" s="216"/>
      <c r="K343" s="216"/>
      <c r="L343" s="216">
        <v>40</v>
      </c>
      <c r="M343" s="216"/>
      <c r="N343" s="216"/>
      <c r="O343" s="217"/>
      <c r="P343" s="217">
        <v>19</v>
      </c>
      <c r="Q343" s="217"/>
      <c r="R343" s="217"/>
      <c r="S343" s="218"/>
    </row>
    <row r="344" spans="1:19" ht="15" customHeight="1">
      <c r="A344" s="413">
        <f t="shared" si="5"/>
        <v>344</v>
      </c>
      <c r="B344" s="26">
        <v>103</v>
      </c>
      <c r="C344" s="153" t="s">
        <v>717</v>
      </c>
      <c r="D344" s="211" t="s">
        <v>180</v>
      </c>
      <c r="E344" s="212" t="s">
        <v>621</v>
      </c>
      <c r="F344" s="213" t="s">
        <v>597</v>
      </c>
      <c r="G344" s="214" t="s">
        <v>839</v>
      </c>
      <c r="H344" s="213" t="s">
        <v>109</v>
      </c>
      <c r="I344" s="215">
        <f>((2.8*4.5)+(3.5*4))*1.3</f>
        <v>34.580000000000005</v>
      </c>
      <c r="J344" s="216"/>
      <c r="K344" s="216"/>
      <c r="L344" s="216"/>
      <c r="M344" s="216"/>
      <c r="N344" s="216">
        <f>(2.8+4.5+1.2+3.5+4+8)*3</f>
        <v>72</v>
      </c>
      <c r="O344" s="217"/>
      <c r="P344" s="217">
        <f>I344</f>
        <v>34.580000000000005</v>
      </c>
      <c r="Q344" s="217"/>
      <c r="R344" s="217"/>
      <c r="S344" s="218"/>
    </row>
    <row r="345" spans="1:19" ht="15" customHeight="1">
      <c r="A345" s="413">
        <f t="shared" si="5"/>
        <v>345</v>
      </c>
      <c r="B345" s="26">
        <v>103</v>
      </c>
      <c r="C345" s="153" t="s">
        <v>717</v>
      </c>
      <c r="D345" s="211" t="s">
        <v>180</v>
      </c>
      <c r="E345" s="212" t="s">
        <v>621</v>
      </c>
      <c r="F345" s="213" t="s">
        <v>647</v>
      </c>
      <c r="G345" s="214" t="s">
        <v>840</v>
      </c>
      <c r="H345" s="213" t="s">
        <v>19</v>
      </c>
      <c r="I345" s="215">
        <v>22</v>
      </c>
      <c r="J345" s="216"/>
      <c r="K345" s="216"/>
      <c r="L345" s="216">
        <v>41</v>
      </c>
      <c r="M345" s="216"/>
      <c r="N345" s="216"/>
      <c r="O345" s="217"/>
      <c r="P345" s="217">
        <v>22</v>
      </c>
      <c r="Q345" s="217"/>
      <c r="R345" s="217"/>
      <c r="S345" s="218"/>
    </row>
    <row r="346" spans="1:19" ht="15" customHeight="1">
      <c r="A346" s="413">
        <f t="shared" si="5"/>
        <v>346</v>
      </c>
      <c r="B346" s="26">
        <v>103</v>
      </c>
      <c r="C346" s="153" t="s">
        <v>717</v>
      </c>
      <c r="D346" s="211" t="s">
        <v>180</v>
      </c>
      <c r="E346" s="212" t="s">
        <v>621</v>
      </c>
      <c r="F346" s="213" t="s">
        <v>597</v>
      </c>
      <c r="G346" s="214" t="s">
        <v>680</v>
      </c>
      <c r="H346" s="213" t="s">
        <v>109</v>
      </c>
      <c r="I346" s="215">
        <f>(3.4*4.6)*1.3</f>
        <v>20.332000000000001</v>
      </c>
      <c r="J346" s="216"/>
      <c r="K346" s="216"/>
      <c r="L346" s="216"/>
      <c r="M346" s="216"/>
      <c r="N346" s="216">
        <f>(3.4+4.6+3.4+4.6)*6.15</f>
        <v>98.4</v>
      </c>
      <c r="O346" s="217"/>
      <c r="P346" s="217">
        <f>I346</f>
        <v>20.332000000000001</v>
      </c>
      <c r="Q346" s="217"/>
      <c r="R346" s="217"/>
      <c r="S346" s="218"/>
    </row>
    <row r="347" spans="1:19" ht="15" customHeight="1">
      <c r="A347" s="413">
        <f t="shared" si="5"/>
        <v>347</v>
      </c>
      <c r="B347" s="26">
        <v>103</v>
      </c>
      <c r="C347" s="153" t="s">
        <v>717</v>
      </c>
      <c r="D347" s="211" t="s">
        <v>180</v>
      </c>
      <c r="E347" s="212" t="s">
        <v>621</v>
      </c>
      <c r="F347" s="213" t="s">
        <v>647</v>
      </c>
      <c r="G347" s="214" t="s">
        <v>681</v>
      </c>
      <c r="H347" s="213" t="s">
        <v>19</v>
      </c>
      <c r="I347" s="215">
        <v>22</v>
      </c>
      <c r="J347" s="216"/>
      <c r="K347" s="216"/>
      <c r="L347" s="216">
        <v>26</v>
      </c>
      <c r="M347" s="216"/>
      <c r="N347" s="216"/>
      <c r="O347" s="217"/>
      <c r="P347" s="217">
        <v>22</v>
      </c>
      <c r="Q347" s="217"/>
      <c r="R347" s="217"/>
      <c r="S347" s="218"/>
    </row>
    <row r="348" spans="1:19" ht="15" customHeight="1">
      <c r="A348" s="413">
        <f t="shared" si="5"/>
        <v>348</v>
      </c>
      <c r="B348" s="26">
        <v>103</v>
      </c>
      <c r="C348" s="153" t="s">
        <v>717</v>
      </c>
      <c r="D348" s="211" t="s">
        <v>180</v>
      </c>
      <c r="E348" s="212" t="s">
        <v>621</v>
      </c>
      <c r="F348" s="213" t="s">
        <v>841</v>
      </c>
      <c r="G348" s="214" t="s">
        <v>842</v>
      </c>
      <c r="H348" s="213" t="s">
        <v>19</v>
      </c>
      <c r="I348" s="215">
        <v>15</v>
      </c>
      <c r="J348" s="216"/>
      <c r="K348" s="216"/>
      <c r="L348" s="216">
        <v>28</v>
      </c>
      <c r="M348" s="216"/>
      <c r="N348" s="216"/>
      <c r="O348" s="217"/>
      <c r="P348" s="217">
        <v>15</v>
      </c>
      <c r="Q348" s="217"/>
      <c r="R348" s="217"/>
      <c r="S348" s="218"/>
    </row>
    <row r="349" spans="1:19" ht="15" customHeight="1">
      <c r="A349" s="413">
        <f t="shared" si="5"/>
        <v>349</v>
      </c>
      <c r="B349" s="26">
        <v>103</v>
      </c>
      <c r="C349" s="153" t="s">
        <v>717</v>
      </c>
      <c r="D349" s="211" t="s">
        <v>180</v>
      </c>
      <c r="E349" s="212" t="s">
        <v>621</v>
      </c>
      <c r="F349" s="213" t="s">
        <v>168</v>
      </c>
      <c r="G349" s="214" t="s">
        <v>843</v>
      </c>
      <c r="H349" s="213"/>
      <c r="I349" s="215">
        <v>0</v>
      </c>
      <c r="J349" s="216"/>
      <c r="K349" s="216"/>
      <c r="L349" s="216"/>
      <c r="M349" s="216"/>
      <c r="N349" s="216"/>
      <c r="O349" s="217"/>
      <c r="P349" s="217"/>
      <c r="Q349" s="217"/>
      <c r="R349" s="217"/>
      <c r="S349" s="218" t="s">
        <v>847</v>
      </c>
    </row>
    <row r="350" spans="1:19" ht="15" customHeight="1">
      <c r="A350" s="413">
        <f t="shared" si="5"/>
        <v>350</v>
      </c>
      <c r="B350" s="26">
        <v>103</v>
      </c>
      <c r="C350" s="153" t="s">
        <v>717</v>
      </c>
      <c r="D350" s="211" t="s">
        <v>180</v>
      </c>
      <c r="E350" s="212" t="s">
        <v>621</v>
      </c>
      <c r="F350" s="213" t="s">
        <v>168</v>
      </c>
      <c r="G350" s="214" t="s">
        <v>844</v>
      </c>
      <c r="H350" s="213"/>
      <c r="I350" s="215">
        <v>0</v>
      </c>
      <c r="J350" s="216"/>
      <c r="K350" s="216"/>
      <c r="L350" s="216"/>
      <c r="M350" s="216"/>
      <c r="N350" s="216"/>
      <c r="O350" s="217"/>
      <c r="P350" s="217"/>
      <c r="Q350" s="217"/>
      <c r="R350" s="217"/>
      <c r="S350" s="218" t="s">
        <v>848</v>
      </c>
    </row>
    <row r="351" spans="1:19" ht="15" customHeight="1">
      <c r="A351" s="413">
        <f t="shared" si="5"/>
        <v>351</v>
      </c>
      <c r="B351" s="26">
        <v>104</v>
      </c>
      <c r="C351" s="153" t="s">
        <v>165</v>
      </c>
      <c r="D351" s="211" t="s">
        <v>180</v>
      </c>
      <c r="E351" s="212" t="s">
        <v>327</v>
      </c>
      <c r="F351" s="213" t="s">
        <v>328</v>
      </c>
      <c r="G351" s="214" t="s">
        <v>338</v>
      </c>
      <c r="H351" s="213" t="s">
        <v>166</v>
      </c>
      <c r="I351" s="215">
        <v>6.5</v>
      </c>
      <c r="J351" s="216"/>
      <c r="K351" s="216"/>
      <c r="L351" s="216">
        <v>31.372500000000002</v>
      </c>
      <c r="M351" s="216">
        <v>1</v>
      </c>
      <c r="N351" s="216"/>
      <c r="O351" s="217"/>
      <c r="P351" s="217">
        <v>9</v>
      </c>
      <c r="Q351" s="217"/>
      <c r="R351" s="217"/>
      <c r="S351" s="218"/>
    </row>
    <row r="352" spans="1:19" ht="15" customHeight="1">
      <c r="A352" s="413">
        <f t="shared" si="5"/>
        <v>352</v>
      </c>
      <c r="B352" s="26">
        <v>104</v>
      </c>
      <c r="C352" s="153" t="s">
        <v>165</v>
      </c>
      <c r="D352" s="211" t="s">
        <v>180</v>
      </c>
      <c r="E352" s="212" t="s">
        <v>327</v>
      </c>
      <c r="F352" s="213" t="s">
        <v>167</v>
      </c>
      <c r="G352" s="214" t="s">
        <v>339</v>
      </c>
      <c r="H352" s="213" t="s">
        <v>19</v>
      </c>
      <c r="I352" s="215">
        <v>48</v>
      </c>
      <c r="J352" s="216"/>
      <c r="K352" s="216"/>
      <c r="L352" s="216">
        <v>151</v>
      </c>
      <c r="M352" s="216">
        <v>2</v>
      </c>
      <c r="N352" s="216"/>
      <c r="O352" s="217"/>
      <c r="P352" s="217">
        <v>48</v>
      </c>
      <c r="Q352" s="217"/>
      <c r="R352" s="217"/>
      <c r="S352" s="218"/>
    </row>
    <row r="353" spans="1:19" ht="15" customHeight="1">
      <c r="A353" s="413">
        <f t="shared" si="5"/>
        <v>353</v>
      </c>
      <c r="B353" s="26">
        <v>104</v>
      </c>
      <c r="C353" s="153" t="s">
        <v>165</v>
      </c>
      <c r="D353" s="211" t="s">
        <v>180</v>
      </c>
      <c r="E353" s="212" t="s">
        <v>327</v>
      </c>
      <c r="F353" s="213" t="s">
        <v>329</v>
      </c>
      <c r="G353" s="214" t="s">
        <v>340</v>
      </c>
      <c r="H353" s="213" t="s">
        <v>166</v>
      </c>
      <c r="I353" s="215">
        <v>14</v>
      </c>
      <c r="J353" s="216"/>
      <c r="K353" s="216"/>
      <c r="L353" s="216">
        <v>28</v>
      </c>
      <c r="M353" s="216"/>
      <c r="N353" s="216"/>
      <c r="O353" s="217"/>
      <c r="P353" s="217"/>
      <c r="Q353" s="217"/>
      <c r="R353" s="217"/>
      <c r="S353" s="218" t="s">
        <v>354</v>
      </c>
    </row>
    <row r="354" spans="1:19" ht="15" customHeight="1">
      <c r="A354" s="413">
        <f t="shared" si="5"/>
        <v>354</v>
      </c>
      <c r="B354" s="26">
        <v>104</v>
      </c>
      <c r="C354" s="153" t="s">
        <v>165</v>
      </c>
      <c r="D354" s="211" t="s">
        <v>180</v>
      </c>
      <c r="E354" s="212" t="s">
        <v>327</v>
      </c>
      <c r="F354" s="213" t="s">
        <v>330</v>
      </c>
      <c r="G354" s="214" t="s">
        <v>341</v>
      </c>
      <c r="H354" s="213" t="s">
        <v>166</v>
      </c>
      <c r="I354" s="215">
        <v>5.8</v>
      </c>
      <c r="J354" s="216"/>
      <c r="K354" s="216"/>
      <c r="L354" s="216">
        <v>28.795000000000002</v>
      </c>
      <c r="M354" s="216">
        <v>1</v>
      </c>
      <c r="N354" s="216"/>
      <c r="O354" s="217"/>
      <c r="P354" s="217">
        <v>8</v>
      </c>
      <c r="Q354" s="217"/>
      <c r="R354" s="217"/>
      <c r="S354" s="218"/>
    </row>
    <row r="355" spans="1:19" ht="15" customHeight="1">
      <c r="A355" s="413">
        <f t="shared" si="5"/>
        <v>355</v>
      </c>
      <c r="B355" s="26">
        <v>104</v>
      </c>
      <c r="C355" s="153" t="s">
        <v>165</v>
      </c>
      <c r="D355" s="211" t="s">
        <v>180</v>
      </c>
      <c r="E355" s="212" t="s">
        <v>327</v>
      </c>
      <c r="F355" s="213" t="s">
        <v>331</v>
      </c>
      <c r="G355" s="214" t="s">
        <v>342</v>
      </c>
      <c r="H355" s="213" t="s">
        <v>19</v>
      </c>
      <c r="I355" s="215">
        <v>5.2</v>
      </c>
      <c r="J355" s="216"/>
      <c r="K355" s="216"/>
      <c r="L355" s="216">
        <v>22.6</v>
      </c>
      <c r="M355" s="216"/>
      <c r="N355" s="216"/>
      <c r="O355" s="217"/>
      <c r="P355" s="217">
        <v>5</v>
      </c>
      <c r="Q355" s="217"/>
      <c r="R355" s="217"/>
      <c r="S355" s="218"/>
    </row>
    <row r="356" spans="1:19" ht="15" customHeight="1">
      <c r="A356" s="413">
        <f t="shared" si="5"/>
        <v>356</v>
      </c>
      <c r="B356" s="26">
        <v>104</v>
      </c>
      <c r="C356" s="153" t="s">
        <v>165</v>
      </c>
      <c r="D356" s="211" t="s">
        <v>180</v>
      </c>
      <c r="E356" s="212" t="s">
        <v>327</v>
      </c>
      <c r="F356" s="213" t="s">
        <v>332</v>
      </c>
      <c r="G356" s="214" t="s">
        <v>343</v>
      </c>
      <c r="H356" s="213" t="s">
        <v>19</v>
      </c>
      <c r="I356" s="215">
        <v>10.199999999999999</v>
      </c>
      <c r="J356" s="216"/>
      <c r="K356" s="216"/>
      <c r="L356" s="216">
        <v>22</v>
      </c>
      <c r="M356" s="216"/>
      <c r="N356" s="216"/>
      <c r="O356" s="217"/>
      <c r="P356" s="217">
        <v>10</v>
      </c>
      <c r="Q356" s="217"/>
      <c r="R356" s="217"/>
      <c r="S356" s="218"/>
    </row>
    <row r="357" spans="1:19" ht="15" customHeight="1">
      <c r="A357" s="413">
        <f t="shared" si="5"/>
        <v>357</v>
      </c>
      <c r="B357" s="26">
        <v>104</v>
      </c>
      <c r="C357" s="153" t="s">
        <v>165</v>
      </c>
      <c r="D357" s="211" t="s">
        <v>180</v>
      </c>
      <c r="E357" s="212" t="s">
        <v>327</v>
      </c>
      <c r="F357" s="213" t="s">
        <v>331</v>
      </c>
      <c r="G357" s="214" t="s">
        <v>344</v>
      </c>
      <c r="H357" s="213" t="s">
        <v>19</v>
      </c>
      <c r="I357" s="215">
        <v>4.2250000000000005</v>
      </c>
      <c r="J357" s="216"/>
      <c r="K357" s="216"/>
      <c r="L357" s="216">
        <v>20.799999999999997</v>
      </c>
      <c r="M357" s="216"/>
      <c r="N357" s="216"/>
      <c r="O357" s="217"/>
      <c r="P357" s="217">
        <v>4</v>
      </c>
      <c r="Q357" s="217"/>
      <c r="R357" s="217"/>
      <c r="S357" s="218"/>
    </row>
    <row r="358" spans="1:19" ht="15" customHeight="1">
      <c r="A358" s="413">
        <f t="shared" si="5"/>
        <v>358</v>
      </c>
      <c r="B358" s="26">
        <v>104</v>
      </c>
      <c r="C358" s="153" t="s">
        <v>165</v>
      </c>
      <c r="D358" s="211" t="s">
        <v>180</v>
      </c>
      <c r="E358" s="212" t="s">
        <v>327</v>
      </c>
      <c r="F358" s="213" t="s">
        <v>333</v>
      </c>
      <c r="G358" s="214" t="s">
        <v>345</v>
      </c>
      <c r="H358" s="213" t="s">
        <v>19</v>
      </c>
      <c r="I358" s="215">
        <v>7.5</v>
      </c>
      <c r="J358" s="216"/>
      <c r="K358" s="216"/>
      <c r="L358" s="216">
        <v>19</v>
      </c>
      <c r="M358" s="216"/>
      <c r="N358" s="216"/>
      <c r="O358" s="217"/>
      <c r="P358" s="217">
        <v>8</v>
      </c>
      <c r="Q358" s="217"/>
      <c r="R358" s="217"/>
      <c r="S358" s="218"/>
    </row>
    <row r="359" spans="1:19" ht="15" customHeight="1">
      <c r="A359" s="413">
        <f t="shared" si="5"/>
        <v>359</v>
      </c>
      <c r="B359" s="26">
        <v>104</v>
      </c>
      <c r="C359" s="153" t="s">
        <v>165</v>
      </c>
      <c r="D359" s="211" t="s">
        <v>180</v>
      </c>
      <c r="E359" s="212" t="s">
        <v>327</v>
      </c>
      <c r="F359" s="213" t="s">
        <v>333</v>
      </c>
      <c r="G359" s="214" t="s">
        <v>346</v>
      </c>
      <c r="H359" s="213" t="s">
        <v>19</v>
      </c>
      <c r="I359" s="215">
        <v>30</v>
      </c>
      <c r="J359" s="216"/>
      <c r="K359" s="216"/>
      <c r="L359" s="216">
        <v>70</v>
      </c>
      <c r="M359" s="216"/>
      <c r="N359" s="216"/>
      <c r="O359" s="217"/>
      <c r="P359" s="217">
        <v>25</v>
      </c>
      <c r="Q359" s="217"/>
      <c r="R359" s="217"/>
      <c r="S359" s="218"/>
    </row>
    <row r="360" spans="1:19" ht="15" customHeight="1">
      <c r="A360" s="413">
        <f t="shared" si="5"/>
        <v>360</v>
      </c>
      <c r="B360" s="26">
        <v>104</v>
      </c>
      <c r="C360" s="153" t="s">
        <v>165</v>
      </c>
      <c r="D360" s="211" t="s">
        <v>180</v>
      </c>
      <c r="E360" s="212" t="s">
        <v>327</v>
      </c>
      <c r="F360" s="213" t="s">
        <v>168</v>
      </c>
      <c r="G360" s="214" t="s">
        <v>347</v>
      </c>
      <c r="H360" s="213" t="s">
        <v>44</v>
      </c>
      <c r="I360" s="215">
        <v>52</v>
      </c>
      <c r="J360" s="216"/>
      <c r="K360" s="216"/>
      <c r="L360" s="216"/>
      <c r="M360" s="216"/>
      <c r="N360" s="216">
        <v>158</v>
      </c>
      <c r="O360" s="217"/>
      <c r="P360" s="217"/>
      <c r="Q360" s="217">
        <v>20</v>
      </c>
      <c r="R360" s="217"/>
      <c r="S360" s="218"/>
    </row>
    <row r="361" spans="1:19" ht="15" customHeight="1">
      <c r="A361" s="413">
        <f t="shared" si="5"/>
        <v>361</v>
      </c>
      <c r="B361" s="26">
        <v>104</v>
      </c>
      <c r="C361" s="153" t="s">
        <v>165</v>
      </c>
      <c r="D361" s="211" t="s">
        <v>180</v>
      </c>
      <c r="E361" s="212" t="s">
        <v>327</v>
      </c>
      <c r="F361" s="213" t="s">
        <v>334</v>
      </c>
      <c r="G361" s="214" t="s">
        <v>348</v>
      </c>
      <c r="H361" s="213" t="s">
        <v>109</v>
      </c>
      <c r="I361" s="215">
        <v>94</v>
      </c>
      <c r="J361" s="216"/>
      <c r="K361" s="216"/>
      <c r="L361" s="216"/>
      <c r="M361" s="216"/>
      <c r="N361" s="216"/>
      <c r="O361" s="217"/>
      <c r="P361" s="217"/>
      <c r="Q361" s="217"/>
      <c r="R361" s="217"/>
      <c r="S361" s="218" t="s">
        <v>355</v>
      </c>
    </row>
    <row r="362" spans="1:19" ht="15" customHeight="1">
      <c r="A362" s="413">
        <f t="shared" si="5"/>
        <v>362</v>
      </c>
      <c r="B362" s="26">
        <v>104</v>
      </c>
      <c r="C362" s="153" t="s">
        <v>165</v>
      </c>
      <c r="D362" s="211" t="s">
        <v>180</v>
      </c>
      <c r="E362" s="212" t="s">
        <v>327</v>
      </c>
      <c r="F362" s="213" t="s">
        <v>334</v>
      </c>
      <c r="G362" s="214" t="s">
        <v>349</v>
      </c>
      <c r="H362" s="213" t="s">
        <v>109</v>
      </c>
      <c r="I362" s="215">
        <v>71</v>
      </c>
      <c r="J362" s="216"/>
      <c r="K362" s="216"/>
      <c r="L362" s="216"/>
      <c r="M362" s="216"/>
      <c r="N362" s="216"/>
      <c r="O362" s="217"/>
      <c r="P362" s="217"/>
      <c r="Q362" s="217"/>
      <c r="R362" s="217"/>
      <c r="S362" s="218" t="s">
        <v>355</v>
      </c>
    </row>
    <row r="363" spans="1:19" ht="15" customHeight="1">
      <c r="A363" s="413">
        <f t="shared" si="5"/>
        <v>363</v>
      </c>
      <c r="B363" s="26">
        <v>104</v>
      </c>
      <c r="C363" s="153" t="s">
        <v>165</v>
      </c>
      <c r="D363" s="211" t="s">
        <v>180</v>
      </c>
      <c r="E363" s="212" t="s">
        <v>327</v>
      </c>
      <c r="F363" s="213" t="s">
        <v>334</v>
      </c>
      <c r="G363" s="214" t="s">
        <v>350</v>
      </c>
      <c r="H363" s="213" t="s">
        <v>109</v>
      </c>
      <c r="I363" s="215">
        <v>143</v>
      </c>
      <c r="J363" s="216"/>
      <c r="K363" s="216"/>
      <c r="L363" s="216"/>
      <c r="M363" s="216"/>
      <c r="N363" s="216"/>
      <c r="O363" s="217"/>
      <c r="P363" s="217"/>
      <c r="Q363" s="217"/>
      <c r="R363" s="217"/>
      <c r="S363" s="218" t="s">
        <v>355</v>
      </c>
    </row>
    <row r="364" spans="1:19" ht="15" customHeight="1">
      <c r="A364" s="413">
        <f t="shared" si="5"/>
        <v>364</v>
      </c>
      <c r="B364" s="26">
        <v>104</v>
      </c>
      <c r="C364" s="153" t="s">
        <v>165</v>
      </c>
      <c r="D364" s="211" t="s">
        <v>180</v>
      </c>
      <c r="E364" s="212" t="s">
        <v>327</v>
      </c>
      <c r="F364" s="213" t="s">
        <v>334</v>
      </c>
      <c r="G364" s="214" t="s">
        <v>351</v>
      </c>
      <c r="H364" s="213" t="s">
        <v>109</v>
      </c>
      <c r="I364" s="215">
        <v>54</v>
      </c>
      <c r="J364" s="216"/>
      <c r="K364" s="216"/>
      <c r="L364" s="216"/>
      <c r="M364" s="216"/>
      <c r="N364" s="216"/>
      <c r="O364" s="217"/>
      <c r="P364" s="217"/>
      <c r="Q364" s="217"/>
      <c r="R364" s="217"/>
      <c r="S364" s="218" t="s">
        <v>355</v>
      </c>
    </row>
    <row r="365" spans="1:19" ht="15" customHeight="1">
      <c r="A365" s="413">
        <f t="shared" si="5"/>
        <v>365</v>
      </c>
      <c r="B365" s="26">
        <v>104</v>
      </c>
      <c r="C365" s="153" t="s">
        <v>165</v>
      </c>
      <c r="D365" s="211" t="s">
        <v>180</v>
      </c>
      <c r="E365" s="212" t="s">
        <v>327</v>
      </c>
      <c r="F365" s="213" t="s">
        <v>334</v>
      </c>
      <c r="G365" s="214" t="s">
        <v>352</v>
      </c>
      <c r="H365" s="213" t="s">
        <v>109</v>
      </c>
      <c r="I365" s="215">
        <v>22.119999999999997</v>
      </c>
      <c r="J365" s="216"/>
      <c r="K365" s="216"/>
      <c r="L365" s="216"/>
      <c r="M365" s="216"/>
      <c r="N365" s="216">
        <v>41</v>
      </c>
      <c r="O365" s="217"/>
      <c r="P365" s="217">
        <v>22</v>
      </c>
      <c r="Q365" s="217"/>
      <c r="R365" s="217"/>
      <c r="S365" s="218"/>
    </row>
    <row r="366" spans="1:19" ht="15" customHeight="1">
      <c r="A366" s="413">
        <f t="shared" si="5"/>
        <v>366</v>
      </c>
      <c r="B366" s="26">
        <v>104</v>
      </c>
      <c r="C366" s="153" t="s">
        <v>165</v>
      </c>
      <c r="D366" s="211" t="s">
        <v>180</v>
      </c>
      <c r="E366" s="212" t="s">
        <v>327</v>
      </c>
      <c r="F366" s="213" t="s">
        <v>335</v>
      </c>
      <c r="G366" s="214" t="s">
        <v>353</v>
      </c>
      <c r="H366" s="213" t="s">
        <v>19</v>
      </c>
      <c r="I366" s="215">
        <v>21.9</v>
      </c>
      <c r="J366" s="216"/>
      <c r="K366" s="216"/>
      <c r="L366" s="216"/>
      <c r="M366" s="216"/>
      <c r="N366" s="216">
        <v>58</v>
      </c>
      <c r="O366" s="217"/>
      <c r="P366" s="217">
        <v>16</v>
      </c>
      <c r="Q366" s="217"/>
      <c r="R366" s="217"/>
      <c r="S366" s="218"/>
    </row>
    <row r="367" spans="1:19" ht="15" customHeight="1">
      <c r="A367" s="413">
        <f t="shared" si="5"/>
        <v>367</v>
      </c>
      <c r="B367" s="26">
        <v>104</v>
      </c>
      <c r="C367" s="153" t="s">
        <v>165</v>
      </c>
      <c r="D367" s="211" t="s">
        <v>180</v>
      </c>
      <c r="E367" s="212" t="s">
        <v>327</v>
      </c>
      <c r="F367" s="213" t="s">
        <v>336</v>
      </c>
      <c r="G367" s="214" t="s">
        <v>170</v>
      </c>
      <c r="H367" s="213" t="s">
        <v>318</v>
      </c>
      <c r="I367" s="215">
        <v>5.0999999999999996</v>
      </c>
      <c r="J367" s="216"/>
      <c r="K367" s="216"/>
      <c r="L367" s="216"/>
      <c r="M367" s="216"/>
      <c r="N367" s="216">
        <v>11</v>
      </c>
      <c r="O367" s="217"/>
      <c r="P367" s="217">
        <v>5</v>
      </c>
      <c r="Q367" s="217"/>
      <c r="R367" s="217"/>
      <c r="S367" s="218"/>
    </row>
    <row r="368" spans="1:19" ht="15" customHeight="1">
      <c r="A368" s="413">
        <f t="shared" si="5"/>
        <v>368</v>
      </c>
      <c r="B368" s="26">
        <v>104</v>
      </c>
      <c r="C368" s="153" t="s">
        <v>165</v>
      </c>
      <c r="D368" s="211" t="s">
        <v>180</v>
      </c>
      <c r="E368" s="212" t="s">
        <v>327</v>
      </c>
      <c r="F368" s="213" t="s">
        <v>336</v>
      </c>
      <c r="G368" s="214" t="s">
        <v>171</v>
      </c>
      <c r="H368" s="213" t="s">
        <v>1315</v>
      </c>
      <c r="I368" s="215">
        <v>176.25</v>
      </c>
      <c r="J368" s="216"/>
      <c r="K368" s="216">
        <v>166</v>
      </c>
      <c r="L368" s="216"/>
      <c r="M368" s="216"/>
      <c r="N368" s="216"/>
      <c r="O368" s="217"/>
      <c r="P368" s="217">
        <v>86</v>
      </c>
      <c r="Q368" s="217">
        <v>90</v>
      </c>
      <c r="R368" s="217"/>
      <c r="S368" s="218" t="s">
        <v>356</v>
      </c>
    </row>
    <row r="369" spans="1:19" ht="15" customHeight="1">
      <c r="A369" s="413">
        <f t="shared" si="5"/>
        <v>369</v>
      </c>
      <c r="B369" s="26">
        <v>104</v>
      </c>
      <c r="C369" s="153" t="s">
        <v>165</v>
      </c>
      <c r="D369" s="211" t="s">
        <v>180</v>
      </c>
      <c r="E369" s="212" t="s">
        <v>327</v>
      </c>
      <c r="F369" s="213" t="s">
        <v>336</v>
      </c>
      <c r="G369" s="214" t="s">
        <v>172</v>
      </c>
      <c r="H369" s="213" t="s">
        <v>44</v>
      </c>
      <c r="I369" s="215">
        <v>17.899999999999999</v>
      </c>
      <c r="J369" s="216"/>
      <c r="K369" s="216"/>
      <c r="L369" s="216">
        <v>52</v>
      </c>
      <c r="M369" s="216"/>
      <c r="N369" s="216"/>
      <c r="O369" s="217"/>
      <c r="P369" s="217">
        <v>18</v>
      </c>
      <c r="Q369" s="217"/>
      <c r="R369" s="217"/>
      <c r="S369" s="218"/>
    </row>
    <row r="370" spans="1:19" ht="15" customHeight="1">
      <c r="A370" s="413">
        <f t="shared" si="5"/>
        <v>370</v>
      </c>
      <c r="B370" s="26">
        <v>104</v>
      </c>
      <c r="C370" s="153" t="s">
        <v>165</v>
      </c>
      <c r="D370" s="211" t="s">
        <v>180</v>
      </c>
      <c r="E370" s="212" t="s">
        <v>327</v>
      </c>
      <c r="F370" s="213" t="s">
        <v>336</v>
      </c>
      <c r="G370" s="214" t="s">
        <v>173</v>
      </c>
      <c r="H370" s="213" t="s">
        <v>44</v>
      </c>
      <c r="I370" s="215">
        <v>10.964999999999998</v>
      </c>
      <c r="J370" s="216"/>
      <c r="K370" s="216"/>
      <c r="L370" s="216">
        <v>36</v>
      </c>
      <c r="M370" s="216"/>
      <c r="N370" s="216"/>
      <c r="O370" s="217"/>
      <c r="P370" s="217">
        <v>11</v>
      </c>
      <c r="Q370" s="217"/>
      <c r="R370" s="217"/>
      <c r="S370" s="218"/>
    </row>
    <row r="371" spans="1:19" ht="15" customHeight="1">
      <c r="A371" s="413">
        <f t="shared" si="5"/>
        <v>371</v>
      </c>
      <c r="B371" s="26">
        <v>104</v>
      </c>
      <c r="C371" s="153" t="s">
        <v>165</v>
      </c>
      <c r="D371" s="211" t="s">
        <v>180</v>
      </c>
      <c r="E371" s="212" t="s">
        <v>327</v>
      </c>
      <c r="F371" s="213" t="s">
        <v>337</v>
      </c>
      <c r="G371" s="214" t="s">
        <v>1692</v>
      </c>
      <c r="H371" s="213" t="s">
        <v>109</v>
      </c>
      <c r="I371" s="215">
        <v>4.620000000000001</v>
      </c>
      <c r="J371" s="216">
        <v>2</v>
      </c>
      <c r="K371" s="216"/>
      <c r="L371" s="216"/>
      <c r="M371" s="216"/>
      <c r="N371" s="216">
        <v>23</v>
      </c>
      <c r="O371" s="217"/>
      <c r="P371" s="217"/>
      <c r="Q371" s="217">
        <v>5</v>
      </c>
      <c r="R371" s="217"/>
      <c r="S371" s="218"/>
    </row>
    <row r="372" spans="1:19" ht="15" customHeight="1">
      <c r="A372" s="413">
        <f t="shared" si="5"/>
        <v>372</v>
      </c>
      <c r="B372" s="26">
        <v>104</v>
      </c>
      <c r="C372" s="153" t="s">
        <v>165</v>
      </c>
      <c r="D372" s="211" t="s">
        <v>180</v>
      </c>
      <c r="E372" s="212" t="s">
        <v>357</v>
      </c>
      <c r="F372" s="213" t="s">
        <v>358</v>
      </c>
      <c r="G372" s="214" t="s">
        <v>359</v>
      </c>
      <c r="H372" s="213" t="s">
        <v>1312</v>
      </c>
      <c r="I372" s="215">
        <v>25</v>
      </c>
      <c r="J372" s="216"/>
      <c r="K372" s="216"/>
      <c r="L372" s="216"/>
      <c r="M372" s="216"/>
      <c r="N372" s="216"/>
      <c r="O372" s="217"/>
      <c r="P372" s="217"/>
      <c r="Q372" s="217"/>
      <c r="R372" s="217"/>
      <c r="S372" s="218"/>
    </row>
    <row r="373" spans="1:19" ht="15" customHeight="1">
      <c r="A373" s="413">
        <f t="shared" si="5"/>
        <v>373</v>
      </c>
      <c r="B373" s="26">
        <v>104</v>
      </c>
      <c r="C373" s="153" t="s">
        <v>165</v>
      </c>
      <c r="D373" s="211" t="s">
        <v>180</v>
      </c>
      <c r="E373" s="212" t="s">
        <v>357</v>
      </c>
      <c r="F373" s="213" t="s">
        <v>360</v>
      </c>
      <c r="G373" s="214" t="s">
        <v>362</v>
      </c>
      <c r="H373" s="213" t="s">
        <v>1311</v>
      </c>
      <c r="I373" s="215">
        <v>117</v>
      </c>
      <c r="J373" s="216"/>
      <c r="K373" s="216">
        <f>104+80</f>
        <v>184</v>
      </c>
      <c r="L373" s="216"/>
      <c r="M373" s="216"/>
      <c r="N373" s="216"/>
      <c r="O373" s="217"/>
      <c r="P373" s="217"/>
      <c r="Q373" s="217"/>
      <c r="R373" s="217"/>
      <c r="S373" s="218" t="s">
        <v>1147</v>
      </c>
    </row>
    <row r="374" spans="1:19" ht="15" customHeight="1">
      <c r="A374" s="413">
        <f t="shared" si="5"/>
        <v>374</v>
      </c>
      <c r="B374" s="26">
        <v>104</v>
      </c>
      <c r="C374" s="153" t="s">
        <v>165</v>
      </c>
      <c r="D374" s="211" t="s">
        <v>180</v>
      </c>
      <c r="E374" s="212" t="s">
        <v>357</v>
      </c>
      <c r="F374" s="213" t="s">
        <v>363</v>
      </c>
      <c r="G374" s="214" t="s">
        <v>361</v>
      </c>
      <c r="H374" s="213" t="s">
        <v>109</v>
      </c>
      <c r="I374" s="215">
        <f>(40.5+133+50+265+(1000-180)+45+22+34+145+50)*1.3</f>
        <v>2085.85</v>
      </c>
      <c r="J374" s="216"/>
      <c r="K374" s="216">
        <f>85+92+54+15+502+74+82+145+115+78</f>
        <v>1242</v>
      </c>
      <c r="L374" s="216"/>
      <c r="M374" s="216"/>
      <c r="N374" s="216"/>
      <c r="O374" s="217"/>
      <c r="P374" s="217"/>
      <c r="Q374" s="217">
        <f>40.5+133+50+265+1000+45+22+34+145+50</f>
        <v>1784.5</v>
      </c>
      <c r="R374" s="217"/>
      <c r="S374" s="218" t="s">
        <v>521</v>
      </c>
    </row>
    <row r="375" spans="1:19" ht="15" customHeight="1">
      <c r="A375" s="413">
        <f t="shared" si="5"/>
        <v>375</v>
      </c>
      <c r="B375" s="26">
        <v>104</v>
      </c>
      <c r="C375" s="153" t="s">
        <v>165</v>
      </c>
      <c r="D375" s="211" t="s">
        <v>180</v>
      </c>
      <c r="E375" s="212" t="s">
        <v>357</v>
      </c>
      <c r="F375" s="213" t="s">
        <v>364</v>
      </c>
      <c r="G375" s="214" t="s">
        <v>365</v>
      </c>
      <c r="H375" s="213" t="s">
        <v>1311</v>
      </c>
      <c r="I375" s="215">
        <v>62.400000000000006</v>
      </c>
      <c r="J375" s="216"/>
      <c r="K375" s="216">
        <f>79+108</f>
        <v>187</v>
      </c>
      <c r="L375" s="216"/>
      <c r="M375" s="216"/>
      <c r="N375" s="216">
        <v>3</v>
      </c>
      <c r="O375" s="217"/>
      <c r="P375" s="217"/>
      <c r="Q375" s="217"/>
      <c r="R375" s="217"/>
      <c r="S375" s="218" t="s">
        <v>1148</v>
      </c>
    </row>
    <row r="376" spans="1:19" ht="15" customHeight="1">
      <c r="A376" s="413">
        <f t="shared" si="5"/>
        <v>376</v>
      </c>
      <c r="B376" s="26">
        <v>104</v>
      </c>
      <c r="C376" s="153" t="s">
        <v>165</v>
      </c>
      <c r="D376" s="211" t="s">
        <v>180</v>
      </c>
      <c r="E376" s="212" t="s">
        <v>357</v>
      </c>
      <c r="F376" s="213" t="s">
        <v>358</v>
      </c>
      <c r="G376" s="214" t="s">
        <v>366</v>
      </c>
      <c r="H376" s="213" t="s">
        <v>1312</v>
      </c>
      <c r="I376" s="215">
        <v>28</v>
      </c>
      <c r="J376" s="216"/>
      <c r="K376" s="216"/>
      <c r="L376" s="216"/>
      <c r="M376" s="216"/>
      <c r="N376" s="216"/>
      <c r="O376" s="217"/>
      <c r="P376" s="217"/>
      <c r="Q376" s="217"/>
      <c r="R376" s="217"/>
      <c r="S376" s="218"/>
    </row>
    <row r="377" spans="1:19" ht="15" customHeight="1">
      <c r="A377" s="413">
        <f t="shared" si="5"/>
        <v>377</v>
      </c>
      <c r="B377" s="26">
        <v>104</v>
      </c>
      <c r="C377" s="153" t="s">
        <v>165</v>
      </c>
      <c r="D377" s="211" t="s">
        <v>180</v>
      </c>
      <c r="E377" s="212" t="s">
        <v>357</v>
      </c>
      <c r="F377" s="213" t="s">
        <v>360</v>
      </c>
      <c r="G377" s="214" t="s">
        <v>367</v>
      </c>
      <c r="H377" s="213" t="s">
        <v>1311</v>
      </c>
      <c r="I377" s="215">
        <v>39</v>
      </c>
      <c r="J377" s="216"/>
      <c r="K377" s="216">
        <f>111+31</f>
        <v>142</v>
      </c>
      <c r="L377" s="216"/>
      <c r="M377" s="216"/>
      <c r="N377" s="216"/>
      <c r="O377" s="217"/>
      <c r="P377" s="217"/>
      <c r="Q377" s="217">
        <v>50</v>
      </c>
      <c r="R377" s="217"/>
      <c r="S377" s="218" t="s">
        <v>1149</v>
      </c>
    </row>
    <row r="378" spans="1:19" ht="15" customHeight="1">
      <c r="A378" s="413">
        <f t="shared" si="5"/>
        <v>378</v>
      </c>
      <c r="B378" s="26">
        <v>104</v>
      </c>
      <c r="C378" s="153" t="s">
        <v>165</v>
      </c>
      <c r="D378" s="211" t="s">
        <v>180</v>
      </c>
      <c r="E378" s="212" t="s">
        <v>357</v>
      </c>
      <c r="F378" s="213" t="s">
        <v>368</v>
      </c>
      <c r="G378" s="214" t="s">
        <v>369</v>
      </c>
      <c r="H378" s="213" t="s">
        <v>1311</v>
      </c>
      <c r="I378" s="215">
        <v>84.5</v>
      </c>
      <c r="J378" s="216"/>
      <c r="K378" s="216">
        <f>156</f>
        <v>156</v>
      </c>
      <c r="L378" s="216"/>
      <c r="M378" s="216"/>
      <c r="N378" s="216"/>
      <c r="O378" s="217"/>
      <c r="P378" s="217"/>
      <c r="Q378" s="217"/>
      <c r="R378" s="217"/>
      <c r="S378" s="218"/>
    </row>
    <row r="379" spans="1:19" ht="15" customHeight="1">
      <c r="A379" s="413">
        <f t="shared" si="5"/>
        <v>379</v>
      </c>
      <c r="B379" s="26">
        <v>104</v>
      </c>
      <c r="C379" s="153" t="s">
        <v>165</v>
      </c>
      <c r="D379" s="211" t="s">
        <v>180</v>
      </c>
      <c r="E379" s="212" t="s">
        <v>357</v>
      </c>
      <c r="F379" s="213" t="s">
        <v>360</v>
      </c>
      <c r="G379" s="214" t="s">
        <v>370</v>
      </c>
      <c r="H379" s="213" t="s">
        <v>1311</v>
      </c>
      <c r="I379" s="215">
        <v>72.8</v>
      </c>
      <c r="J379" s="216"/>
      <c r="K379" s="216">
        <v>95</v>
      </c>
      <c r="L379" s="216"/>
      <c r="M379" s="216"/>
      <c r="N379" s="216"/>
      <c r="O379" s="217"/>
      <c r="P379" s="217"/>
      <c r="Q379" s="217">
        <v>29</v>
      </c>
      <c r="R379" s="217"/>
      <c r="S379" s="218"/>
    </row>
    <row r="380" spans="1:19" ht="15" customHeight="1">
      <c r="A380" s="413">
        <f t="shared" si="5"/>
        <v>380</v>
      </c>
      <c r="B380" s="26">
        <v>104</v>
      </c>
      <c r="C380" s="153" t="s">
        <v>165</v>
      </c>
      <c r="D380" s="211" t="s">
        <v>180</v>
      </c>
      <c r="E380" s="212" t="s">
        <v>357</v>
      </c>
      <c r="F380" s="213" t="s">
        <v>360</v>
      </c>
      <c r="G380" s="214" t="s">
        <v>371</v>
      </c>
      <c r="H380" s="213" t="s">
        <v>1311</v>
      </c>
      <c r="I380" s="215">
        <f>(30+2*1.5)*1.3</f>
        <v>42.9</v>
      </c>
      <c r="J380" s="216"/>
      <c r="K380" s="216">
        <f>95+78</f>
        <v>173</v>
      </c>
      <c r="L380" s="216"/>
      <c r="M380" s="216"/>
      <c r="N380" s="216"/>
      <c r="O380" s="217"/>
      <c r="P380" s="217"/>
      <c r="Q380" s="217">
        <v>70</v>
      </c>
      <c r="R380" s="217"/>
      <c r="S380" s="218" t="s">
        <v>1150</v>
      </c>
    </row>
    <row r="381" spans="1:19" ht="15" customHeight="1">
      <c r="A381" s="413">
        <f t="shared" si="5"/>
        <v>381</v>
      </c>
      <c r="B381" s="26">
        <v>104</v>
      </c>
      <c r="C381" s="153" t="s">
        <v>165</v>
      </c>
      <c r="D381" s="211" t="s">
        <v>180</v>
      </c>
      <c r="E381" s="212" t="s">
        <v>357</v>
      </c>
      <c r="F381" s="213" t="s">
        <v>358</v>
      </c>
      <c r="G381" s="214" t="s">
        <v>372</v>
      </c>
      <c r="H381" s="213" t="s">
        <v>1312</v>
      </c>
      <c r="I381" s="215">
        <v>32</v>
      </c>
      <c r="J381" s="216"/>
      <c r="K381" s="216"/>
      <c r="L381" s="216"/>
      <c r="M381" s="216"/>
      <c r="N381" s="216"/>
      <c r="O381" s="217"/>
      <c r="P381" s="217"/>
      <c r="Q381" s="217"/>
      <c r="R381" s="217"/>
      <c r="S381" s="218"/>
    </row>
    <row r="382" spans="1:19" ht="15" customHeight="1">
      <c r="A382" s="413">
        <f t="shared" si="5"/>
        <v>382</v>
      </c>
      <c r="B382" s="26">
        <v>104</v>
      </c>
      <c r="C382" s="153" t="s">
        <v>165</v>
      </c>
      <c r="D382" s="211" t="s">
        <v>180</v>
      </c>
      <c r="E382" s="212" t="s">
        <v>357</v>
      </c>
      <c r="F382" s="213" t="s">
        <v>373</v>
      </c>
      <c r="G382" s="214" t="s">
        <v>374</v>
      </c>
      <c r="H382" s="213" t="s">
        <v>1312</v>
      </c>
      <c r="I382" s="215">
        <v>21</v>
      </c>
      <c r="J382" s="216"/>
      <c r="K382" s="216"/>
      <c r="L382" s="216"/>
      <c r="M382" s="216"/>
      <c r="N382" s="216"/>
      <c r="O382" s="217"/>
      <c r="P382" s="217"/>
      <c r="Q382" s="217"/>
      <c r="R382" s="217"/>
      <c r="S382" s="218"/>
    </row>
    <row r="383" spans="1:19" ht="15" customHeight="1">
      <c r="A383" s="413">
        <f t="shared" si="5"/>
        <v>383</v>
      </c>
      <c r="B383" s="26">
        <v>104</v>
      </c>
      <c r="C383" s="153" t="s">
        <v>165</v>
      </c>
      <c r="D383" s="211" t="s">
        <v>180</v>
      </c>
      <c r="E383" s="212" t="s">
        <v>357</v>
      </c>
      <c r="F383" s="213" t="s">
        <v>375</v>
      </c>
      <c r="G383" s="214" t="s">
        <v>376</v>
      </c>
      <c r="H383" s="213" t="s">
        <v>1311</v>
      </c>
      <c r="I383" s="215">
        <f>(3.4*8.2)*1.3</f>
        <v>36.243999999999993</v>
      </c>
      <c r="J383" s="216"/>
      <c r="K383" s="216"/>
      <c r="L383" s="216"/>
      <c r="M383" s="216"/>
      <c r="N383" s="216"/>
      <c r="O383" s="217"/>
      <c r="P383" s="217"/>
      <c r="Q383" s="217"/>
      <c r="R383" s="217"/>
      <c r="S383" s="218"/>
    </row>
    <row r="384" spans="1:19" ht="15" customHeight="1">
      <c r="A384" s="413">
        <f t="shared" si="5"/>
        <v>384</v>
      </c>
      <c r="B384" s="26">
        <v>104</v>
      </c>
      <c r="C384" s="153" t="s">
        <v>165</v>
      </c>
      <c r="D384" s="211" t="s">
        <v>180</v>
      </c>
      <c r="E384" s="212" t="s">
        <v>357</v>
      </c>
      <c r="F384" s="213" t="s">
        <v>377</v>
      </c>
      <c r="G384" s="214" t="s">
        <v>378</v>
      </c>
      <c r="H384" s="213" t="s">
        <v>166</v>
      </c>
      <c r="I384" s="215">
        <v>91</v>
      </c>
      <c r="J384" s="216"/>
      <c r="K384" s="216">
        <v>77</v>
      </c>
      <c r="L384" s="216"/>
      <c r="M384" s="216"/>
      <c r="N384" s="216"/>
      <c r="O384" s="217"/>
      <c r="P384" s="217"/>
      <c r="Q384" s="217">
        <v>28</v>
      </c>
      <c r="R384" s="217"/>
      <c r="S384" s="218" t="s">
        <v>317</v>
      </c>
    </row>
    <row r="385" spans="1:19" ht="15" customHeight="1">
      <c r="A385" s="413">
        <f t="shared" si="5"/>
        <v>385</v>
      </c>
      <c r="B385" s="26">
        <v>104</v>
      </c>
      <c r="C385" s="153" t="s">
        <v>165</v>
      </c>
      <c r="D385" s="211" t="s">
        <v>180</v>
      </c>
      <c r="E385" s="212" t="s">
        <v>357</v>
      </c>
      <c r="F385" s="213" t="s">
        <v>379</v>
      </c>
      <c r="G385" s="214" t="s">
        <v>380</v>
      </c>
      <c r="H385" s="213" t="s">
        <v>1312</v>
      </c>
      <c r="I385" s="215">
        <v>21</v>
      </c>
      <c r="J385" s="216"/>
      <c r="K385" s="216"/>
      <c r="L385" s="216"/>
      <c r="M385" s="216"/>
      <c r="N385" s="216"/>
      <c r="O385" s="217"/>
      <c r="P385" s="217"/>
      <c r="Q385" s="217"/>
      <c r="R385" s="217"/>
      <c r="S385" s="218"/>
    </row>
    <row r="386" spans="1:19" ht="15" customHeight="1">
      <c r="A386" s="413">
        <f t="shared" si="5"/>
        <v>386</v>
      </c>
      <c r="B386" s="26">
        <v>104</v>
      </c>
      <c r="C386" s="153" t="s">
        <v>165</v>
      </c>
      <c r="D386" s="211" t="s">
        <v>180</v>
      </c>
      <c r="E386" s="212" t="s">
        <v>357</v>
      </c>
      <c r="F386" s="213" t="s">
        <v>375</v>
      </c>
      <c r="G386" s="214" t="s">
        <v>381</v>
      </c>
      <c r="H386" s="213" t="s">
        <v>1311</v>
      </c>
      <c r="I386" s="215">
        <v>36.4</v>
      </c>
      <c r="J386" s="216"/>
      <c r="K386" s="216"/>
      <c r="L386" s="216"/>
      <c r="M386" s="216"/>
      <c r="N386" s="216"/>
      <c r="O386" s="217"/>
      <c r="P386" s="217"/>
      <c r="Q386" s="217"/>
      <c r="R386" s="217"/>
      <c r="S386" s="218"/>
    </row>
    <row r="387" spans="1:19" ht="15" customHeight="1">
      <c r="A387" s="413">
        <f t="shared" ref="A387:A450" si="6">1+A386</f>
        <v>387</v>
      </c>
      <c r="B387" s="26">
        <v>104</v>
      </c>
      <c r="C387" s="153" t="s">
        <v>165</v>
      </c>
      <c r="D387" s="211" t="s">
        <v>180</v>
      </c>
      <c r="E387" s="212" t="s">
        <v>357</v>
      </c>
      <c r="F387" s="213" t="s">
        <v>377</v>
      </c>
      <c r="G387" s="214" t="s">
        <v>382</v>
      </c>
      <c r="H387" s="213" t="s">
        <v>166</v>
      </c>
      <c r="I387" s="215">
        <v>52</v>
      </c>
      <c r="J387" s="216"/>
      <c r="K387" s="216">
        <v>77</v>
      </c>
      <c r="L387" s="216"/>
      <c r="M387" s="216"/>
      <c r="N387" s="216"/>
      <c r="O387" s="217"/>
      <c r="P387" s="217"/>
      <c r="Q387" s="217">
        <v>28</v>
      </c>
      <c r="R387" s="217"/>
      <c r="S387" s="218" t="s">
        <v>317</v>
      </c>
    </row>
    <row r="388" spans="1:19" ht="15" customHeight="1">
      <c r="A388" s="413">
        <f t="shared" si="6"/>
        <v>388</v>
      </c>
      <c r="B388" s="26">
        <v>104</v>
      </c>
      <c r="C388" s="153" t="s">
        <v>165</v>
      </c>
      <c r="D388" s="211" t="s">
        <v>180</v>
      </c>
      <c r="E388" s="212" t="s">
        <v>357</v>
      </c>
      <c r="F388" s="213" t="s">
        <v>383</v>
      </c>
      <c r="G388" s="214" t="s">
        <v>384</v>
      </c>
      <c r="H388" s="213" t="s">
        <v>298</v>
      </c>
      <c r="I388" s="215">
        <v>6.5</v>
      </c>
      <c r="J388" s="216"/>
      <c r="K388" s="216"/>
      <c r="L388" s="216"/>
      <c r="M388" s="216"/>
      <c r="N388" s="216"/>
      <c r="O388" s="217"/>
      <c r="P388" s="217"/>
      <c r="Q388" s="217"/>
      <c r="R388" s="217"/>
      <c r="S388" s="218"/>
    </row>
    <row r="389" spans="1:19" ht="15" customHeight="1">
      <c r="A389" s="413">
        <f t="shared" si="6"/>
        <v>389</v>
      </c>
      <c r="B389" s="26">
        <v>104</v>
      </c>
      <c r="C389" s="153" t="s">
        <v>165</v>
      </c>
      <c r="D389" s="211" t="s">
        <v>180</v>
      </c>
      <c r="E389" s="212" t="s">
        <v>357</v>
      </c>
      <c r="F389" s="213" t="s">
        <v>385</v>
      </c>
      <c r="G389" s="214" t="s">
        <v>386</v>
      </c>
      <c r="H389" s="213" t="s">
        <v>298</v>
      </c>
      <c r="I389" s="215">
        <v>7.8000000000000007</v>
      </c>
      <c r="J389" s="216"/>
      <c r="K389" s="216"/>
      <c r="L389" s="216"/>
      <c r="M389" s="216"/>
      <c r="N389" s="216"/>
      <c r="O389" s="217"/>
      <c r="P389" s="217"/>
      <c r="Q389" s="217"/>
      <c r="R389" s="217"/>
      <c r="S389" s="218"/>
    </row>
    <row r="390" spans="1:19" ht="15" customHeight="1">
      <c r="A390" s="413">
        <f t="shared" si="6"/>
        <v>390</v>
      </c>
      <c r="B390" s="26">
        <v>104</v>
      </c>
      <c r="C390" s="153" t="s">
        <v>165</v>
      </c>
      <c r="D390" s="211" t="s">
        <v>180</v>
      </c>
      <c r="E390" s="212" t="s">
        <v>357</v>
      </c>
      <c r="F390" s="213" t="s">
        <v>387</v>
      </c>
      <c r="G390" s="214" t="s">
        <v>388</v>
      </c>
      <c r="H390" s="213" t="s">
        <v>298</v>
      </c>
      <c r="I390" s="215">
        <v>7.8000000000000007</v>
      </c>
      <c r="J390" s="216"/>
      <c r="K390" s="216"/>
      <c r="L390" s="216"/>
      <c r="M390" s="216"/>
      <c r="N390" s="216"/>
      <c r="O390" s="217"/>
      <c r="P390" s="217"/>
      <c r="Q390" s="217"/>
      <c r="R390" s="217"/>
      <c r="S390" s="218"/>
    </row>
    <row r="391" spans="1:19" ht="15" customHeight="1">
      <c r="A391" s="413">
        <f t="shared" si="6"/>
        <v>391</v>
      </c>
      <c r="B391" s="26">
        <v>104</v>
      </c>
      <c r="C391" s="153" t="s">
        <v>165</v>
      </c>
      <c r="D391" s="211" t="s">
        <v>180</v>
      </c>
      <c r="E391" s="212" t="s">
        <v>357</v>
      </c>
      <c r="F391" s="213" t="s">
        <v>175</v>
      </c>
      <c r="G391" s="214" t="s">
        <v>390</v>
      </c>
      <c r="H391" s="213" t="s">
        <v>109</v>
      </c>
      <c r="I391" s="215">
        <f>(6.1*3.35-2*4.85)*1.3</f>
        <v>13.955499999999999</v>
      </c>
      <c r="J391" s="216"/>
      <c r="K391" s="216">
        <v>46</v>
      </c>
      <c r="L391" s="216"/>
      <c r="M391" s="216"/>
      <c r="N391" s="216"/>
      <c r="O391" s="217"/>
      <c r="P391" s="217"/>
      <c r="Q391" s="217">
        <v>11</v>
      </c>
      <c r="R391" s="217"/>
      <c r="S391" s="218" t="s">
        <v>317</v>
      </c>
    </row>
    <row r="392" spans="1:19" ht="15" customHeight="1">
      <c r="A392" s="413">
        <f t="shared" si="6"/>
        <v>392</v>
      </c>
      <c r="B392" s="26">
        <v>104</v>
      </c>
      <c r="C392" s="153" t="s">
        <v>165</v>
      </c>
      <c r="D392" s="211" t="s">
        <v>180</v>
      </c>
      <c r="E392" s="212" t="s">
        <v>357</v>
      </c>
      <c r="F392" s="213" t="s">
        <v>175</v>
      </c>
      <c r="G392" s="214" t="s">
        <v>389</v>
      </c>
      <c r="H392" s="213" t="s">
        <v>109</v>
      </c>
      <c r="I392" s="215">
        <f>(6.4*3.55-4.2*2.3)*1.3</f>
        <v>16.977999999999998</v>
      </c>
      <c r="J392" s="216"/>
      <c r="K392" s="216">
        <v>52</v>
      </c>
      <c r="L392" s="216"/>
      <c r="M392" s="216"/>
      <c r="N392" s="216"/>
      <c r="O392" s="217"/>
      <c r="P392" s="217"/>
      <c r="Q392" s="217">
        <v>13</v>
      </c>
      <c r="R392" s="217"/>
      <c r="S392" s="218" t="s">
        <v>317</v>
      </c>
    </row>
    <row r="393" spans="1:19" ht="15" customHeight="1">
      <c r="A393" s="413">
        <f t="shared" si="6"/>
        <v>393</v>
      </c>
      <c r="B393" s="26">
        <v>104</v>
      </c>
      <c r="C393" s="153" t="s">
        <v>165</v>
      </c>
      <c r="D393" s="211" t="s">
        <v>180</v>
      </c>
      <c r="E393" s="212" t="s">
        <v>357</v>
      </c>
      <c r="F393" s="213" t="s">
        <v>175</v>
      </c>
      <c r="G393" s="214" t="s">
        <v>392</v>
      </c>
      <c r="H393" s="213" t="s">
        <v>19</v>
      </c>
      <c r="I393" s="215">
        <f>(9.3*1.9-0.5*7)*1.3</f>
        <v>18.421000000000003</v>
      </c>
      <c r="J393" s="216"/>
      <c r="K393" s="216"/>
      <c r="L393" s="216">
        <v>76</v>
      </c>
      <c r="M393" s="216"/>
      <c r="N393" s="216"/>
      <c r="O393" s="217"/>
      <c r="P393" s="217">
        <v>14</v>
      </c>
      <c r="Q393" s="217"/>
      <c r="R393" s="217"/>
      <c r="S393" s="218"/>
    </row>
    <row r="394" spans="1:19" ht="15" customHeight="1">
      <c r="A394" s="413">
        <f t="shared" si="6"/>
        <v>394</v>
      </c>
      <c r="B394" s="26">
        <v>104</v>
      </c>
      <c r="C394" s="153" t="s">
        <v>165</v>
      </c>
      <c r="D394" s="211" t="s">
        <v>180</v>
      </c>
      <c r="E394" s="212" t="s">
        <v>357</v>
      </c>
      <c r="F394" s="213" t="s">
        <v>175</v>
      </c>
      <c r="G394" s="214" t="s">
        <v>391</v>
      </c>
      <c r="H394" s="213" t="s">
        <v>109</v>
      </c>
      <c r="I394" s="215">
        <f>(4.15*3.52-0.6*2.9)*1.3</f>
        <v>16.728400000000001</v>
      </c>
      <c r="J394" s="216"/>
      <c r="K394" s="216"/>
      <c r="L394" s="216">
        <v>41</v>
      </c>
      <c r="M394" s="216"/>
      <c r="N394" s="216"/>
      <c r="O394" s="217"/>
      <c r="P394" s="217"/>
      <c r="Q394" s="217"/>
      <c r="R394" s="217">
        <v>13</v>
      </c>
      <c r="S394" s="218" t="s">
        <v>521</v>
      </c>
    </row>
    <row r="395" spans="1:19" ht="15" customHeight="1">
      <c r="A395" s="413">
        <f t="shared" si="6"/>
        <v>395</v>
      </c>
      <c r="B395" s="26">
        <v>104</v>
      </c>
      <c r="C395" s="153" t="s">
        <v>165</v>
      </c>
      <c r="D395" s="211" t="s">
        <v>180</v>
      </c>
      <c r="E395" s="212" t="s">
        <v>357</v>
      </c>
      <c r="F395" s="213" t="s">
        <v>175</v>
      </c>
      <c r="G395" s="214" t="s">
        <v>393</v>
      </c>
      <c r="H395" s="213" t="s">
        <v>19</v>
      </c>
      <c r="I395" s="215">
        <f>(2*0.5+8.85*1.65+0.25*1.65+1.75*2.9+3.9*1.5+3.25*0.7)*1.3</f>
        <v>37.979499999999994</v>
      </c>
      <c r="J395" s="216"/>
      <c r="K395" s="216"/>
      <c r="L395" s="216">
        <v>87</v>
      </c>
      <c r="M395" s="216"/>
      <c r="N395" s="216"/>
      <c r="O395" s="217"/>
      <c r="P395" s="217"/>
      <c r="Q395" s="217"/>
      <c r="R395" s="217">
        <v>29</v>
      </c>
      <c r="S395" s="218" t="s">
        <v>521</v>
      </c>
    </row>
    <row r="396" spans="1:19" ht="15" customHeight="1">
      <c r="A396" s="413">
        <f t="shared" si="6"/>
        <v>396</v>
      </c>
      <c r="B396" s="26">
        <v>104</v>
      </c>
      <c r="C396" s="153" t="s">
        <v>165</v>
      </c>
      <c r="D396" s="211" t="s">
        <v>180</v>
      </c>
      <c r="E396" s="212" t="s">
        <v>357</v>
      </c>
      <c r="F396" s="213" t="s">
        <v>175</v>
      </c>
      <c r="G396" s="214" t="s">
        <v>394</v>
      </c>
      <c r="H396" s="213" t="s">
        <v>519</v>
      </c>
      <c r="I396" s="215">
        <f>(0.9*2)*1.3</f>
        <v>2.3400000000000003</v>
      </c>
      <c r="J396" s="216"/>
      <c r="K396" s="216"/>
      <c r="L396" s="216">
        <v>16</v>
      </c>
      <c r="M396" s="216"/>
      <c r="N396" s="216"/>
      <c r="O396" s="217"/>
      <c r="P396" s="217">
        <v>2</v>
      </c>
      <c r="Q396" s="217"/>
      <c r="R396" s="217"/>
      <c r="S396" s="218"/>
    </row>
    <row r="397" spans="1:19" ht="15" customHeight="1">
      <c r="A397" s="413">
        <f t="shared" si="6"/>
        <v>397</v>
      </c>
      <c r="B397" s="26">
        <v>104</v>
      </c>
      <c r="C397" s="153" t="s">
        <v>165</v>
      </c>
      <c r="D397" s="211" t="s">
        <v>180</v>
      </c>
      <c r="E397" s="212" t="s">
        <v>357</v>
      </c>
      <c r="F397" s="213" t="s">
        <v>395</v>
      </c>
      <c r="G397" s="214" t="s">
        <v>396</v>
      </c>
      <c r="H397" s="213" t="s">
        <v>166</v>
      </c>
      <c r="I397" s="215">
        <f>(4.75*1.3)*1.3</f>
        <v>8.0274999999999999</v>
      </c>
      <c r="J397" s="216"/>
      <c r="K397" s="216"/>
      <c r="L397" s="216"/>
      <c r="M397" s="216"/>
      <c r="N397" s="216"/>
      <c r="O397" s="217"/>
      <c r="P397" s="217"/>
      <c r="Q397" s="217"/>
      <c r="R397" s="217"/>
      <c r="S397" s="218"/>
    </row>
    <row r="398" spans="1:19" ht="15" customHeight="1">
      <c r="A398" s="413">
        <f t="shared" si="6"/>
        <v>398</v>
      </c>
      <c r="B398" s="26">
        <v>104</v>
      </c>
      <c r="C398" s="153" t="s">
        <v>165</v>
      </c>
      <c r="D398" s="211" t="s">
        <v>180</v>
      </c>
      <c r="E398" s="212" t="s">
        <v>357</v>
      </c>
      <c r="F398" s="213" t="s">
        <v>175</v>
      </c>
      <c r="G398" s="214" t="s">
        <v>398</v>
      </c>
      <c r="H398" s="213" t="s">
        <v>19</v>
      </c>
      <c r="I398" s="215">
        <f>(4.3*2.3)*1.3</f>
        <v>12.856999999999999</v>
      </c>
      <c r="J398" s="216"/>
      <c r="K398" s="216"/>
      <c r="L398" s="216">
        <v>23</v>
      </c>
      <c r="M398" s="216"/>
      <c r="N398" s="216"/>
      <c r="O398" s="217"/>
      <c r="P398" s="217">
        <v>10</v>
      </c>
      <c r="Q398" s="217"/>
      <c r="R398" s="217"/>
      <c r="S398" s="218"/>
    </row>
    <row r="399" spans="1:19" ht="15" customHeight="1">
      <c r="A399" s="413">
        <f t="shared" si="6"/>
        <v>399</v>
      </c>
      <c r="B399" s="26">
        <v>104</v>
      </c>
      <c r="C399" s="153" t="s">
        <v>165</v>
      </c>
      <c r="D399" s="211" t="s">
        <v>180</v>
      </c>
      <c r="E399" s="212" t="s">
        <v>357</v>
      </c>
      <c r="F399" s="213" t="s">
        <v>175</v>
      </c>
      <c r="G399" s="214" t="s">
        <v>400</v>
      </c>
      <c r="H399" s="213" t="s">
        <v>176</v>
      </c>
      <c r="I399" s="215">
        <f>(1.5*2.6)*1.3</f>
        <v>5.07</v>
      </c>
      <c r="J399" s="216"/>
      <c r="K399" s="216">
        <v>23</v>
      </c>
      <c r="L399" s="216"/>
      <c r="M399" s="216"/>
      <c r="N399" s="216"/>
      <c r="O399" s="217"/>
      <c r="P399" s="217"/>
      <c r="Q399" s="217">
        <v>4</v>
      </c>
      <c r="R399" s="217"/>
      <c r="S399" s="218"/>
    </row>
    <row r="400" spans="1:19" ht="15" customHeight="1">
      <c r="A400" s="413">
        <f t="shared" si="6"/>
        <v>400</v>
      </c>
      <c r="B400" s="26">
        <v>104</v>
      </c>
      <c r="C400" s="153" t="s">
        <v>165</v>
      </c>
      <c r="D400" s="211" t="s">
        <v>180</v>
      </c>
      <c r="E400" s="212" t="s">
        <v>357</v>
      </c>
      <c r="F400" s="213" t="s">
        <v>167</v>
      </c>
      <c r="G400" s="214" t="s">
        <v>402</v>
      </c>
      <c r="H400" s="213" t="s">
        <v>166</v>
      </c>
      <c r="I400" s="215">
        <f>(8.5*4)*1.3</f>
        <v>44.2</v>
      </c>
      <c r="J400" s="216"/>
      <c r="K400" s="216"/>
      <c r="L400" s="216">
        <v>76</v>
      </c>
      <c r="M400" s="216"/>
      <c r="N400" s="216"/>
      <c r="O400" s="217"/>
      <c r="P400" s="217">
        <v>34</v>
      </c>
      <c r="Q400" s="217"/>
      <c r="R400" s="217"/>
      <c r="S400" s="218"/>
    </row>
    <row r="401" spans="1:19" ht="15" customHeight="1">
      <c r="A401" s="413">
        <f t="shared" si="6"/>
        <v>401</v>
      </c>
      <c r="B401" s="26">
        <v>104</v>
      </c>
      <c r="C401" s="153" t="s">
        <v>165</v>
      </c>
      <c r="D401" s="211" t="s">
        <v>180</v>
      </c>
      <c r="E401" s="212" t="s">
        <v>357</v>
      </c>
      <c r="F401" s="213" t="s">
        <v>403</v>
      </c>
      <c r="G401" s="214" t="s">
        <v>404</v>
      </c>
      <c r="H401" s="213" t="s">
        <v>166</v>
      </c>
      <c r="I401" s="215">
        <f>(2.3*7.8+2*2.3)*1.3</f>
        <v>29.302</v>
      </c>
      <c r="J401" s="216"/>
      <c r="K401" s="216"/>
      <c r="L401" s="216">
        <v>40</v>
      </c>
      <c r="M401" s="216"/>
      <c r="N401" s="216"/>
      <c r="O401" s="217"/>
      <c r="P401" s="217"/>
      <c r="Q401" s="217"/>
      <c r="R401" s="217"/>
      <c r="S401" s="218"/>
    </row>
    <row r="402" spans="1:19" ht="15" customHeight="1">
      <c r="A402" s="413">
        <f t="shared" si="6"/>
        <v>402</v>
      </c>
      <c r="B402" s="26">
        <v>104</v>
      </c>
      <c r="C402" s="153" t="s">
        <v>165</v>
      </c>
      <c r="D402" s="211" t="s">
        <v>180</v>
      </c>
      <c r="E402" s="212" t="s">
        <v>357</v>
      </c>
      <c r="F402" s="213" t="s">
        <v>403</v>
      </c>
      <c r="G402" s="214" t="s">
        <v>405</v>
      </c>
      <c r="H402" s="213" t="s">
        <v>166</v>
      </c>
      <c r="I402" s="215">
        <f>(2.3*7.8+2*2.3)*1.3</f>
        <v>29.302</v>
      </c>
      <c r="J402" s="216"/>
      <c r="K402" s="216"/>
      <c r="L402" s="216">
        <v>40</v>
      </c>
      <c r="M402" s="216"/>
      <c r="N402" s="216"/>
      <c r="O402" s="217"/>
      <c r="P402" s="217"/>
      <c r="Q402" s="217"/>
      <c r="R402" s="217"/>
      <c r="S402" s="218"/>
    </row>
    <row r="403" spans="1:19" ht="15" customHeight="1">
      <c r="A403" s="413">
        <f t="shared" si="6"/>
        <v>403</v>
      </c>
      <c r="B403" s="26">
        <v>104</v>
      </c>
      <c r="C403" s="153" t="s">
        <v>165</v>
      </c>
      <c r="D403" s="211" t="s">
        <v>180</v>
      </c>
      <c r="E403" s="212" t="s">
        <v>357</v>
      </c>
      <c r="F403" s="213" t="s">
        <v>167</v>
      </c>
      <c r="G403" s="214" t="s">
        <v>406</v>
      </c>
      <c r="H403" s="213" t="s">
        <v>166</v>
      </c>
      <c r="I403" s="215">
        <v>11.700000000000001</v>
      </c>
      <c r="J403" s="216"/>
      <c r="K403" s="216"/>
      <c r="L403" s="216">
        <v>34</v>
      </c>
      <c r="M403" s="216"/>
      <c r="N403" s="216"/>
      <c r="O403" s="217"/>
      <c r="P403" s="217">
        <v>9</v>
      </c>
      <c r="Q403" s="217"/>
      <c r="R403" s="217"/>
      <c r="S403" s="218"/>
    </row>
    <row r="404" spans="1:19" ht="15" customHeight="1">
      <c r="A404" s="413">
        <f t="shared" si="6"/>
        <v>404</v>
      </c>
      <c r="B404" s="26">
        <v>104</v>
      </c>
      <c r="C404" s="153" t="s">
        <v>165</v>
      </c>
      <c r="D404" s="211" t="s">
        <v>180</v>
      </c>
      <c r="E404" s="212" t="s">
        <v>357</v>
      </c>
      <c r="F404" s="213" t="s">
        <v>407</v>
      </c>
      <c r="G404" s="214" t="s">
        <v>408</v>
      </c>
      <c r="H404" s="213" t="s">
        <v>166</v>
      </c>
      <c r="I404" s="215">
        <f>(2.5*1+1*1+2.7*1)*1.3</f>
        <v>8.06</v>
      </c>
      <c r="J404" s="216"/>
      <c r="K404" s="216"/>
      <c r="L404" s="216">
        <v>5</v>
      </c>
      <c r="M404" s="216"/>
      <c r="N404" s="216"/>
      <c r="O404" s="217"/>
      <c r="P404" s="217">
        <v>4</v>
      </c>
      <c r="Q404" s="217"/>
      <c r="R404" s="217"/>
      <c r="S404" s="218"/>
    </row>
    <row r="405" spans="1:19" ht="15" customHeight="1">
      <c r="A405" s="413">
        <f t="shared" si="6"/>
        <v>405</v>
      </c>
      <c r="B405" s="26">
        <v>104</v>
      </c>
      <c r="C405" s="153" t="s">
        <v>165</v>
      </c>
      <c r="D405" s="211" t="s">
        <v>180</v>
      </c>
      <c r="E405" s="212" t="s">
        <v>357</v>
      </c>
      <c r="F405" s="213" t="s">
        <v>409</v>
      </c>
      <c r="G405" s="214" t="s">
        <v>410</v>
      </c>
      <c r="H405" s="213" t="s">
        <v>166</v>
      </c>
      <c r="I405" s="215">
        <v>6.5</v>
      </c>
      <c r="J405" s="216"/>
      <c r="K405" s="216"/>
      <c r="L405" s="216">
        <v>17</v>
      </c>
      <c r="M405" s="216"/>
      <c r="N405" s="216"/>
      <c r="O405" s="217"/>
      <c r="P405" s="217">
        <v>3</v>
      </c>
      <c r="Q405" s="217"/>
      <c r="R405" s="217"/>
      <c r="S405" s="218"/>
    </row>
    <row r="406" spans="1:19" ht="15" customHeight="1">
      <c r="A406" s="413">
        <f t="shared" si="6"/>
        <v>406</v>
      </c>
      <c r="B406" s="26">
        <v>104</v>
      </c>
      <c r="C406" s="153" t="s">
        <v>165</v>
      </c>
      <c r="D406" s="211" t="s">
        <v>180</v>
      </c>
      <c r="E406" s="212" t="s">
        <v>357</v>
      </c>
      <c r="F406" s="213" t="s">
        <v>175</v>
      </c>
      <c r="G406" s="214" t="s">
        <v>411</v>
      </c>
      <c r="H406" s="213" t="s">
        <v>166</v>
      </c>
      <c r="I406" s="215">
        <v>2.6</v>
      </c>
      <c r="J406" s="216"/>
      <c r="K406" s="216"/>
      <c r="L406" s="216">
        <v>10</v>
      </c>
      <c r="M406" s="216"/>
      <c r="N406" s="216"/>
      <c r="O406" s="217"/>
      <c r="P406" s="217">
        <v>2</v>
      </c>
      <c r="Q406" s="217"/>
      <c r="R406" s="217"/>
      <c r="S406" s="218"/>
    </row>
    <row r="407" spans="1:19" ht="15" customHeight="1">
      <c r="A407" s="413">
        <f t="shared" si="6"/>
        <v>407</v>
      </c>
      <c r="B407" s="26">
        <v>104</v>
      </c>
      <c r="C407" s="153" t="s">
        <v>165</v>
      </c>
      <c r="D407" s="211" t="s">
        <v>180</v>
      </c>
      <c r="E407" s="212" t="s">
        <v>357</v>
      </c>
      <c r="F407" s="213" t="s">
        <v>412</v>
      </c>
      <c r="G407" s="214" t="s">
        <v>413</v>
      </c>
      <c r="H407" s="213" t="s">
        <v>166</v>
      </c>
      <c r="I407" s="215">
        <f>(5.35*1)*1.3</f>
        <v>6.9550000000000001</v>
      </c>
      <c r="J407" s="216"/>
      <c r="K407" s="216"/>
      <c r="L407" s="216">
        <v>40</v>
      </c>
      <c r="M407" s="216"/>
      <c r="N407" s="216"/>
      <c r="O407" s="217"/>
      <c r="P407" s="217">
        <v>5</v>
      </c>
      <c r="Q407" s="217"/>
      <c r="R407" s="217"/>
      <c r="S407" s="218"/>
    </row>
    <row r="408" spans="1:19" ht="15" customHeight="1">
      <c r="A408" s="413">
        <f t="shared" si="6"/>
        <v>408</v>
      </c>
      <c r="B408" s="26">
        <v>104</v>
      </c>
      <c r="C408" s="153" t="s">
        <v>165</v>
      </c>
      <c r="D408" s="211" t="s">
        <v>180</v>
      </c>
      <c r="E408" s="212" t="s">
        <v>357</v>
      </c>
      <c r="F408" s="213" t="s">
        <v>175</v>
      </c>
      <c r="G408" s="214" t="s">
        <v>414</v>
      </c>
      <c r="H408" s="213" t="s">
        <v>19</v>
      </c>
      <c r="I408" s="215">
        <f>(1.5*1.35+1.8*1+1.2*1)*1.3</f>
        <v>6.5325000000000006</v>
      </c>
      <c r="J408" s="216"/>
      <c r="K408" s="216"/>
      <c r="L408" s="216">
        <v>20</v>
      </c>
      <c r="M408" s="216"/>
      <c r="N408" s="216"/>
      <c r="O408" s="217"/>
      <c r="P408" s="217">
        <v>5</v>
      </c>
      <c r="Q408" s="217"/>
      <c r="R408" s="217"/>
      <c r="S408" s="218"/>
    </row>
    <row r="409" spans="1:19" ht="15" customHeight="1">
      <c r="A409" s="413">
        <f t="shared" si="6"/>
        <v>409</v>
      </c>
      <c r="B409" s="26">
        <v>104</v>
      </c>
      <c r="C409" s="153" t="s">
        <v>165</v>
      </c>
      <c r="D409" s="211" t="s">
        <v>180</v>
      </c>
      <c r="E409" s="212" t="s">
        <v>357</v>
      </c>
      <c r="F409" s="213" t="s">
        <v>330</v>
      </c>
      <c r="G409" s="214" t="s">
        <v>415</v>
      </c>
      <c r="H409" s="213" t="s">
        <v>166</v>
      </c>
      <c r="I409" s="215">
        <v>0</v>
      </c>
      <c r="J409" s="216"/>
      <c r="K409" s="216"/>
      <c r="L409" s="216"/>
      <c r="M409" s="216"/>
      <c r="N409" s="216"/>
      <c r="O409" s="217"/>
      <c r="P409" s="217"/>
      <c r="Q409" s="217"/>
      <c r="R409" s="217"/>
      <c r="S409" s="218" t="s">
        <v>522</v>
      </c>
    </row>
    <row r="410" spans="1:19" ht="15" customHeight="1">
      <c r="A410" s="413">
        <f t="shared" si="6"/>
        <v>410</v>
      </c>
      <c r="B410" s="26">
        <v>104</v>
      </c>
      <c r="C410" s="153" t="s">
        <v>165</v>
      </c>
      <c r="D410" s="211" t="s">
        <v>180</v>
      </c>
      <c r="E410" s="212" t="s">
        <v>357</v>
      </c>
      <c r="F410" s="213" t="s">
        <v>330</v>
      </c>
      <c r="G410" s="214" t="s">
        <v>416</v>
      </c>
      <c r="H410" s="213" t="s">
        <v>166</v>
      </c>
      <c r="I410" s="215">
        <v>0</v>
      </c>
      <c r="J410" s="216"/>
      <c r="K410" s="216"/>
      <c r="L410" s="216"/>
      <c r="M410" s="216"/>
      <c r="N410" s="216"/>
      <c r="O410" s="217"/>
      <c r="P410" s="217"/>
      <c r="Q410" s="217"/>
      <c r="R410" s="217"/>
      <c r="S410" s="218" t="s">
        <v>523</v>
      </c>
    </row>
    <row r="411" spans="1:19" ht="15" customHeight="1">
      <c r="A411" s="413">
        <f t="shared" si="6"/>
        <v>411</v>
      </c>
      <c r="B411" s="26">
        <v>104</v>
      </c>
      <c r="C411" s="153" t="s">
        <v>165</v>
      </c>
      <c r="D411" s="211" t="s">
        <v>180</v>
      </c>
      <c r="E411" s="212" t="s">
        <v>357</v>
      </c>
      <c r="F411" s="213" t="s">
        <v>175</v>
      </c>
      <c r="G411" s="214" t="s">
        <v>417</v>
      </c>
      <c r="H411" s="213" t="s">
        <v>19</v>
      </c>
      <c r="I411" s="215">
        <v>7.8000000000000007</v>
      </c>
      <c r="J411" s="216"/>
      <c r="K411" s="216"/>
      <c r="L411" s="216">
        <v>25</v>
      </c>
      <c r="M411" s="216"/>
      <c r="N411" s="216"/>
      <c r="O411" s="217"/>
      <c r="P411" s="217">
        <v>6</v>
      </c>
      <c r="Q411" s="217"/>
      <c r="R411" s="217"/>
      <c r="S411" s="218"/>
    </row>
    <row r="412" spans="1:19" ht="15" customHeight="1">
      <c r="A412" s="413">
        <f t="shared" si="6"/>
        <v>412</v>
      </c>
      <c r="B412" s="26">
        <v>104</v>
      </c>
      <c r="C412" s="153" t="s">
        <v>165</v>
      </c>
      <c r="D412" s="211" t="s">
        <v>180</v>
      </c>
      <c r="E412" s="212" t="s">
        <v>357</v>
      </c>
      <c r="F412" s="213" t="s">
        <v>412</v>
      </c>
      <c r="G412" s="214" t="s">
        <v>418</v>
      </c>
      <c r="H412" s="213" t="s">
        <v>166</v>
      </c>
      <c r="I412" s="215">
        <v>7.8000000000000007</v>
      </c>
      <c r="J412" s="216"/>
      <c r="K412" s="216"/>
      <c r="L412" s="216">
        <v>35</v>
      </c>
      <c r="M412" s="216"/>
      <c r="N412" s="216"/>
      <c r="O412" s="217"/>
      <c r="P412" s="217">
        <v>7</v>
      </c>
      <c r="Q412" s="217"/>
      <c r="R412" s="217"/>
      <c r="S412" s="218"/>
    </row>
    <row r="413" spans="1:19" ht="15" customHeight="1">
      <c r="A413" s="413">
        <f t="shared" si="6"/>
        <v>413</v>
      </c>
      <c r="B413" s="26">
        <v>104</v>
      </c>
      <c r="C413" s="153" t="s">
        <v>165</v>
      </c>
      <c r="D413" s="211" t="s">
        <v>180</v>
      </c>
      <c r="E413" s="212" t="s">
        <v>357</v>
      </c>
      <c r="F413" s="213" t="s">
        <v>419</v>
      </c>
      <c r="G413" s="214" t="s">
        <v>420</v>
      </c>
      <c r="H413" s="213" t="s">
        <v>1313</v>
      </c>
      <c r="I413" s="215">
        <f>(2.6*6.9)*1.3</f>
        <v>23.322000000000003</v>
      </c>
      <c r="J413" s="216"/>
      <c r="K413" s="216">
        <v>51</v>
      </c>
      <c r="L413" s="216"/>
      <c r="M413" s="216"/>
      <c r="N413" s="216"/>
      <c r="O413" s="217"/>
      <c r="P413" s="217"/>
      <c r="Q413" s="217">
        <v>18</v>
      </c>
      <c r="R413" s="217"/>
      <c r="S413" s="218"/>
    </row>
    <row r="414" spans="1:19" ht="15" customHeight="1">
      <c r="A414" s="413">
        <f t="shared" si="6"/>
        <v>414</v>
      </c>
      <c r="B414" s="26">
        <v>104</v>
      </c>
      <c r="C414" s="153" t="s">
        <v>165</v>
      </c>
      <c r="D414" s="211" t="s">
        <v>180</v>
      </c>
      <c r="E414" s="212" t="s">
        <v>357</v>
      </c>
      <c r="F414" s="213" t="s">
        <v>156</v>
      </c>
      <c r="G414" s="214" t="s">
        <v>421</v>
      </c>
      <c r="H414" s="213" t="s">
        <v>176</v>
      </c>
      <c r="I414" s="215">
        <f>(8.5*4.6-0.8*4.6)*1.3</f>
        <v>46.045999999999992</v>
      </c>
      <c r="J414" s="216"/>
      <c r="K414" s="216">
        <v>73</v>
      </c>
      <c r="L414" s="216"/>
      <c r="M414" s="216"/>
      <c r="N414" s="216"/>
      <c r="O414" s="217"/>
      <c r="P414" s="217"/>
      <c r="Q414" s="217">
        <v>35</v>
      </c>
      <c r="R414" s="217"/>
      <c r="S414" s="218"/>
    </row>
    <row r="415" spans="1:19" ht="15" customHeight="1">
      <c r="A415" s="413">
        <f t="shared" si="6"/>
        <v>415</v>
      </c>
      <c r="B415" s="26">
        <v>104</v>
      </c>
      <c r="C415" s="153" t="s">
        <v>165</v>
      </c>
      <c r="D415" s="211" t="s">
        <v>180</v>
      </c>
      <c r="E415" s="212" t="s">
        <v>357</v>
      </c>
      <c r="F415" s="213" t="s">
        <v>422</v>
      </c>
      <c r="G415" s="214" t="s">
        <v>423</v>
      </c>
      <c r="H415" s="213" t="s">
        <v>176</v>
      </c>
      <c r="I415" s="215">
        <f>(2.5*2.6)*1.3</f>
        <v>8.4500000000000011</v>
      </c>
      <c r="J415" s="216"/>
      <c r="K415" s="216">
        <v>35</v>
      </c>
      <c r="L415" s="216"/>
      <c r="M415" s="216"/>
      <c r="N415" s="216"/>
      <c r="O415" s="217"/>
      <c r="P415" s="217"/>
      <c r="Q415" s="217">
        <v>7</v>
      </c>
      <c r="R415" s="217"/>
      <c r="S415" s="218" t="s">
        <v>524</v>
      </c>
    </row>
    <row r="416" spans="1:19" ht="15" customHeight="1">
      <c r="A416" s="413">
        <f t="shared" si="6"/>
        <v>416</v>
      </c>
      <c r="B416" s="26">
        <v>104</v>
      </c>
      <c r="C416" s="153" t="s">
        <v>165</v>
      </c>
      <c r="D416" s="211" t="s">
        <v>180</v>
      </c>
      <c r="E416" s="212" t="s">
        <v>357</v>
      </c>
      <c r="F416" s="213" t="s">
        <v>424</v>
      </c>
      <c r="G416" s="214" t="s">
        <v>425</v>
      </c>
      <c r="H416" s="213" t="s">
        <v>1313</v>
      </c>
      <c r="I416" s="215">
        <f>(19.1*3)*1.3</f>
        <v>74.490000000000009</v>
      </c>
      <c r="J416" s="216"/>
      <c r="K416" s="216"/>
      <c r="L416" s="216">
        <v>137</v>
      </c>
      <c r="M416" s="216"/>
      <c r="N416" s="216"/>
      <c r="O416" s="217"/>
      <c r="P416" s="217"/>
      <c r="Q416" s="217"/>
      <c r="R416" s="217">
        <v>57</v>
      </c>
      <c r="S416" s="218" t="s">
        <v>521</v>
      </c>
    </row>
    <row r="417" spans="1:19" ht="15" customHeight="1">
      <c r="A417" s="413">
        <f t="shared" si="6"/>
        <v>417</v>
      </c>
      <c r="B417" s="26">
        <v>104</v>
      </c>
      <c r="C417" s="153" t="s">
        <v>165</v>
      </c>
      <c r="D417" s="211" t="s">
        <v>180</v>
      </c>
      <c r="E417" s="212" t="s">
        <v>357</v>
      </c>
      <c r="F417" s="213" t="s">
        <v>177</v>
      </c>
      <c r="G417" s="214" t="s">
        <v>426</v>
      </c>
      <c r="H417" s="213" t="s">
        <v>176</v>
      </c>
      <c r="I417" s="215">
        <f>(5*3-2.2*1.15-1.65*0.35)*1.3</f>
        <v>15.46025</v>
      </c>
      <c r="J417" s="216">
        <v>3</v>
      </c>
      <c r="K417" s="216">
        <v>51</v>
      </c>
      <c r="L417" s="216"/>
      <c r="M417" s="216"/>
      <c r="N417" s="216"/>
      <c r="O417" s="217"/>
      <c r="P417" s="217"/>
      <c r="Q417" s="217">
        <v>12</v>
      </c>
      <c r="R417" s="217"/>
      <c r="S417" s="218" t="s">
        <v>521</v>
      </c>
    </row>
    <row r="418" spans="1:19" ht="15" customHeight="1">
      <c r="A418" s="413">
        <f t="shared" si="6"/>
        <v>418</v>
      </c>
      <c r="B418" s="26">
        <v>104</v>
      </c>
      <c r="C418" s="153" t="s">
        <v>165</v>
      </c>
      <c r="D418" s="211" t="s">
        <v>180</v>
      </c>
      <c r="E418" s="212" t="s">
        <v>357</v>
      </c>
      <c r="F418" s="213" t="s">
        <v>427</v>
      </c>
      <c r="G418" s="214" t="s">
        <v>428</v>
      </c>
      <c r="H418" s="213" t="s">
        <v>19</v>
      </c>
      <c r="I418" s="215">
        <f>(3.45*2.15)*1.3</f>
        <v>9.6427500000000013</v>
      </c>
      <c r="J418" s="216"/>
      <c r="K418" s="216">
        <v>18</v>
      </c>
      <c r="L418" s="216">
        <v>18</v>
      </c>
      <c r="M418" s="216"/>
      <c r="N418" s="216"/>
      <c r="O418" s="217"/>
      <c r="P418" s="217"/>
      <c r="Q418" s="217">
        <v>7</v>
      </c>
      <c r="R418" s="217"/>
      <c r="S418" s="218" t="s">
        <v>521</v>
      </c>
    </row>
    <row r="419" spans="1:19" ht="15" customHeight="1">
      <c r="A419" s="413">
        <f t="shared" si="6"/>
        <v>419</v>
      </c>
      <c r="B419" s="26">
        <v>104</v>
      </c>
      <c r="C419" s="153" t="s">
        <v>165</v>
      </c>
      <c r="D419" s="211" t="s">
        <v>180</v>
      </c>
      <c r="E419" s="212" t="s">
        <v>357</v>
      </c>
      <c r="F419" s="213" t="s">
        <v>429</v>
      </c>
      <c r="G419" s="214" t="s">
        <v>430</v>
      </c>
      <c r="H419" s="213" t="s">
        <v>19</v>
      </c>
      <c r="I419" s="215">
        <f>(3.45*1)*1.3</f>
        <v>4.4850000000000003</v>
      </c>
      <c r="J419" s="216"/>
      <c r="K419" s="216">
        <v>15</v>
      </c>
      <c r="L419" s="216">
        <v>14</v>
      </c>
      <c r="M419" s="216"/>
      <c r="N419" s="216"/>
      <c r="O419" s="217"/>
      <c r="P419" s="217"/>
      <c r="Q419" s="217">
        <v>3</v>
      </c>
      <c r="R419" s="217"/>
      <c r="S419" s="218" t="s">
        <v>521</v>
      </c>
    </row>
    <row r="420" spans="1:19" ht="15" customHeight="1">
      <c r="A420" s="413">
        <f t="shared" si="6"/>
        <v>420</v>
      </c>
      <c r="B420" s="26">
        <v>104</v>
      </c>
      <c r="C420" s="153" t="s">
        <v>165</v>
      </c>
      <c r="D420" s="211" t="s">
        <v>180</v>
      </c>
      <c r="E420" s="212" t="s">
        <v>357</v>
      </c>
      <c r="F420" s="213" t="s">
        <v>427</v>
      </c>
      <c r="G420" s="214" t="s">
        <v>431</v>
      </c>
      <c r="H420" s="213" t="s">
        <v>19</v>
      </c>
      <c r="I420" s="215">
        <f>(2.75*2.15)*1.3</f>
        <v>7.6862499999999994</v>
      </c>
      <c r="J420" s="216"/>
      <c r="K420" s="216">
        <v>23</v>
      </c>
      <c r="L420" s="216">
        <v>9</v>
      </c>
      <c r="M420" s="216"/>
      <c r="N420" s="216"/>
      <c r="O420" s="217"/>
      <c r="P420" s="217"/>
      <c r="Q420" s="217">
        <v>6</v>
      </c>
      <c r="R420" s="217"/>
      <c r="S420" s="218" t="s">
        <v>521</v>
      </c>
    </row>
    <row r="421" spans="1:19" ht="15" customHeight="1">
      <c r="A421" s="413">
        <f t="shared" si="6"/>
        <v>421</v>
      </c>
      <c r="B421" s="26">
        <v>104</v>
      </c>
      <c r="C421" s="153" t="s">
        <v>165</v>
      </c>
      <c r="D421" s="211" t="s">
        <v>180</v>
      </c>
      <c r="E421" s="212" t="s">
        <v>357</v>
      </c>
      <c r="F421" s="213" t="s">
        <v>429</v>
      </c>
      <c r="G421" s="214" t="s">
        <v>432</v>
      </c>
      <c r="H421" s="213" t="s">
        <v>19</v>
      </c>
      <c r="I421" s="215">
        <f>(2.75*1)*1.3</f>
        <v>3.5750000000000002</v>
      </c>
      <c r="J421" s="216"/>
      <c r="K421" s="216">
        <v>15</v>
      </c>
      <c r="L421" s="216">
        <v>9</v>
      </c>
      <c r="M421" s="216"/>
      <c r="N421" s="216"/>
      <c r="O421" s="217"/>
      <c r="P421" s="217"/>
      <c r="Q421" s="217">
        <v>3</v>
      </c>
      <c r="R421" s="217"/>
      <c r="S421" s="218" t="s">
        <v>521</v>
      </c>
    </row>
    <row r="422" spans="1:19" ht="15" customHeight="1">
      <c r="A422" s="413">
        <f t="shared" si="6"/>
        <v>422</v>
      </c>
      <c r="B422" s="26">
        <v>104</v>
      </c>
      <c r="C422" s="153" t="s">
        <v>165</v>
      </c>
      <c r="D422" s="211" t="s">
        <v>180</v>
      </c>
      <c r="E422" s="212" t="s">
        <v>357</v>
      </c>
      <c r="F422" s="213" t="s">
        <v>433</v>
      </c>
      <c r="G422" s="214" t="s">
        <v>434</v>
      </c>
      <c r="H422" s="213" t="s">
        <v>19</v>
      </c>
      <c r="I422" s="215">
        <f>(1.5*2.7)*1.3</f>
        <v>5.2650000000000015</v>
      </c>
      <c r="J422" s="216"/>
      <c r="K422" s="216"/>
      <c r="L422" s="216">
        <v>19</v>
      </c>
      <c r="M422" s="216"/>
      <c r="N422" s="216"/>
      <c r="O422" s="217"/>
      <c r="P422" s="217">
        <v>4</v>
      </c>
      <c r="Q422" s="217"/>
      <c r="R422" s="217"/>
      <c r="S422" s="218"/>
    </row>
    <row r="423" spans="1:19" ht="15" customHeight="1">
      <c r="A423" s="413">
        <f t="shared" si="6"/>
        <v>423</v>
      </c>
      <c r="B423" s="26">
        <v>104</v>
      </c>
      <c r="C423" s="153" t="s">
        <v>165</v>
      </c>
      <c r="D423" s="211" t="s">
        <v>180</v>
      </c>
      <c r="E423" s="212" t="s">
        <v>357</v>
      </c>
      <c r="F423" s="213" t="s">
        <v>435</v>
      </c>
      <c r="G423" s="214" t="s">
        <v>436</v>
      </c>
      <c r="H423" s="213" t="s">
        <v>19</v>
      </c>
      <c r="I423" s="215">
        <f>(2.7*2.7)*1.3</f>
        <v>9.4770000000000021</v>
      </c>
      <c r="J423" s="216"/>
      <c r="K423" s="216"/>
      <c r="L423" s="216">
        <v>27</v>
      </c>
      <c r="M423" s="216"/>
      <c r="N423" s="216"/>
      <c r="O423" s="217"/>
      <c r="P423" s="217">
        <v>7</v>
      </c>
      <c r="Q423" s="217"/>
      <c r="R423" s="217"/>
      <c r="S423" s="218"/>
    </row>
    <row r="424" spans="1:19" ht="15" customHeight="1">
      <c r="A424" s="413">
        <f t="shared" si="6"/>
        <v>424</v>
      </c>
      <c r="B424" s="26">
        <v>104</v>
      </c>
      <c r="C424" s="153" t="s">
        <v>165</v>
      </c>
      <c r="D424" s="211" t="s">
        <v>180</v>
      </c>
      <c r="E424" s="212" t="s">
        <v>357</v>
      </c>
      <c r="F424" s="213" t="s">
        <v>437</v>
      </c>
      <c r="G424" s="214" t="s">
        <v>438</v>
      </c>
      <c r="H424" s="213" t="s">
        <v>19</v>
      </c>
      <c r="I424" s="215">
        <f>(2.4*4.1)*1.3</f>
        <v>12.791999999999998</v>
      </c>
      <c r="J424" s="216"/>
      <c r="K424" s="216"/>
      <c r="L424" s="216">
        <v>44</v>
      </c>
      <c r="M424" s="216"/>
      <c r="N424" s="216"/>
      <c r="O424" s="217"/>
      <c r="P424" s="217">
        <v>10</v>
      </c>
      <c r="Q424" s="217"/>
      <c r="R424" s="217"/>
      <c r="S424" s="218"/>
    </row>
    <row r="425" spans="1:19" ht="15" customHeight="1">
      <c r="A425" s="413">
        <f t="shared" si="6"/>
        <v>425</v>
      </c>
      <c r="B425" s="26">
        <v>104</v>
      </c>
      <c r="C425" s="153" t="s">
        <v>165</v>
      </c>
      <c r="D425" s="211" t="s">
        <v>180</v>
      </c>
      <c r="E425" s="212" t="s">
        <v>357</v>
      </c>
      <c r="F425" s="213" t="s">
        <v>439</v>
      </c>
      <c r="G425" s="214" t="s">
        <v>440</v>
      </c>
      <c r="H425" s="213" t="s">
        <v>176</v>
      </c>
      <c r="I425" s="215">
        <f>(4*2)*1.3</f>
        <v>10.4</v>
      </c>
      <c r="J425" s="216"/>
      <c r="K425" s="216">
        <v>28</v>
      </c>
      <c r="L425" s="216"/>
      <c r="M425" s="216"/>
      <c r="N425" s="216"/>
      <c r="O425" s="217"/>
      <c r="P425" s="217"/>
      <c r="Q425" s="217"/>
      <c r="R425" s="217">
        <v>8</v>
      </c>
      <c r="S425" s="218" t="s">
        <v>521</v>
      </c>
    </row>
    <row r="426" spans="1:19" ht="15" customHeight="1">
      <c r="A426" s="413">
        <f t="shared" si="6"/>
        <v>426</v>
      </c>
      <c r="B426" s="26">
        <v>104</v>
      </c>
      <c r="C426" s="153" t="s">
        <v>165</v>
      </c>
      <c r="D426" s="211" t="s">
        <v>180</v>
      </c>
      <c r="E426" s="212" t="s">
        <v>357</v>
      </c>
      <c r="F426" s="213" t="s">
        <v>41</v>
      </c>
      <c r="G426" s="214" t="s">
        <v>441</v>
      </c>
      <c r="H426" s="213" t="s">
        <v>519</v>
      </c>
      <c r="I426" s="215">
        <f>(3.4*1.75)*1.3</f>
        <v>7.7350000000000003</v>
      </c>
      <c r="J426" s="216">
        <v>1</v>
      </c>
      <c r="K426" s="216">
        <v>15</v>
      </c>
      <c r="L426" s="216"/>
      <c r="M426" s="216"/>
      <c r="N426" s="216"/>
      <c r="O426" s="217"/>
      <c r="P426" s="217">
        <v>6</v>
      </c>
      <c r="Q426" s="217"/>
      <c r="R426" s="217"/>
      <c r="S426" s="218"/>
    </row>
    <row r="427" spans="1:19" ht="15" customHeight="1">
      <c r="A427" s="413">
        <f t="shared" si="6"/>
        <v>427</v>
      </c>
      <c r="B427" s="26">
        <v>104</v>
      </c>
      <c r="C427" s="153" t="s">
        <v>165</v>
      </c>
      <c r="D427" s="211" t="s">
        <v>180</v>
      </c>
      <c r="E427" s="212" t="s">
        <v>357</v>
      </c>
      <c r="F427" s="213" t="s">
        <v>41</v>
      </c>
      <c r="G427" s="214" t="s">
        <v>443</v>
      </c>
      <c r="H427" s="213" t="s">
        <v>519</v>
      </c>
      <c r="I427" s="215">
        <f>(3.25*9.75-0.65*1.05)*1.3</f>
        <v>40.3065</v>
      </c>
      <c r="J427" s="216"/>
      <c r="K427" s="216">
        <v>60</v>
      </c>
      <c r="L427" s="216"/>
      <c r="M427" s="216"/>
      <c r="N427" s="216"/>
      <c r="O427" s="217"/>
      <c r="P427" s="217"/>
      <c r="Q427" s="217">
        <v>31</v>
      </c>
      <c r="R427" s="217"/>
      <c r="S427" s="218" t="s">
        <v>521</v>
      </c>
    </row>
    <row r="428" spans="1:19" ht="15" customHeight="1">
      <c r="A428" s="413">
        <f t="shared" si="6"/>
        <v>428</v>
      </c>
      <c r="B428" s="26">
        <v>104</v>
      </c>
      <c r="C428" s="153" t="s">
        <v>165</v>
      </c>
      <c r="D428" s="211" t="s">
        <v>180</v>
      </c>
      <c r="E428" s="212" t="s">
        <v>357</v>
      </c>
      <c r="F428" s="213" t="s">
        <v>41</v>
      </c>
      <c r="G428" s="214" t="s">
        <v>442</v>
      </c>
      <c r="H428" s="213" t="s">
        <v>519</v>
      </c>
      <c r="I428" s="215">
        <f>(10.3*1.2+2.1*0.95+2.9*5.1+0.5*2+4.35*10.3+1.2*2)*1.3</f>
        <v>100.55500000000002</v>
      </c>
      <c r="J428" s="216"/>
      <c r="K428" s="216">
        <v>132</v>
      </c>
      <c r="L428" s="216"/>
      <c r="M428" s="216"/>
      <c r="N428" s="216"/>
      <c r="O428" s="217"/>
      <c r="P428" s="217"/>
      <c r="Q428" s="217">
        <v>77</v>
      </c>
      <c r="R428" s="217"/>
      <c r="S428" s="218" t="s">
        <v>521</v>
      </c>
    </row>
    <row r="429" spans="1:19" ht="15" customHeight="1">
      <c r="A429" s="413">
        <f t="shared" si="6"/>
        <v>429</v>
      </c>
      <c r="B429" s="26">
        <v>104</v>
      </c>
      <c r="C429" s="153" t="s">
        <v>165</v>
      </c>
      <c r="D429" s="211" t="s">
        <v>180</v>
      </c>
      <c r="E429" s="212" t="s">
        <v>357</v>
      </c>
      <c r="F429" s="213" t="s">
        <v>41</v>
      </c>
      <c r="G429" s="214" t="s">
        <v>444</v>
      </c>
      <c r="H429" s="213" t="s">
        <v>19</v>
      </c>
      <c r="I429" s="215">
        <f>(4.35*3.65-1.35*2.15)*1.3</f>
        <v>16.867499999999996</v>
      </c>
      <c r="J429" s="216"/>
      <c r="K429" s="216"/>
      <c r="L429" s="216">
        <v>43</v>
      </c>
      <c r="M429" s="216"/>
      <c r="N429" s="216"/>
      <c r="O429" s="217"/>
      <c r="P429" s="217"/>
      <c r="Q429" s="217">
        <v>13</v>
      </c>
      <c r="R429" s="217"/>
      <c r="S429" s="218" t="s">
        <v>521</v>
      </c>
    </row>
    <row r="430" spans="1:19" ht="15" customHeight="1">
      <c r="A430" s="413">
        <f t="shared" si="6"/>
        <v>430</v>
      </c>
      <c r="B430" s="26">
        <v>104</v>
      </c>
      <c r="C430" s="153" t="s">
        <v>165</v>
      </c>
      <c r="D430" s="211" t="s">
        <v>180</v>
      </c>
      <c r="E430" s="212" t="s">
        <v>357</v>
      </c>
      <c r="F430" s="213" t="s">
        <v>40</v>
      </c>
      <c r="G430" s="214" t="s">
        <v>445</v>
      </c>
      <c r="H430" s="213" t="s">
        <v>519</v>
      </c>
      <c r="I430" s="215">
        <f>(3.4*2.35)*1.3</f>
        <v>10.387</v>
      </c>
      <c r="J430" s="216">
        <v>1</v>
      </c>
      <c r="K430" s="216">
        <v>31</v>
      </c>
      <c r="L430" s="216"/>
      <c r="M430" s="216"/>
      <c r="N430" s="216"/>
      <c r="O430" s="217"/>
      <c r="P430" s="217"/>
      <c r="Q430" s="217">
        <v>8</v>
      </c>
      <c r="R430" s="217"/>
      <c r="S430" s="218" t="s">
        <v>521</v>
      </c>
    </row>
    <row r="431" spans="1:19" ht="15" customHeight="1">
      <c r="A431" s="413">
        <f t="shared" si="6"/>
        <v>431</v>
      </c>
      <c r="B431" s="26">
        <v>104</v>
      </c>
      <c r="C431" s="153" t="s">
        <v>165</v>
      </c>
      <c r="D431" s="211" t="s">
        <v>180</v>
      </c>
      <c r="E431" s="212" t="s">
        <v>357</v>
      </c>
      <c r="F431" s="213" t="s">
        <v>446</v>
      </c>
      <c r="G431" s="214" t="s">
        <v>447</v>
      </c>
      <c r="H431" s="213" t="s">
        <v>148</v>
      </c>
      <c r="I431" s="215">
        <f>(1.4*1.6)*1.3</f>
        <v>2.9119999999999999</v>
      </c>
      <c r="J431" s="216">
        <v>15</v>
      </c>
      <c r="K431" s="216"/>
      <c r="L431" s="216"/>
      <c r="M431" s="216"/>
      <c r="N431" s="216"/>
      <c r="O431" s="217"/>
      <c r="P431" s="217"/>
      <c r="Q431" s="217"/>
      <c r="R431" s="217">
        <v>2</v>
      </c>
      <c r="S431" s="218" t="s">
        <v>525</v>
      </c>
    </row>
    <row r="432" spans="1:19" ht="15" customHeight="1">
      <c r="A432" s="413">
        <f t="shared" si="6"/>
        <v>432</v>
      </c>
      <c r="B432" s="26">
        <v>104</v>
      </c>
      <c r="C432" s="153" t="s">
        <v>165</v>
      </c>
      <c r="D432" s="211" t="s">
        <v>180</v>
      </c>
      <c r="E432" s="212" t="s">
        <v>357</v>
      </c>
      <c r="F432" s="213" t="s">
        <v>446</v>
      </c>
      <c r="G432" s="214" t="s">
        <v>448</v>
      </c>
      <c r="H432" s="213" t="s">
        <v>148</v>
      </c>
      <c r="I432" s="215">
        <f>(1.25*1.3)*1.3</f>
        <v>2.1125000000000003</v>
      </c>
      <c r="J432" s="216">
        <v>13</v>
      </c>
      <c r="K432" s="216"/>
      <c r="L432" s="216"/>
      <c r="M432" s="216"/>
      <c r="N432" s="216"/>
      <c r="O432" s="217"/>
      <c r="P432" s="217"/>
      <c r="Q432" s="217"/>
      <c r="R432" s="217">
        <v>2</v>
      </c>
      <c r="S432" s="218" t="s">
        <v>525</v>
      </c>
    </row>
    <row r="433" spans="1:19" ht="15" customHeight="1">
      <c r="A433" s="413">
        <f t="shared" si="6"/>
        <v>433</v>
      </c>
      <c r="B433" s="26">
        <v>104</v>
      </c>
      <c r="C433" s="153" t="s">
        <v>165</v>
      </c>
      <c r="D433" s="211" t="s">
        <v>180</v>
      </c>
      <c r="E433" s="212" t="s">
        <v>357</v>
      </c>
      <c r="F433" s="213" t="s">
        <v>446</v>
      </c>
      <c r="G433" s="214" t="s">
        <v>449</v>
      </c>
      <c r="H433" s="213" t="s">
        <v>148</v>
      </c>
      <c r="I433" s="215">
        <f>(1.4*1.6)*1.3</f>
        <v>2.9119999999999999</v>
      </c>
      <c r="J433" s="216">
        <v>15</v>
      </c>
      <c r="K433" s="216"/>
      <c r="L433" s="216"/>
      <c r="M433" s="216"/>
      <c r="N433" s="216"/>
      <c r="O433" s="217"/>
      <c r="P433" s="217"/>
      <c r="Q433" s="217"/>
      <c r="R433" s="217">
        <v>2</v>
      </c>
      <c r="S433" s="218" t="s">
        <v>525</v>
      </c>
    </row>
    <row r="434" spans="1:19" ht="15" customHeight="1">
      <c r="A434" s="413">
        <f t="shared" si="6"/>
        <v>434</v>
      </c>
      <c r="B434" s="26">
        <v>104</v>
      </c>
      <c r="C434" s="153" t="s">
        <v>165</v>
      </c>
      <c r="D434" s="211" t="s">
        <v>180</v>
      </c>
      <c r="E434" s="212" t="s">
        <v>357</v>
      </c>
      <c r="F434" s="213" t="s">
        <v>446</v>
      </c>
      <c r="G434" s="214" t="s">
        <v>450</v>
      </c>
      <c r="H434" s="213" t="s">
        <v>148</v>
      </c>
      <c r="I434" s="215">
        <f>(1.25*1.3)*1.3</f>
        <v>2.1125000000000003</v>
      </c>
      <c r="J434" s="216">
        <v>13</v>
      </c>
      <c r="K434" s="216"/>
      <c r="L434" s="216"/>
      <c r="M434" s="216"/>
      <c r="N434" s="216"/>
      <c r="O434" s="217"/>
      <c r="P434" s="217"/>
      <c r="Q434" s="217"/>
      <c r="R434" s="217">
        <v>2</v>
      </c>
      <c r="S434" s="218" t="s">
        <v>525</v>
      </c>
    </row>
    <row r="435" spans="1:19" ht="15" customHeight="1">
      <c r="A435" s="413">
        <f t="shared" si="6"/>
        <v>435</v>
      </c>
      <c r="B435" s="26">
        <v>104</v>
      </c>
      <c r="C435" s="153" t="s">
        <v>165</v>
      </c>
      <c r="D435" s="211" t="s">
        <v>180</v>
      </c>
      <c r="E435" s="212" t="s">
        <v>357</v>
      </c>
      <c r="F435" s="213" t="s">
        <v>446</v>
      </c>
      <c r="G435" s="214" t="s">
        <v>451</v>
      </c>
      <c r="H435" s="213" t="s">
        <v>109</v>
      </c>
      <c r="I435" s="215">
        <v>2.6</v>
      </c>
      <c r="J435" s="216"/>
      <c r="K435" s="216"/>
      <c r="L435" s="216"/>
      <c r="M435" s="216"/>
      <c r="N435" s="216"/>
      <c r="O435" s="217"/>
      <c r="P435" s="217"/>
      <c r="Q435" s="217"/>
      <c r="R435" s="217"/>
      <c r="S435" s="218" t="s">
        <v>1318</v>
      </c>
    </row>
    <row r="436" spans="1:19" ht="15" customHeight="1">
      <c r="A436" s="413">
        <f t="shared" si="6"/>
        <v>436</v>
      </c>
      <c r="B436" s="26">
        <v>104</v>
      </c>
      <c r="C436" s="153" t="s">
        <v>165</v>
      </c>
      <c r="D436" s="211" t="s">
        <v>180</v>
      </c>
      <c r="E436" s="212" t="s">
        <v>357</v>
      </c>
      <c r="F436" s="213" t="s">
        <v>446</v>
      </c>
      <c r="G436" s="214" t="s">
        <v>452</v>
      </c>
      <c r="H436" s="213" t="s">
        <v>109</v>
      </c>
      <c r="I436" s="215">
        <v>2.6</v>
      </c>
      <c r="J436" s="216"/>
      <c r="K436" s="216"/>
      <c r="L436" s="216"/>
      <c r="M436" s="216"/>
      <c r="N436" s="216"/>
      <c r="O436" s="217"/>
      <c r="P436" s="217"/>
      <c r="Q436" s="217"/>
      <c r="R436" s="217"/>
      <c r="S436" s="218" t="s">
        <v>1318</v>
      </c>
    </row>
    <row r="437" spans="1:19" ht="15" customHeight="1">
      <c r="A437" s="413">
        <f t="shared" si="6"/>
        <v>437</v>
      </c>
      <c r="B437" s="26">
        <v>104</v>
      </c>
      <c r="C437" s="153" t="s">
        <v>165</v>
      </c>
      <c r="D437" s="211" t="s">
        <v>180</v>
      </c>
      <c r="E437" s="212" t="s">
        <v>357</v>
      </c>
      <c r="F437" s="213" t="s">
        <v>446</v>
      </c>
      <c r="G437" s="214" t="s">
        <v>453</v>
      </c>
      <c r="H437" s="213" t="s">
        <v>109</v>
      </c>
      <c r="I437" s="215">
        <v>2.6</v>
      </c>
      <c r="J437" s="216"/>
      <c r="K437" s="216"/>
      <c r="L437" s="216"/>
      <c r="M437" s="216"/>
      <c r="N437" s="216"/>
      <c r="O437" s="217"/>
      <c r="P437" s="217"/>
      <c r="Q437" s="217"/>
      <c r="R437" s="217"/>
      <c r="S437" s="218" t="s">
        <v>1318</v>
      </c>
    </row>
    <row r="438" spans="1:19" ht="15" customHeight="1">
      <c r="A438" s="413">
        <f t="shared" si="6"/>
        <v>438</v>
      </c>
      <c r="B438" s="26">
        <v>104</v>
      </c>
      <c r="C438" s="153" t="s">
        <v>165</v>
      </c>
      <c r="D438" s="211" t="s">
        <v>180</v>
      </c>
      <c r="E438" s="212" t="s">
        <v>357</v>
      </c>
      <c r="F438" s="213" t="s">
        <v>446</v>
      </c>
      <c r="G438" s="214" t="s">
        <v>454</v>
      </c>
      <c r="H438" s="213" t="s">
        <v>109</v>
      </c>
      <c r="I438" s="215">
        <v>2.6</v>
      </c>
      <c r="J438" s="216"/>
      <c r="K438" s="216"/>
      <c r="L438" s="216"/>
      <c r="M438" s="216"/>
      <c r="N438" s="216"/>
      <c r="O438" s="217"/>
      <c r="P438" s="217"/>
      <c r="Q438" s="217"/>
      <c r="R438" s="217"/>
      <c r="S438" s="218" t="s">
        <v>1318</v>
      </c>
    </row>
    <row r="439" spans="1:19" ht="15" customHeight="1">
      <c r="A439" s="413">
        <f t="shared" si="6"/>
        <v>439</v>
      </c>
      <c r="B439" s="26">
        <v>104</v>
      </c>
      <c r="C439" s="153" t="s">
        <v>165</v>
      </c>
      <c r="D439" s="211" t="s">
        <v>180</v>
      </c>
      <c r="E439" s="212" t="s">
        <v>357</v>
      </c>
      <c r="F439" s="213" t="s">
        <v>446</v>
      </c>
      <c r="G439" s="214" t="s">
        <v>456</v>
      </c>
      <c r="H439" s="213" t="s">
        <v>148</v>
      </c>
      <c r="I439" s="215">
        <f>(0.95*1.25)*1.3</f>
        <v>1.54375</v>
      </c>
      <c r="J439" s="216">
        <v>10</v>
      </c>
      <c r="K439" s="216"/>
      <c r="L439" s="216"/>
      <c r="M439" s="216"/>
      <c r="N439" s="216"/>
      <c r="O439" s="217"/>
      <c r="P439" s="217"/>
      <c r="Q439" s="217"/>
      <c r="R439" s="217">
        <v>1</v>
      </c>
      <c r="S439" s="218" t="s">
        <v>525</v>
      </c>
    </row>
    <row r="440" spans="1:19" ht="15" customHeight="1">
      <c r="A440" s="413">
        <f t="shared" si="6"/>
        <v>440</v>
      </c>
      <c r="B440" s="26">
        <v>104</v>
      </c>
      <c r="C440" s="153" t="s">
        <v>165</v>
      </c>
      <c r="D440" s="211" t="s">
        <v>180</v>
      </c>
      <c r="E440" s="212" t="s">
        <v>357</v>
      </c>
      <c r="F440" s="213" t="s">
        <v>446</v>
      </c>
      <c r="G440" s="214" t="s">
        <v>458</v>
      </c>
      <c r="H440" s="213" t="s">
        <v>148</v>
      </c>
      <c r="I440" s="215">
        <f>(0.95*1.25)*1.3</f>
        <v>1.54375</v>
      </c>
      <c r="J440" s="216">
        <v>10</v>
      </c>
      <c r="K440" s="216"/>
      <c r="L440" s="216"/>
      <c r="M440" s="216"/>
      <c r="N440" s="216"/>
      <c r="O440" s="217"/>
      <c r="P440" s="217"/>
      <c r="Q440" s="217"/>
      <c r="R440" s="217">
        <v>1</v>
      </c>
      <c r="S440" s="218" t="s">
        <v>525</v>
      </c>
    </row>
    <row r="441" spans="1:19" ht="15" customHeight="1">
      <c r="A441" s="413">
        <f t="shared" si="6"/>
        <v>441</v>
      </c>
      <c r="B441" s="26">
        <v>104</v>
      </c>
      <c r="C441" s="153" t="s">
        <v>165</v>
      </c>
      <c r="D441" s="211" t="s">
        <v>180</v>
      </c>
      <c r="E441" s="212" t="s">
        <v>357</v>
      </c>
      <c r="F441" s="213" t="s">
        <v>446</v>
      </c>
      <c r="G441" s="214" t="s">
        <v>460</v>
      </c>
      <c r="H441" s="213" t="s">
        <v>148</v>
      </c>
      <c r="I441" s="215">
        <f>(0.95*1.25)*1.3</f>
        <v>1.54375</v>
      </c>
      <c r="J441" s="216">
        <v>10</v>
      </c>
      <c r="K441" s="216"/>
      <c r="L441" s="216"/>
      <c r="M441" s="216"/>
      <c r="N441" s="216"/>
      <c r="O441" s="217"/>
      <c r="P441" s="217"/>
      <c r="Q441" s="217"/>
      <c r="R441" s="217">
        <v>1</v>
      </c>
      <c r="S441" s="218" t="s">
        <v>525</v>
      </c>
    </row>
    <row r="442" spans="1:19" ht="15" customHeight="1">
      <c r="A442" s="413">
        <f t="shared" si="6"/>
        <v>442</v>
      </c>
      <c r="B442" s="26">
        <v>104</v>
      </c>
      <c r="C442" s="153" t="s">
        <v>165</v>
      </c>
      <c r="D442" s="211" t="s">
        <v>180</v>
      </c>
      <c r="E442" s="212" t="s">
        <v>357</v>
      </c>
      <c r="F442" s="213" t="s">
        <v>461</v>
      </c>
      <c r="G442" s="214" t="s">
        <v>462</v>
      </c>
      <c r="H442" s="213" t="s">
        <v>19</v>
      </c>
      <c r="I442" s="215">
        <f>(3.15*2.95)*1.3</f>
        <v>12.080250000000001</v>
      </c>
      <c r="J442" s="216"/>
      <c r="K442" s="216"/>
      <c r="L442" s="216"/>
      <c r="M442" s="216"/>
      <c r="N442" s="216"/>
      <c r="O442" s="217"/>
      <c r="P442" s="217"/>
      <c r="Q442" s="217"/>
      <c r="R442" s="217">
        <v>9</v>
      </c>
      <c r="S442" s="218" t="s">
        <v>526</v>
      </c>
    </row>
    <row r="443" spans="1:19" ht="15" customHeight="1">
      <c r="A443" s="413">
        <f t="shared" si="6"/>
        <v>443</v>
      </c>
      <c r="B443" s="26">
        <v>104</v>
      </c>
      <c r="C443" s="153" t="s">
        <v>165</v>
      </c>
      <c r="D443" s="211" t="s">
        <v>180</v>
      </c>
      <c r="E443" s="212" t="s">
        <v>357</v>
      </c>
      <c r="F443" s="213" t="s">
        <v>463</v>
      </c>
      <c r="G443" s="214" t="s">
        <v>464</v>
      </c>
      <c r="H443" s="213" t="s">
        <v>19</v>
      </c>
      <c r="I443" s="215">
        <f>(8.55*17.65-1.2*4.45-4.11*0.75-(12.5*6))*1.3</f>
        <v>87.730499999999978</v>
      </c>
      <c r="J443" s="216"/>
      <c r="K443" s="216">
        <v>149</v>
      </c>
      <c r="L443" s="216"/>
      <c r="M443" s="216"/>
      <c r="N443" s="216"/>
      <c r="O443" s="217"/>
      <c r="P443" s="217"/>
      <c r="Q443" s="217">
        <v>150</v>
      </c>
      <c r="R443" s="217"/>
      <c r="S443" s="218"/>
    </row>
    <row r="444" spans="1:19" ht="15" customHeight="1">
      <c r="A444" s="413">
        <f t="shared" si="6"/>
        <v>444</v>
      </c>
      <c r="B444" s="26">
        <v>104</v>
      </c>
      <c r="C444" s="153" t="s">
        <v>165</v>
      </c>
      <c r="D444" s="211" t="s">
        <v>180</v>
      </c>
      <c r="E444" s="212" t="s">
        <v>357</v>
      </c>
      <c r="F444" s="213" t="s">
        <v>463</v>
      </c>
      <c r="G444" s="214" t="s">
        <v>465</v>
      </c>
      <c r="H444" s="213" t="s">
        <v>19</v>
      </c>
      <c r="I444" s="215">
        <f>(6.5*1.7+12.6*2.5)*1.3</f>
        <v>55.314999999999998</v>
      </c>
      <c r="J444" s="216"/>
      <c r="K444" s="216"/>
      <c r="L444" s="216">
        <v>101</v>
      </c>
      <c r="M444" s="216"/>
      <c r="N444" s="216"/>
      <c r="O444" s="217"/>
      <c r="P444" s="217">
        <v>113</v>
      </c>
      <c r="Q444" s="217"/>
      <c r="R444" s="217"/>
      <c r="S444" s="218"/>
    </row>
    <row r="445" spans="1:19" ht="15" customHeight="1">
      <c r="A445" s="413">
        <f t="shared" si="6"/>
        <v>445</v>
      </c>
      <c r="B445" s="26">
        <v>104</v>
      </c>
      <c r="C445" s="153" t="s">
        <v>165</v>
      </c>
      <c r="D445" s="211" t="s">
        <v>180</v>
      </c>
      <c r="E445" s="212" t="s">
        <v>357</v>
      </c>
      <c r="F445" s="213" t="s">
        <v>333</v>
      </c>
      <c r="G445" s="214" t="s">
        <v>466</v>
      </c>
      <c r="H445" s="213" t="s">
        <v>166</v>
      </c>
      <c r="I445" s="215">
        <v>19.5</v>
      </c>
      <c r="J445" s="216"/>
      <c r="K445" s="216"/>
      <c r="L445" s="216">
        <f>7.2*2*2.4+3*2.4</f>
        <v>41.760000000000005</v>
      </c>
      <c r="M445" s="216"/>
      <c r="N445" s="216"/>
      <c r="O445" s="217"/>
      <c r="P445" s="217">
        <v>28</v>
      </c>
      <c r="Q445" s="217"/>
      <c r="R445" s="217"/>
      <c r="S445" s="218"/>
    </row>
    <row r="446" spans="1:19" ht="15" customHeight="1">
      <c r="A446" s="413">
        <f t="shared" si="6"/>
        <v>446</v>
      </c>
      <c r="B446" s="26">
        <v>104</v>
      </c>
      <c r="C446" s="153" t="s">
        <v>165</v>
      </c>
      <c r="D446" s="211" t="s">
        <v>180</v>
      </c>
      <c r="E446" s="212" t="s">
        <v>357</v>
      </c>
      <c r="F446" s="213" t="s">
        <v>333</v>
      </c>
      <c r="G446" s="214" t="s">
        <v>467</v>
      </c>
      <c r="H446" s="213" t="s">
        <v>166</v>
      </c>
      <c r="I446" s="215">
        <v>5.2</v>
      </c>
      <c r="J446" s="216"/>
      <c r="K446" s="216"/>
      <c r="L446" s="216"/>
      <c r="M446" s="216"/>
      <c r="N446" s="216"/>
      <c r="O446" s="217"/>
      <c r="P446" s="217"/>
      <c r="Q446" s="217"/>
      <c r="R446" s="217"/>
      <c r="S446" s="218" t="s">
        <v>1320</v>
      </c>
    </row>
    <row r="447" spans="1:19" ht="15" customHeight="1">
      <c r="A447" s="413">
        <f t="shared" si="6"/>
        <v>447</v>
      </c>
      <c r="B447" s="26">
        <v>104</v>
      </c>
      <c r="C447" s="153" t="s">
        <v>165</v>
      </c>
      <c r="D447" s="211" t="s">
        <v>180</v>
      </c>
      <c r="E447" s="212" t="s">
        <v>357</v>
      </c>
      <c r="F447" s="213" t="s">
        <v>168</v>
      </c>
      <c r="G447" s="214" t="s">
        <v>468</v>
      </c>
      <c r="H447" s="213" t="s">
        <v>519</v>
      </c>
      <c r="I447" s="215">
        <f>(7.4*4.9+2.8*1.2-1*2.75)*1.3</f>
        <v>47.931000000000004</v>
      </c>
      <c r="J447" s="216"/>
      <c r="K447" s="216">
        <v>90</v>
      </c>
      <c r="L447" s="216"/>
      <c r="M447" s="216"/>
      <c r="N447" s="216"/>
      <c r="O447" s="217"/>
      <c r="P447" s="217"/>
      <c r="Q447" s="217">
        <v>28</v>
      </c>
      <c r="R447" s="217"/>
      <c r="S447" s="218"/>
    </row>
    <row r="448" spans="1:19" ht="15" customHeight="1">
      <c r="A448" s="413">
        <f t="shared" si="6"/>
        <v>448</v>
      </c>
      <c r="B448" s="26">
        <v>104</v>
      </c>
      <c r="C448" s="153" t="s">
        <v>165</v>
      </c>
      <c r="D448" s="211" t="s">
        <v>180</v>
      </c>
      <c r="E448" s="212" t="s">
        <v>357</v>
      </c>
      <c r="F448" s="213" t="s">
        <v>168</v>
      </c>
      <c r="G448" s="214" t="s">
        <v>470</v>
      </c>
      <c r="H448" s="213" t="s">
        <v>519</v>
      </c>
      <c r="I448" s="215">
        <f>(5.4*4.75+3.5+1.7*6.8+5.1*4.1+2.31*1.6+3.75*4.1)*1.3</f>
        <v>104.89830000000001</v>
      </c>
      <c r="J448" s="216"/>
      <c r="K448" s="216">
        <v>185</v>
      </c>
      <c r="L448" s="216"/>
      <c r="M448" s="216"/>
      <c r="N448" s="216"/>
      <c r="O448" s="217"/>
      <c r="P448" s="217"/>
      <c r="Q448" s="217">
        <v>35</v>
      </c>
      <c r="R448" s="217"/>
      <c r="S448" s="218"/>
    </row>
    <row r="449" spans="1:19" ht="15" customHeight="1">
      <c r="A449" s="413">
        <f t="shared" si="6"/>
        <v>449</v>
      </c>
      <c r="B449" s="26">
        <v>104</v>
      </c>
      <c r="C449" s="153" t="s">
        <v>165</v>
      </c>
      <c r="D449" s="211" t="s">
        <v>180</v>
      </c>
      <c r="E449" s="212" t="s">
        <v>357</v>
      </c>
      <c r="F449" s="213" t="s">
        <v>123</v>
      </c>
      <c r="G449" s="214" t="s">
        <v>471</v>
      </c>
      <c r="H449" s="213" t="s">
        <v>109</v>
      </c>
      <c r="I449" s="215">
        <f>(2.9*2.45)*1.3</f>
        <v>9.2365000000000013</v>
      </c>
      <c r="J449" s="216"/>
      <c r="K449" s="216">
        <v>36</v>
      </c>
      <c r="L449" s="216"/>
      <c r="M449" s="216"/>
      <c r="N449" s="216"/>
      <c r="O449" s="217"/>
      <c r="P449" s="217"/>
      <c r="Q449" s="217">
        <v>7</v>
      </c>
      <c r="R449" s="217"/>
      <c r="S449" s="218"/>
    </row>
    <row r="450" spans="1:19" ht="15" customHeight="1">
      <c r="A450" s="413">
        <f t="shared" si="6"/>
        <v>450</v>
      </c>
      <c r="B450" s="26">
        <v>104</v>
      </c>
      <c r="C450" s="153" t="s">
        <v>165</v>
      </c>
      <c r="D450" s="211" t="s">
        <v>180</v>
      </c>
      <c r="E450" s="212" t="s">
        <v>357</v>
      </c>
      <c r="F450" s="213" t="s">
        <v>123</v>
      </c>
      <c r="G450" s="214" t="s">
        <v>473</v>
      </c>
      <c r="H450" s="213" t="s">
        <v>19</v>
      </c>
      <c r="I450" s="215">
        <f>(2.5*2.8-0.5*1.5*1.2)*1.3</f>
        <v>7.93</v>
      </c>
      <c r="J450" s="216"/>
      <c r="K450" s="216"/>
      <c r="L450" s="216">
        <v>33</v>
      </c>
      <c r="M450" s="216"/>
      <c r="N450" s="216"/>
      <c r="O450" s="217"/>
      <c r="P450" s="217"/>
      <c r="Q450" s="217"/>
      <c r="R450" s="217">
        <v>6</v>
      </c>
      <c r="S450" s="218" t="s">
        <v>521</v>
      </c>
    </row>
    <row r="451" spans="1:19" ht="15" customHeight="1">
      <c r="A451" s="413">
        <f t="shared" ref="A451:A514" si="7">1+A450</f>
        <v>451</v>
      </c>
      <c r="B451" s="26">
        <v>104</v>
      </c>
      <c r="C451" s="153" t="s">
        <v>165</v>
      </c>
      <c r="D451" s="211" t="s">
        <v>180</v>
      </c>
      <c r="E451" s="212" t="s">
        <v>357</v>
      </c>
      <c r="F451" s="213" t="s">
        <v>474</v>
      </c>
      <c r="G451" s="214" t="s">
        <v>475</v>
      </c>
      <c r="H451" s="213" t="s">
        <v>519</v>
      </c>
      <c r="I451" s="215">
        <f>(1.5*3.05)*1.3</f>
        <v>5.9474999999999989</v>
      </c>
      <c r="J451" s="216"/>
      <c r="K451" s="216"/>
      <c r="L451" s="216">
        <v>21</v>
      </c>
      <c r="M451" s="216"/>
      <c r="N451" s="216"/>
      <c r="O451" s="217"/>
      <c r="P451" s="217"/>
      <c r="Q451" s="217"/>
      <c r="R451" s="217">
        <v>5</v>
      </c>
      <c r="S451" s="218" t="s">
        <v>521</v>
      </c>
    </row>
    <row r="452" spans="1:19" ht="15" customHeight="1">
      <c r="A452" s="413">
        <f t="shared" si="7"/>
        <v>452</v>
      </c>
      <c r="B452" s="26">
        <v>104</v>
      </c>
      <c r="C452" s="153" t="s">
        <v>165</v>
      </c>
      <c r="D452" s="211" t="s">
        <v>180</v>
      </c>
      <c r="E452" s="212" t="s">
        <v>357</v>
      </c>
      <c r="F452" s="213" t="s">
        <v>476</v>
      </c>
      <c r="G452" s="214" t="s">
        <v>477</v>
      </c>
      <c r="H452" s="213" t="s">
        <v>518</v>
      </c>
      <c r="I452" s="215">
        <v>0</v>
      </c>
      <c r="J452" s="216"/>
      <c r="K452" s="216"/>
      <c r="L452" s="216"/>
      <c r="M452" s="216"/>
      <c r="N452" s="216"/>
      <c r="O452" s="217"/>
      <c r="P452" s="217"/>
      <c r="Q452" s="217"/>
      <c r="R452" s="217"/>
      <c r="S452" s="218" t="s">
        <v>528</v>
      </c>
    </row>
    <row r="453" spans="1:19" ht="15" customHeight="1">
      <c r="A453" s="413">
        <f t="shared" si="7"/>
        <v>453</v>
      </c>
      <c r="B453" s="26">
        <v>104</v>
      </c>
      <c r="C453" s="153" t="s">
        <v>165</v>
      </c>
      <c r="D453" s="211" t="s">
        <v>180</v>
      </c>
      <c r="E453" s="212" t="s">
        <v>357</v>
      </c>
      <c r="F453" s="213" t="s">
        <v>478</v>
      </c>
      <c r="G453" s="214" t="s">
        <v>480</v>
      </c>
      <c r="H453" s="213" t="s">
        <v>520</v>
      </c>
      <c r="I453" s="215">
        <v>7.8000000000000007</v>
      </c>
      <c r="J453" s="216"/>
      <c r="K453" s="216"/>
      <c r="L453" s="216"/>
      <c r="M453" s="216"/>
      <c r="N453" s="216"/>
      <c r="O453" s="217"/>
      <c r="P453" s="217"/>
      <c r="Q453" s="217"/>
      <c r="R453" s="217"/>
      <c r="S453" s="218" t="s">
        <v>1318</v>
      </c>
    </row>
    <row r="454" spans="1:19" ht="15" customHeight="1">
      <c r="A454" s="413">
        <f t="shared" si="7"/>
        <v>454</v>
      </c>
      <c r="B454" s="26">
        <v>104</v>
      </c>
      <c r="C454" s="153" t="s">
        <v>165</v>
      </c>
      <c r="D454" s="211" t="s">
        <v>180</v>
      </c>
      <c r="E454" s="212" t="s">
        <v>357</v>
      </c>
      <c r="F454" s="213" t="s">
        <v>478</v>
      </c>
      <c r="G454" s="214" t="s">
        <v>482</v>
      </c>
      <c r="H454" s="213" t="s">
        <v>109</v>
      </c>
      <c r="I454" s="215">
        <f>(2.7*2.75+3.85*6.75)*1.3</f>
        <v>43.436250000000001</v>
      </c>
      <c r="J454" s="216"/>
      <c r="K454" s="216">
        <v>29</v>
      </c>
      <c r="L454" s="216"/>
      <c r="M454" s="216"/>
      <c r="N454" s="216">
        <v>41</v>
      </c>
      <c r="O454" s="217"/>
      <c r="P454" s="217"/>
      <c r="Q454" s="217">
        <v>33</v>
      </c>
      <c r="R454" s="217"/>
      <c r="S454" s="218"/>
    </row>
    <row r="455" spans="1:19" ht="15" customHeight="1">
      <c r="A455" s="413">
        <f t="shared" si="7"/>
        <v>455</v>
      </c>
      <c r="B455" s="26">
        <v>104</v>
      </c>
      <c r="C455" s="153" t="s">
        <v>165</v>
      </c>
      <c r="D455" s="211" t="s">
        <v>180</v>
      </c>
      <c r="E455" s="212" t="s">
        <v>357</v>
      </c>
      <c r="F455" s="213" t="s">
        <v>478</v>
      </c>
      <c r="G455" s="214" t="s">
        <v>484</v>
      </c>
      <c r="H455" s="213" t="s">
        <v>109</v>
      </c>
      <c r="I455" s="215">
        <v>114.4</v>
      </c>
      <c r="J455" s="216"/>
      <c r="K455" s="216"/>
      <c r="L455" s="216"/>
      <c r="M455" s="216"/>
      <c r="N455" s="216"/>
      <c r="O455" s="217"/>
      <c r="P455" s="217"/>
      <c r="Q455" s="217"/>
      <c r="R455" s="217"/>
      <c r="S455" s="218" t="s">
        <v>1318</v>
      </c>
    </row>
    <row r="456" spans="1:19" ht="15" customHeight="1">
      <c r="A456" s="413">
        <f t="shared" si="7"/>
        <v>456</v>
      </c>
      <c r="B456" s="26">
        <v>104</v>
      </c>
      <c r="C456" s="153" t="s">
        <v>165</v>
      </c>
      <c r="D456" s="211" t="s">
        <v>180</v>
      </c>
      <c r="E456" s="212" t="s">
        <v>357</v>
      </c>
      <c r="F456" s="213" t="s">
        <v>478</v>
      </c>
      <c r="G456" s="214" t="s">
        <v>485</v>
      </c>
      <c r="H456" s="213" t="s">
        <v>109</v>
      </c>
      <c r="I456" s="215">
        <v>28.6</v>
      </c>
      <c r="J456" s="216"/>
      <c r="K456" s="216"/>
      <c r="L456" s="216"/>
      <c r="M456" s="216"/>
      <c r="N456" s="216"/>
      <c r="O456" s="217"/>
      <c r="P456" s="217"/>
      <c r="Q456" s="217"/>
      <c r="R456" s="217"/>
      <c r="S456" s="218" t="s">
        <v>1318</v>
      </c>
    </row>
    <row r="457" spans="1:19" ht="15" customHeight="1">
      <c r="A457" s="413">
        <f t="shared" si="7"/>
        <v>457</v>
      </c>
      <c r="B457" s="26">
        <v>104</v>
      </c>
      <c r="C457" s="153" t="s">
        <v>165</v>
      </c>
      <c r="D457" s="211" t="s">
        <v>180</v>
      </c>
      <c r="E457" s="212" t="s">
        <v>357</v>
      </c>
      <c r="F457" s="213" t="s">
        <v>478</v>
      </c>
      <c r="G457" s="214" t="s">
        <v>455</v>
      </c>
      <c r="H457" s="213" t="s">
        <v>109</v>
      </c>
      <c r="I457" s="215">
        <v>9.1</v>
      </c>
      <c r="J457" s="216"/>
      <c r="K457" s="216"/>
      <c r="L457" s="216"/>
      <c r="M457" s="216"/>
      <c r="N457" s="216"/>
      <c r="O457" s="217"/>
      <c r="P457" s="217"/>
      <c r="Q457" s="217"/>
      <c r="R457" s="217"/>
      <c r="S457" s="218" t="s">
        <v>1318</v>
      </c>
    </row>
    <row r="458" spans="1:19" ht="15" customHeight="1">
      <c r="A458" s="413">
        <f t="shared" si="7"/>
        <v>458</v>
      </c>
      <c r="B458" s="26">
        <v>104</v>
      </c>
      <c r="C458" s="153" t="s">
        <v>165</v>
      </c>
      <c r="D458" s="211" t="s">
        <v>180</v>
      </c>
      <c r="E458" s="212" t="s">
        <v>357</v>
      </c>
      <c r="F458" s="213" t="s">
        <v>478</v>
      </c>
      <c r="G458" s="214" t="s">
        <v>457</v>
      </c>
      <c r="H458" s="213" t="s">
        <v>519</v>
      </c>
      <c r="I458" s="215">
        <f>(4.55*4.45-1.7*2.95)*1.3</f>
        <v>19.802249999999997</v>
      </c>
      <c r="J458" s="216"/>
      <c r="K458" s="216"/>
      <c r="L458" s="216">
        <v>42</v>
      </c>
      <c r="M458" s="216"/>
      <c r="N458" s="216"/>
      <c r="O458" s="217"/>
      <c r="P458" s="217"/>
      <c r="Q458" s="217"/>
      <c r="R458" s="217">
        <v>15</v>
      </c>
      <c r="S458" s="218" t="s">
        <v>521</v>
      </c>
    </row>
    <row r="459" spans="1:19" ht="15" customHeight="1">
      <c r="A459" s="413">
        <f t="shared" si="7"/>
        <v>459</v>
      </c>
      <c r="B459" s="26">
        <v>104</v>
      </c>
      <c r="C459" s="153" t="s">
        <v>165</v>
      </c>
      <c r="D459" s="211" t="s">
        <v>180</v>
      </c>
      <c r="E459" s="212" t="s">
        <v>357</v>
      </c>
      <c r="F459" s="213" t="s">
        <v>478</v>
      </c>
      <c r="G459" s="214" t="s">
        <v>459</v>
      </c>
      <c r="H459" s="213" t="s">
        <v>519</v>
      </c>
      <c r="I459" s="215">
        <f>(6.05*3.45)*1.3</f>
        <v>27.134249999999998</v>
      </c>
      <c r="J459" s="216"/>
      <c r="K459" s="216">
        <v>3</v>
      </c>
      <c r="L459" s="216">
        <v>43</v>
      </c>
      <c r="M459" s="216"/>
      <c r="N459" s="216"/>
      <c r="O459" s="217"/>
      <c r="P459" s="217"/>
      <c r="Q459" s="217"/>
      <c r="R459" s="217">
        <v>21</v>
      </c>
      <c r="S459" s="218" t="s">
        <v>521</v>
      </c>
    </row>
    <row r="460" spans="1:19" ht="15" customHeight="1">
      <c r="A460" s="413">
        <f t="shared" si="7"/>
        <v>460</v>
      </c>
      <c r="B460" s="26">
        <v>104</v>
      </c>
      <c r="C460" s="153" t="s">
        <v>165</v>
      </c>
      <c r="D460" s="211" t="s">
        <v>180</v>
      </c>
      <c r="E460" s="212" t="s">
        <v>357</v>
      </c>
      <c r="F460" s="213" t="s">
        <v>478</v>
      </c>
      <c r="G460" s="214" t="s">
        <v>487</v>
      </c>
      <c r="H460" s="213" t="s">
        <v>519</v>
      </c>
      <c r="I460" s="215">
        <f>(6.05*3.45)*1.3</f>
        <v>27.134249999999998</v>
      </c>
      <c r="J460" s="216"/>
      <c r="K460" s="216">
        <v>3</v>
      </c>
      <c r="L460" s="216">
        <v>43</v>
      </c>
      <c r="M460" s="216"/>
      <c r="N460" s="216"/>
      <c r="O460" s="217"/>
      <c r="P460" s="217"/>
      <c r="Q460" s="217"/>
      <c r="R460" s="217">
        <v>21</v>
      </c>
      <c r="S460" s="218" t="s">
        <v>521</v>
      </c>
    </row>
    <row r="461" spans="1:19" ht="15" customHeight="1">
      <c r="A461" s="413">
        <f t="shared" si="7"/>
        <v>461</v>
      </c>
      <c r="B461" s="26">
        <v>104</v>
      </c>
      <c r="C461" s="153" t="s">
        <v>165</v>
      </c>
      <c r="D461" s="211" t="s">
        <v>180</v>
      </c>
      <c r="E461" s="212" t="s">
        <v>357</v>
      </c>
      <c r="F461" s="213" t="s">
        <v>488</v>
      </c>
      <c r="G461" s="214" t="s">
        <v>489</v>
      </c>
      <c r="H461" s="213" t="s">
        <v>19</v>
      </c>
      <c r="I461" s="215">
        <v>1.3</v>
      </c>
      <c r="J461" s="216"/>
      <c r="K461" s="216"/>
      <c r="L461" s="216"/>
      <c r="M461" s="216"/>
      <c r="N461" s="216"/>
      <c r="O461" s="217"/>
      <c r="P461" s="217"/>
      <c r="Q461" s="217"/>
      <c r="R461" s="217"/>
      <c r="S461" s="218" t="s">
        <v>1320</v>
      </c>
    </row>
    <row r="462" spans="1:19" ht="15" customHeight="1">
      <c r="A462" s="413">
        <f t="shared" si="7"/>
        <v>462</v>
      </c>
      <c r="B462" s="26">
        <v>104</v>
      </c>
      <c r="C462" s="153" t="s">
        <v>165</v>
      </c>
      <c r="D462" s="211" t="s">
        <v>180</v>
      </c>
      <c r="E462" s="212" t="s">
        <v>357</v>
      </c>
      <c r="F462" s="213" t="s">
        <v>488</v>
      </c>
      <c r="G462" s="214" t="s">
        <v>491</v>
      </c>
      <c r="H462" s="213" t="s">
        <v>109</v>
      </c>
      <c r="I462" s="215">
        <f>(8.85*7.5-1.35*6.3-1*2.6)*1.3</f>
        <v>71.850999999999999</v>
      </c>
      <c r="J462" s="216"/>
      <c r="K462" s="216">
        <v>71</v>
      </c>
      <c r="L462" s="216">
        <v>25</v>
      </c>
      <c r="M462" s="216"/>
      <c r="N462" s="216">
        <v>24</v>
      </c>
      <c r="O462" s="217"/>
      <c r="P462" s="217"/>
      <c r="Q462" s="217">
        <v>55</v>
      </c>
      <c r="R462" s="217"/>
      <c r="S462" s="218" t="s">
        <v>529</v>
      </c>
    </row>
    <row r="463" spans="1:19" ht="15" customHeight="1">
      <c r="A463" s="413">
        <f t="shared" si="7"/>
        <v>463</v>
      </c>
      <c r="B463" s="26">
        <v>104</v>
      </c>
      <c r="C463" s="153" t="s">
        <v>165</v>
      </c>
      <c r="D463" s="211" t="s">
        <v>180</v>
      </c>
      <c r="E463" s="212" t="s">
        <v>357</v>
      </c>
      <c r="F463" s="213" t="s">
        <v>488</v>
      </c>
      <c r="G463" s="214" t="s">
        <v>492</v>
      </c>
      <c r="H463" s="213" t="s">
        <v>19</v>
      </c>
      <c r="I463" s="215">
        <v>1.3</v>
      </c>
      <c r="J463" s="216"/>
      <c r="K463" s="216"/>
      <c r="L463" s="216"/>
      <c r="M463" s="216"/>
      <c r="N463" s="216"/>
      <c r="O463" s="217"/>
      <c r="P463" s="217"/>
      <c r="Q463" s="217"/>
      <c r="R463" s="217"/>
      <c r="S463" s="218" t="s">
        <v>1320</v>
      </c>
    </row>
    <row r="464" spans="1:19" ht="15" customHeight="1">
      <c r="A464" s="413">
        <f t="shared" si="7"/>
        <v>464</v>
      </c>
      <c r="B464" s="26">
        <v>104</v>
      </c>
      <c r="C464" s="153" t="s">
        <v>165</v>
      </c>
      <c r="D464" s="211" t="s">
        <v>180</v>
      </c>
      <c r="E464" s="212" t="s">
        <v>357</v>
      </c>
      <c r="F464" s="213" t="s">
        <v>488</v>
      </c>
      <c r="G464" s="214" t="s">
        <v>401</v>
      </c>
      <c r="H464" s="213" t="s">
        <v>109</v>
      </c>
      <c r="I464" s="215">
        <f>(5.05*3.1-0.9*1.7)*1.3</f>
        <v>18.362500000000001</v>
      </c>
      <c r="J464" s="216">
        <v>2</v>
      </c>
      <c r="K464" s="216">
        <v>43</v>
      </c>
      <c r="L464" s="216"/>
      <c r="M464" s="216"/>
      <c r="N464" s="216">
        <v>1</v>
      </c>
      <c r="O464" s="217"/>
      <c r="P464" s="217"/>
      <c r="Q464" s="217">
        <v>14</v>
      </c>
      <c r="R464" s="217"/>
      <c r="S464" s="218" t="s">
        <v>530</v>
      </c>
    </row>
    <row r="465" spans="1:19" ht="15" customHeight="1">
      <c r="A465" s="413">
        <f t="shared" si="7"/>
        <v>465</v>
      </c>
      <c r="B465" s="26">
        <v>104</v>
      </c>
      <c r="C465" s="153" t="s">
        <v>165</v>
      </c>
      <c r="D465" s="211" t="s">
        <v>180</v>
      </c>
      <c r="E465" s="212" t="s">
        <v>357</v>
      </c>
      <c r="F465" s="213" t="s">
        <v>488</v>
      </c>
      <c r="G465" s="214" t="s">
        <v>494</v>
      </c>
      <c r="H465" s="213" t="s">
        <v>176</v>
      </c>
      <c r="I465" s="215">
        <f>(2.1*2.55)*1.3</f>
        <v>6.9615</v>
      </c>
      <c r="J465" s="216">
        <v>1</v>
      </c>
      <c r="K465" s="216">
        <v>31</v>
      </c>
      <c r="L465" s="216"/>
      <c r="M465" s="216"/>
      <c r="N465" s="216"/>
      <c r="O465" s="217"/>
      <c r="P465" s="217"/>
      <c r="Q465" s="217"/>
      <c r="R465" s="217">
        <v>5</v>
      </c>
      <c r="S465" s="218" t="s">
        <v>521</v>
      </c>
    </row>
    <row r="466" spans="1:19" ht="15" customHeight="1">
      <c r="A466" s="413">
        <f t="shared" si="7"/>
        <v>466</v>
      </c>
      <c r="B466" s="26">
        <v>104</v>
      </c>
      <c r="C466" s="153" t="s">
        <v>165</v>
      </c>
      <c r="D466" s="211" t="s">
        <v>180</v>
      </c>
      <c r="E466" s="212" t="s">
        <v>357</v>
      </c>
      <c r="F466" s="213" t="s">
        <v>488</v>
      </c>
      <c r="G466" s="214" t="s">
        <v>495</v>
      </c>
      <c r="H466" s="213" t="s">
        <v>19</v>
      </c>
      <c r="I466" s="215">
        <f>(2.05*1)*1.3</f>
        <v>2.665</v>
      </c>
      <c r="J466" s="216"/>
      <c r="K466" s="216"/>
      <c r="L466" s="216">
        <v>20</v>
      </c>
      <c r="M466" s="216"/>
      <c r="N466" s="216"/>
      <c r="O466" s="217"/>
      <c r="P466" s="217"/>
      <c r="Q466" s="217">
        <v>2</v>
      </c>
      <c r="R466" s="217"/>
      <c r="S466" s="218" t="s">
        <v>521</v>
      </c>
    </row>
    <row r="467" spans="1:19" ht="15" customHeight="1">
      <c r="A467" s="413">
        <f t="shared" si="7"/>
        <v>467</v>
      </c>
      <c r="B467" s="26">
        <v>104</v>
      </c>
      <c r="C467" s="153" t="s">
        <v>165</v>
      </c>
      <c r="D467" s="211" t="s">
        <v>180</v>
      </c>
      <c r="E467" s="212" t="s">
        <v>357</v>
      </c>
      <c r="F467" s="213" t="s">
        <v>488</v>
      </c>
      <c r="G467" s="214" t="s">
        <v>496</v>
      </c>
      <c r="H467" s="213" t="s">
        <v>19</v>
      </c>
      <c r="I467" s="215">
        <f>(2.3*2.55)*1.3</f>
        <v>7.6244999999999994</v>
      </c>
      <c r="J467" s="216"/>
      <c r="K467" s="216"/>
      <c r="L467" s="216">
        <v>22</v>
      </c>
      <c r="M467" s="216"/>
      <c r="N467" s="216"/>
      <c r="O467" s="217"/>
      <c r="P467" s="217"/>
      <c r="Q467" s="217"/>
      <c r="R467" s="217">
        <v>6</v>
      </c>
      <c r="S467" s="218" t="s">
        <v>521</v>
      </c>
    </row>
    <row r="468" spans="1:19" ht="15" customHeight="1">
      <c r="A468" s="413">
        <f t="shared" si="7"/>
        <v>468</v>
      </c>
      <c r="B468" s="26">
        <v>104</v>
      </c>
      <c r="C468" s="153" t="s">
        <v>165</v>
      </c>
      <c r="D468" s="211" t="s">
        <v>180</v>
      </c>
      <c r="E468" s="212" t="s">
        <v>357</v>
      </c>
      <c r="F468" s="213" t="s">
        <v>488</v>
      </c>
      <c r="G468" s="214" t="s">
        <v>497</v>
      </c>
      <c r="H468" s="213" t="s">
        <v>19</v>
      </c>
      <c r="I468" s="215">
        <f>(7*1.5)*1.3</f>
        <v>13.65</v>
      </c>
      <c r="J468" s="216"/>
      <c r="K468" s="216"/>
      <c r="L468" s="216">
        <v>26</v>
      </c>
      <c r="M468" s="216"/>
      <c r="N468" s="216"/>
      <c r="O468" s="217"/>
      <c r="P468" s="217">
        <v>11</v>
      </c>
      <c r="Q468" s="217"/>
      <c r="R468" s="217"/>
      <c r="S468" s="218"/>
    </row>
    <row r="469" spans="1:19" ht="15" customHeight="1">
      <c r="A469" s="413">
        <f t="shared" si="7"/>
        <v>469</v>
      </c>
      <c r="B469" s="26">
        <v>104</v>
      </c>
      <c r="C469" s="153" t="s">
        <v>165</v>
      </c>
      <c r="D469" s="211" t="s">
        <v>180</v>
      </c>
      <c r="E469" s="212" t="s">
        <v>357</v>
      </c>
      <c r="F469" s="213" t="s">
        <v>488</v>
      </c>
      <c r="G469" s="214" t="s">
        <v>498</v>
      </c>
      <c r="H469" s="213" t="s">
        <v>19</v>
      </c>
      <c r="I469" s="215">
        <f>(3.25*1.15+4.5*2.6+1.15*2.6+(1.25+2.6)/2*1.2+4.95*8+1*6)*1.3</f>
        <v>86.23875000000001</v>
      </c>
      <c r="J469" s="216"/>
      <c r="K469" s="216">
        <v>112</v>
      </c>
      <c r="L469" s="216"/>
      <c r="M469" s="216"/>
      <c r="N469" s="216"/>
      <c r="O469" s="217"/>
      <c r="P469" s="217"/>
      <c r="Q469" s="217">
        <v>53</v>
      </c>
      <c r="R469" s="217"/>
      <c r="S469" s="218"/>
    </row>
    <row r="470" spans="1:19" ht="15" customHeight="1">
      <c r="A470" s="413">
        <f t="shared" si="7"/>
        <v>470</v>
      </c>
      <c r="B470" s="26">
        <v>104</v>
      </c>
      <c r="C470" s="153" t="s">
        <v>165</v>
      </c>
      <c r="D470" s="211" t="s">
        <v>180</v>
      </c>
      <c r="E470" s="212" t="s">
        <v>357</v>
      </c>
      <c r="F470" s="213" t="s">
        <v>488</v>
      </c>
      <c r="G470" s="214" t="s">
        <v>499</v>
      </c>
      <c r="H470" s="213" t="s">
        <v>19</v>
      </c>
      <c r="I470" s="215">
        <f>(4*2-0.5*2*3.2)*1.3</f>
        <v>6.24</v>
      </c>
      <c r="J470" s="216"/>
      <c r="K470" s="216"/>
      <c r="L470" s="216">
        <v>40</v>
      </c>
      <c r="M470" s="216"/>
      <c r="N470" s="216"/>
      <c r="O470" s="217"/>
      <c r="P470" s="217"/>
      <c r="Q470" s="217">
        <v>5</v>
      </c>
      <c r="R470" s="217"/>
      <c r="S470" s="218" t="s">
        <v>521</v>
      </c>
    </row>
    <row r="471" spans="1:19" ht="15" customHeight="1">
      <c r="A471" s="413">
        <f t="shared" si="7"/>
        <v>471</v>
      </c>
      <c r="B471" s="26">
        <v>104</v>
      </c>
      <c r="C471" s="153" t="s">
        <v>165</v>
      </c>
      <c r="D471" s="211" t="s">
        <v>180</v>
      </c>
      <c r="E471" s="212" t="s">
        <v>357</v>
      </c>
      <c r="F471" s="213" t="s">
        <v>488</v>
      </c>
      <c r="G471" s="214" t="s">
        <v>500</v>
      </c>
      <c r="H471" s="213" t="s">
        <v>19</v>
      </c>
      <c r="I471" s="215">
        <f>(6.35*6.1-0.5*0.9*1.3-1.1*1.1)*1.3</f>
        <v>48.021999999999991</v>
      </c>
      <c r="J471" s="216"/>
      <c r="K471" s="216"/>
      <c r="L471" s="216">
        <v>80</v>
      </c>
      <c r="M471" s="216"/>
      <c r="N471" s="216"/>
      <c r="O471" s="217"/>
      <c r="P471" s="217">
        <v>37</v>
      </c>
      <c r="Q471" s="217"/>
      <c r="R471" s="217"/>
      <c r="S471" s="218"/>
    </row>
    <row r="472" spans="1:19" ht="15" customHeight="1">
      <c r="A472" s="413">
        <f t="shared" si="7"/>
        <v>472</v>
      </c>
      <c r="B472" s="26">
        <v>104</v>
      </c>
      <c r="C472" s="153" t="s">
        <v>165</v>
      </c>
      <c r="D472" s="211" t="s">
        <v>180</v>
      </c>
      <c r="E472" s="212" t="s">
        <v>357</v>
      </c>
      <c r="F472" s="213" t="s">
        <v>488</v>
      </c>
      <c r="G472" s="214" t="s">
        <v>501</v>
      </c>
      <c r="H472" s="213" t="s">
        <v>19</v>
      </c>
      <c r="I472" s="215">
        <f>(+(5.4+4.55)/2*2.05)*1.3</f>
        <v>13.258374999999999</v>
      </c>
      <c r="J472" s="216"/>
      <c r="K472" s="216"/>
      <c r="L472" s="216">
        <v>50</v>
      </c>
      <c r="M472" s="216"/>
      <c r="N472" s="216"/>
      <c r="O472" s="217"/>
      <c r="P472" s="217"/>
      <c r="Q472" s="217">
        <v>10</v>
      </c>
      <c r="R472" s="217"/>
      <c r="S472" s="218" t="s">
        <v>521</v>
      </c>
    </row>
    <row r="473" spans="1:19" ht="15" customHeight="1">
      <c r="A473" s="413">
        <f t="shared" si="7"/>
        <v>473</v>
      </c>
      <c r="B473" s="26">
        <v>104</v>
      </c>
      <c r="C473" s="153" t="s">
        <v>165</v>
      </c>
      <c r="D473" s="211" t="s">
        <v>180</v>
      </c>
      <c r="E473" s="212" t="s">
        <v>357</v>
      </c>
      <c r="F473" s="213" t="s">
        <v>488</v>
      </c>
      <c r="G473" s="214" t="s">
        <v>502</v>
      </c>
      <c r="H473" s="213" t="s">
        <v>109</v>
      </c>
      <c r="I473" s="215">
        <f>(9.3*4.35)*1.3</f>
        <v>52.591499999999996</v>
      </c>
      <c r="J473" s="216">
        <v>30</v>
      </c>
      <c r="K473" s="216">
        <v>3</v>
      </c>
      <c r="L473" s="216"/>
      <c r="M473" s="216"/>
      <c r="N473" s="216"/>
      <c r="O473" s="217"/>
      <c r="P473" s="217"/>
      <c r="Q473" s="217"/>
      <c r="R473" s="217">
        <v>40</v>
      </c>
      <c r="S473" s="218" t="s">
        <v>530</v>
      </c>
    </row>
    <row r="474" spans="1:19" ht="15" customHeight="1">
      <c r="A474" s="413">
        <f t="shared" si="7"/>
        <v>474</v>
      </c>
      <c r="B474" s="26">
        <v>104</v>
      </c>
      <c r="C474" s="153" t="s">
        <v>165</v>
      </c>
      <c r="D474" s="211" t="s">
        <v>180</v>
      </c>
      <c r="E474" s="212" t="s">
        <v>357</v>
      </c>
      <c r="F474" s="213" t="s">
        <v>488</v>
      </c>
      <c r="G474" s="214" t="s">
        <v>503</v>
      </c>
      <c r="H474" s="213" t="s">
        <v>19</v>
      </c>
      <c r="I474" s="215">
        <v>5.2</v>
      </c>
      <c r="J474" s="216"/>
      <c r="K474" s="216"/>
      <c r="L474" s="216">
        <v>22</v>
      </c>
      <c r="M474" s="216"/>
      <c r="N474" s="216"/>
      <c r="O474" s="217"/>
      <c r="P474" s="217"/>
      <c r="Q474" s="217">
        <v>4</v>
      </c>
      <c r="R474" s="217"/>
      <c r="S474" s="218" t="s">
        <v>521</v>
      </c>
    </row>
    <row r="475" spans="1:19" ht="15" customHeight="1">
      <c r="A475" s="413">
        <f t="shared" si="7"/>
        <v>475</v>
      </c>
      <c r="B475" s="26">
        <v>104</v>
      </c>
      <c r="C475" s="153" t="s">
        <v>165</v>
      </c>
      <c r="D475" s="211" t="s">
        <v>180</v>
      </c>
      <c r="E475" s="212" t="s">
        <v>357</v>
      </c>
      <c r="F475" s="213" t="s">
        <v>488</v>
      </c>
      <c r="G475" s="214" t="s">
        <v>504</v>
      </c>
      <c r="H475" s="213" t="s">
        <v>19</v>
      </c>
      <c r="I475" s="215">
        <f>(2*3.5)*1.3</f>
        <v>9.1</v>
      </c>
      <c r="J475" s="216"/>
      <c r="K475" s="216"/>
      <c r="L475" s="216">
        <v>39</v>
      </c>
      <c r="M475" s="216"/>
      <c r="N475" s="216"/>
      <c r="O475" s="217"/>
      <c r="P475" s="217"/>
      <c r="Q475" s="217">
        <v>7</v>
      </c>
      <c r="R475" s="217"/>
      <c r="S475" s="218" t="s">
        <v>521</v>
      </c>
    </row>
    <row r="476" spans="1:19" ht="15" customHeight="1">
      <c r="A476" s="413">
        <f t="shared" si="7"/>
        <v>476</v>
      </c>
      <c r="B476" s="26">
        <v>104</v>
      </c>
      <c r="C476" s="153" t="s">
        <v>165</v>
      </c>
      <c r="D476" s="211" t="s">
        <v>180</v>
      </c>
      <c r="E476" s="212" t="s">
        <v>357</v>
      </c>
      <c r="F476" s="213" t="s">
        <v>488</v>
      </c>
      <c r="G476" s="214" t="s">
        <v>505</v>
      </c>
      <c r="H476" s="213" t="s">
        <v>19</v>
      </c>
      <c r="I476" s="215">
        <f>(10.75*4+2*2)*1.3</f>
        <v>61.1</v>
      </c>
      <c r="J476" s="216"/>
      <c r="K476" s="216"/>
      <c r="L476" s="216">
        <v>120</v>
      </c>
      <c r="M476" s="216"/>
      <c r="N476" s="216"/>
      <c r="O476" s="217"/>
      <c r="P476" s="217">
        <v>47</v>
      </c>
      <c r="Q476" s="217"/>
      <c r="R476" s="217"/>
      <c r="S476" s="218"/>
    </row>
    <row r="477" spans="1:19" ht="15" customHeight="1">
      <c r="A477" s="413">
        <f t="shared" si="7"/>
        <v>477</v>
      </c>
      <c r="B477" s="26">
        <v>104</v>
      </c>
      <c r="C477" s="153" t="s">
        <v>165</v>
      </c>
      <c r="D477" s="211" t="s">
        <v>180</v>
      </c>
      <c r="E477" s="212" t="s">
        <v>357</v>
      </c>
      <c r="F477" s="213" t="s">
        <v>488</v>
      </c>
      <c r="G477" s="214" t="s">
        <v>506</v>
      </c>
      <c r="H477" s="213" t="s">
        <v>19</v>
      </c>
      <c r="I477" s="215">
        <f>(5.7*2-0.5)*1.3</f>
        <v>14.170000000000002</v>
      </c>
      <c r="J477" s="216"/>
      <c r="K477" s="216"/>
      <c r="L477" s="216">
        <v>49</v>
      </c>
      <c r="M477" s="216"/>
      <c r="N477" s="216"/>
      <c r="O477" s="217"/>
      <c r="P477" s="217"/>
      <c r="Q477" s="217">
        <v>11</v>
      </c>
      <c r="R477" s="217"/>
      <c r="S477" s="218" t="s">
        <v>521</v>
      </c>
    </row>
    <row r="478" spans="1:19" ht="15" customHeight="1">
      <c r="A478" s="413">
        <f t="shared" si="7"/>
        <v>478</v>
      </c>
      <c r="B478" s="26">
        <v>104</v>
      </c>
      <c r="C478" s="153" t="s">
        <v>165</v>
      </c>
      <c r="D478" s="211" t="s">
        <v>180</v>
      </c>
      <c r="E478" s="212" t="s">
        <v>357</v>
      </c>
      <c r="F478" s="213" t="s">
        <v>488</v>
      </c>
      <c r="G478" s="214" t="s">
        <v>507</v>
      </c>
      <c r="H478" s="213" t="s">
        <v>19</v>
      </c>
      <c r="I478" s="215">
        <f>(1.8+6.1)*1.3</f>
        <v>10.27</v>
      </c>
      <c r="J478" s="216">
        <v>1</v>
      </c>
      <c r="K478" s="216"/>
      <c r="L478" s="216">
        <v>48</v>
      </c>
      <c r="M478" s="216"/>
      <c r="N478" s="216"/>
      <c r="O478" s="217"/>
      <c r="P478" s="217"/>
      <c r="Q478" s="217">
        <v>8</v>
      </c>
      <c r="R478" s="217"/>
      <c r="S478" s="218" t="s">
        <v>521</v>
      </c>
    </row>
    <row r="479" spans="1:19" ht="15" customHeight="1">
      <c r="A479" s="413">
        <f t="shared" si="7"/>
        <v>479</v>
      </c>
      <c r="B479" s="26">
        <v>104</v>
      </c>
      <c r="C479" s="153" t="s">
        <v>165</v>
      </c>
      <c r="D479" s="211" t="s">
        <v>180</v>
      </c>
      <c r="E479" s="212" t="s">
        <v>357</v>
      </c>
      <c r="F479" s="213" t="s">
        <v>488</v>
      </c>
      <c r="G479" s="214" t="s">
        <v>508</v>
      </c>
      <c r="H479" s="213" t="s">
        <v>19</v>
      </c>
      <c r="I479" s="215">
        <f>(1.4*0.95)*1.3</f>
        <v>1.7289999999999999</v>
      </c>
      <c r="J479" s="216"/>
      <c r="K479" s="216">
        <v>11</v>
      </c>
      <c r="L479" s="216"/>
      <c r="M479" s="216"/>
      <c r="N479" s="216"/>
      <c r="O479" s="217"/>
      <c r="P479" s="217"/>
      <c r="Q479" s="217"/>
      <c r="R479" s="217">
        <v>1</v>
      </c>
      <c r="S479" s="218" t="s">
        <v>521</v>
      </c>
    </row>
    <row r="480" spans="1:19" ht="15" customHeight="1">
      <c r="A480" s="413">
        <f t="shared" si="7"/>
        <v>480</v>
      </c>
      <c r="B480" s="26">
        <v>104</v>
      </c>
      <c r="C480" s="153" t="s">
        <v>165</v>
      </c>
      <c r="D480" s="211" t="s">
        <v>180</v>
      </c>
      <c r="E480" s="212" t="s">
        <v>357</v>
      </c>
      <c r="F480" s="213" t="s">
        <v>488</v>
      </c>
      <c r="G480" s="214" t="s">
        <v>509</v>
      </c>
      <c r="H480" s="213" t="s">
        <v>19</v>
      </c>
      <c r="I480" s="215">
        <f>(8.2*2.35-1.05*1.2-0.5*1.2*1.2)*1.3</f>
        <v>22.477</v>
      </c>
      <c r="J480" s="216"/>
      <c r="K480" s="216"/>
      <c r="L480" s="216">
        <v>72</v>
      </c>
      <c r="M480" s="216"/>
      <c r="N480" s="216"/>
      <c r="O480" s="217"/>
      <c r="P480" s="217">
        <v>17</v>
      </c>
      <c r="Q480" s="217"/>
      <c r="R480" s="217"/>
      <c r="S480" s="218"/>
    </row>
    <row r="481" spans="1:19" ht="15" customHeight="1">
      <c r="A481" s="413">
        <f t="shared" si="7"/>
        <v>481</v>
      </c>
      <c r="B481" s="26">
        <v>104</v>
      </c>
      <c r="C481" s="153" t="s">
        <v>165</v>
      </c>
      <c r="D481" s="211" t="s">
        <v>180</v>
      </c>
      <c r="E481" s="212" t="s">
        <v>357</v>
      </c>
      <c r="F481" s="213" t="s">
        <v>488</v>
      </c>
      <c r="G481" s="214" t="s">
        <v>510</v>
      </c>
      <c r="H481" s="213" t="s">
        <v>19</v>
      </c>
      <c r="I481" s="215">
        <f>(6.55*4.35-1.05*1.05)*1.3</f>
        <v>35.606999999999999</v>
      </c>
      <c r="J481" s="216"/>
      <c r="K481" s="216"/>
      <c r="L481" s="216">
        <v>74</v>
      </c>
      <c r="M481" s="216"/>
      <c r="N481" s="216"/>
      <c r="O481" s="217"/>
      <c r="P481" s="217">
        <v>27</v>
      </c>
      <c r="Q481" s="217"/>
      <c r="R481" s="217"/>
      <c r="S481" s="218"/>
    </row>
    <row r="482" spans="1:19" ht="15" customHeight="1">
      <c r="A482" s="413">
        <f t="shared" si="7"/>
        <v>482</v>
      </c>
      <c r="B482" s="26">
        <v>104</v>
      </c>
      <c r="C482" s="153" t="s">
        <v>165</v>
      </c>
      <c r="D482" s="211" t="s">
        <v>180</v>
      </c>
      <c r="E482" s="212" t="s">
        <v>357</v>
      </c>
      <c r="F482" s="213" t="s">
        <v>488</v>
      </c>
      <c r="G482" s="214" t="s">
        <v>511</v>
      </c>
      <c r="H482" s="213" t="s">
        <v>19</v>
      </c>
      <c r="I482" s="215">
        <f>(2.6*4.35-2*0.22*0.22)*1.3</f>
        <v>14.577159999999999</v>
      </c>
      <c r="J482" s="216"/>
      <c r="K482" s="216"/>
      <c r="L482" s="216">
        <v>41</v>
      </c>
      <c r="M482" s="216"/>
      <c r="N482" s="216"/>
      <c r="O482" s="217"/>
      <c r="P482" s="217"/>
      <c r="Q482" s="217">
        <v>11</v>
      </c>
      <c r="R482" s="217"/>
      <c r="S482" s="218" t="s">
        <v>521</v>
      </c>
    </row>
    <row r="483" spans="1:19" ht="15" customHeight="1">
      <c r="A483" s="413">
        <f t="shared" si="7"/>
        <v>483</v>
      </c>
      <c r="B483" s="26">
        <v>104</v>
      </c>
      <c r="C483" s="153" t="s">
        <v>165</v>
      </c>
      <c r="D483" s="211" t="s">
        <v>180</v>
      </c>
      <c r="E483" s="212" t="s">
        <v>357</v>
      </c>
      <c r="F483" s="213" t="s">
        <v>488</v>
      </c>
      <c r="G483" s="214" t="s">
        <v>513</v>
      </c>
      <c r="H483" s="213" t="s">
        <v>519</v>
      </c>
      <c r="I483" s="215">
        <f>(0.9*7.2+1.6*1.6-0.45*0.25)*1.3</f>
        <v>11.60575</v>
      </c>
      <c r="J483" s="216"/>
      <c r="K483" s="216"/>
      <c r="L483" s="216">
        <v>56</v>
      </c>
      <c r="M483" s="216"/>
      <c r="N483" s="216"/>
      <c r="O483" s="217"/>
      <c r="P483" s="217">
        <v>9</v>
      </c>
      <c r="Q483" s="217"/>
      <c r="R483" s="217"/>
      <c r="S483" s="218"/>
    </row>
    <row r="484" spans="1:19" ht="15" customHeight="1">
      <c r="A484" s="413">
        <f t="shared" si="7"/>
        <v>484</v>
      </c>
      <c r="B484" s="26">
        <v>104</v>
      </c>
      <c r="C484" s="153" t="s">
        <v>165</v>
      </c>
      <c r="D484" s="211" t="s">
        <v>180</v>
      </c>
      <c r="E484" s="212" t="s">
        <v>357</v>
      </c>
      <c r="F484" s="213" t="s">
        <v>488</v>
      </c>
      <c r="G484" s="214" t="s">
        <v>514</v>
      </c>
      <c r="H484" s="213" t="s">
        <v>19</v>
      </c>
      <c r="I484" s="215">
        <v>126.10000000000001</v>
      </c>
      <c r="J484" s="216"/>
      <c r="K484" s="216">
        <v>113</v>
      </c>
      <c r="L484" s="216">
        <v>130</v>
      </c>
      <c r="M484" s="216"/>
      <c r="N484" s="216"/>
      <c r="O484" s="217"/>
      <c r="P484" s="217"/>
      <c r="Q484" s="217">
        <v>97</v>
      </c>
      <c r="R484" s="217"/>
      <c r="S484" s="218" t="s">
        <v>521</v>
      </c>
    </row>
    <row r="485" spans="1:19" ht="15" customHeight="1">
      <c r="A485" s="413">
        <f t="shared" si="7"/>
        <v>485</v>
      </c>
      <c r="B485" s="26">
        <v>104</v>
      </c>
      <c r="C485" s="153" t="s">
        <v>165</v>
      </c>
      <c r="D485" s="211" t="s">
        <v>180</v>
      </c>
      <c r="E485" s="212" t="s">
        <v>357</v>
      </c>
      <c r="F485" s="213" t="s">
        <v>488</v>
      </c>
      <c r="G485" s="214" t="s">
        <v>515</v>
      </c>
      <c r="H485" s="213" t="s">
        <v>19</v>
      </c>
      <c r="I485" s="215">
        <f>(1.55*3.7)*1.3</f>
        <v>7.4555000000000007</v>
      </c>
      <c r="J485" s="216"/>
      <c r="K485" s="216">
        <v>30</v>
      </c>
      <c r="L485" s="216"/>
      <c r="M485" s="216"/>
      <c r="N485" s="216"/>
      <c r="O485" s="217"/>
      <c r="P485" s="217"/>
      <c r="Q485" s="217">
        <v>6</v>
      </c>
      <c r="R485" s="217"/>
      <c r="S485" s="218"/>
    </row>
    <row r="486" spans="1:19" ht="15" customHeight="1">
      <c r="A486" s="413">
        <f t="shared" si="7"/>
        <v>486</v>
      </c>
      <c r="B486" s="26">
        <v>104</v>
      </c>
      <c r="C486" s="153" t="s">
        <v>165</v>
      </c>
      <c r="D486" s="211" t="s">
        <v>180</v>
      </c>
      <c r="E486" s="212" t="s">
        <v>357</v>
      </c>
      <c r="F486" s="213" t="s">
        <v>488</v>
      </c>
      <c r="G486" s="214" t="s">
        <v>169</v>
      </c>
      <c r="H486" s="213" t="s">
        <v>19</v>
      </c>
      <c r="I486" s="215">
        <f>(1.75*1.1)*1.3</f>
        <v>2.5025000000000004</v>
      </c>
      <c r="J486" s="216"/>
      <c r="K486" s="216"/>
      <c r="L486" s="216">
        <v>15</v>
      </c>
      <c r="M486" s="216"/>
      <c r="N486" s="216"/>
      <c r="O486" s="217"/>
      <c r="P486" s="217"/>
      <c r="Q486" s="217"/>
      <c r="R486" s="217"/>
      <c r="S486" s="218"/>
    </row>
    <row r="487" spans="1:19" ht="15" customHeight="1">
      <c r="A487" s="413">
        <f t="shared" si="7"/>
        <v>487</v>
      </c>
      <c r="B487" s="26">
        <v>104</v>
      </c>
      <c r="C487" s="153" t="s">
        <v>165</v>
      </c>
      <c r="D487" s="211" t="s">
        <v>180</v>
      </c>
      <c r="E487" s="212" t="s">
        <v>357</v>
      </c>
      <c r="F487" s="213" t="s">
        <v>488</v>
      </c>
      <c r="G487" s="214" t="s">
        <v>169</v>
      </c>
      <c r="H487" s="213" t="s">
        <v>19</v>
      </c>
      <c r="I487" s="215">
        <f>(1*0.5)*1.3</f>
        <v>0.65</v>
      </c>
      <c r="J487" s="216"/>
      <c r="K487" s="216"/>
      <c r="L487" s="216">
        <v>7</v>
      </c>
      <c r="M487" s="216"/>
      <c r="N487" s="216"/>
      <c r="O487" s="217"/>
      <c r="P487" s="217"/>
      <c r="Q487" s="217"/>
      <c r="R487" s="217">
        <v>1</v>
      </c>
      <c r="S487" s="218" t="s">
        <v>531</v>
      </c>
    </row>
    <row r="488" spans="1:19" ht="15" customHeight="1">
      <c r="A488" s="413">
        <f t="shared" si="7"/>
        <v>488</v>
      </c>
      <c r="B488" s="26">
        <v>104</v>
      </c>
      <c r="C488" s="153" t="s">
        <v>165</v>
      </c>
      <c r="D488" s="211" t="s">
        <v>180</v>
      </c>
      <c r="E488" s="212" t="s">
        <v>357</v>
      </c>
      <c r="F488" s="213" t="s">
        <v>516</v>
      </c>
      <c r="G488" s="214" t="s">
        <v>169</v>
      </c>
      <c r="H488" s="213" t="s">
        <v>19</v>
      </c>
      <c r="I488" s="215">
        <f>(1.85*1.1)*1.3</f>
        <v>2.6455000000000002</v>
      </c>
      <c r="J488" s="216"/>
      <c r="K488" s="216"/>
      <c r="L488" s="216">
        <v>15</v>
      </c>
      <c r="M488" s="216"/>
      <c r="N488" s="216"/>
      <c r="O488" s="217"/>
      <c r="P488" s="217"/>
      <c r="Q488" s="217"/>
      <c r="R488" s="217">
        <v>2</v>
      </c>
      <c r="S488" s="218" t="s">
        <v>532</v>
      </c>
    </row>
    <row r="489" spans="1:19" ht="15" customHeight="1">
      <c r="A489" s="413">
        <f t="shared" si="7"/>
        <v>489</v>
      </c>
      <c r="B489" s="26">
        <v>104</v>
      </c>
      <c r="C489" s="153" t="s">
        <v>165</v>
      </c>
      <c r="D489" s="211" t="s">
        <v>180</v>
      </c>
      <c r="E489" s="212" t="s">
        <v>357</v>
      </c>
      <c r="F489" s="213" t="s">
        <v>517</v>
      </c>
      <c r="G489" s="214" t="s">
        <v>169</v>
      </c>
      <c r="H489" s="213" t="s">
        <v>19</v>
      </c>
      <c r="I489" s="215">
        <f>(7.3*1.85)*1.3</f>
        <v>17.556500000000003</v>
      </c>
      <c r="J489" s="216"/>
      <c r="K489" s="216"/>
      <c r="L489" s="216">
        <v>62</v>
      </c>
      <c r="M489" s="216"/>
      <c r="N489" s="216"/>
      <c r="O489" s="217"/>
      <c r="P489" s="217">
        <v>14</v>
      </c>
      <c r="Q489" s="217"/>
      <c r="R489" s="217"/>
      <c r="S489" s="218"/>
    </row>
    <row r="490" spans="1:19" ht="15" customHeight="1">
      <c r="A490" s="413">
        <f t="shared" si="7"/>
        <v>490</v>
      </c>
      <c r="B490" s="26">
        <v>104</v>
      </c>
      <c r="C490" s="153" t="s">
        <v>165</v>
      </c>
      <c r="D490" s="211" t="s">
        <v>180</v>
      </c>
      <c r="E490" s="212" t="s">
        <v>54</v>
      </c>
      <c r="F490" s="213" t="s">
        <v>373</v>
      </c>
      <c r="G490" s="214" t="s">
        <v>533</v>
      </c>
      <c r="H490" s="213" t="s">
        <v>169</v>
      </c>
      <c r="I490" s="215"/>
      <c r="J490" s="216"/>
      <c r="K490" s="216"/>
      <c r="L490" s="216"/>
      <c r="M490" s="216"/>
      <c r="N490" s="216"/>
      <c r="O490" s="217"/>
      <c r="P490" s="217"/>
      <c r="Q490" s="217"/>
      <c r="R490" s="217"/>
      <c r="S490" s="218" t="s">
        <v>1146</v>
      </c>
    </row>
    <row r="491" spans="1:19" ht="15" customHeight="1">
      <c r="A491" s="413">
        <f t="shared" si="7"/>
        <v>491</v>
      </c>
      <c r="B491" s="26">
        <v>104</v>
      </c>
      <c r="C491" s="153" t="s">
        <v>165</v>
      </c>
      <c r="D491" s="211" t="s">
        <v>180</v>
      </c>
      <c r="E491" s="212" t="s">
        <v>54</v>
      </c>
      <c r="F491" s="213" t="s">
        <v>375</v>
      </c>
      <c r="G491" s="214" t="s">
        <v>534</v>
      </c>
      <c r="H491" s="213" t="s">
        <v>1311</v>
      </c>
      <c r="I491" s="215">
        <v>0</v>
      </c>
      <c r="J491" s="216"/>
      <c r="K491" s="216"/>
      <c r="L491" s="216"/>
      <c r="M491" s="216"/>
      <c r="N491" s="216"/>
      <c r="O491" s="217"/>
      <c r="P491" s="217"/>
      <c r="Q491" s="217"/>
      <c r="R491" s="217"/>
      <c r="S491" s="218" t="s">
        <v>609</v>
      </c>
    </row>
    <row r="492" spans="1:19" ht="15" customHeight="1">
      <c r="A492" s="413">
        <f t="shared" si="7"/>
        <v>492</v>
      </c>
      <c r="B492" s="26">
        <v>104</v>
      </c>
      <c r="C492" s="153" t="s">
        <v>165</v>
      </c>
      <c r="D492" s="211" t="s">
        <v>180</v>
      </c>
      <c r="E492" s="212" t="s">
        <v>54</v>
      </c>
      <c r="F492" s="213" t="s">
        <v>377</v>
      </c>
      <c r="G492" s="214" t="s">
        <v>535</v>
      </c>
      <c r="H492" s="213" t="s">
        <v>166</v>
      </c>
      <c r="I492" s="215">
        <v>0</v>
      </c>
      <c r="J492" s="216"/>
      <c r="K492" s="216"/>
      <c r="L492" s="216"/>
      <c r="M492" s="216"/>
      <c r="N492" s="216"/>
      <c r="O492" s="217"/>
      <c r="P492" s="217"/>
      <c r="Q492" s="217"/>
      <c r="R492" s="217"/>
      <c r="S492" s="218" t="s">
        <v>610</v>
      </c>
    </row>
    <row r="493" spans="1:19" ht="15" customHeight="1">
      <c r="A493" s="413">
        <f t="shared" si="7"/>
        <v>493</v>
      </c>
      <c r="B493" s="26">
        <v>104</v>
      </c>
      <c r="C493" s="153" t="s">
        <v>165</v>
      </c>
      <c r="D493" s="211" t="s">
        <v>180</v>
      </c>
      <c r="E493" s="212" t="s">
        <v>54</v>
      </c>
      <c r="F493" s="213" t="s">
        <v>54</v>
      </c>
      <c r="G493" s="214" t="s">
        <v>536</v>
      </c>
      <c r="H493" s="213" t="s">
        <v>109</v>
      </c>
      <c r="I493" s="215">
        <f>((6.5+2.8+32+23.8+74.8+15.5)*6.9-(32+2.8+6.5)*2.4-(2.8+6.5)*1.3-6.5*2.2-1.8*74.8-15.5*(3.6+2.4)+6*3+16.5*2.3+3.2*15+15*2)*1.3</f>
        <v>1108.9780000000001</v>
      </c>
      <c r="J493" s="216"/>
      <c r="K493" s="216">
        <v>526</v>
      </c>
      <c r="L493" s="216"/>
      <c r="M493" s="216">
        <v>6</v>
      </c>
      <c r="N493" s="216">
        <v>47</v>
      </c>
      <c r="O493" s="217"/>
      <c r="P493" s="217"/>
      <c r="Q493" s="217">
        <v>853</v>
      </c>
      <c r="R493" s="217"/>
      <c r="S493" s="218" t="s">
        <v>521</v>
      </c>
    </row>
    <row r="494" spans="1:19" ht="15" customHeight="1">
      <c r="A494" s="413">
        <f t="shared" si="7"/>
        <v>494</v>
      </c>
      <c r="B494" s="26">
        <v>104</v>
      </c>
      <c r="C494" s="153" t="s">
        <v>165</v>
      </c>
      <c r="D494" s="211" t="s">
        <v>180</v>
      </c>
      <c r="E494" s="212" t="s">
        <v>54</v>
      </c>
      <c r="F494" s="213" t="s">
        <v>373</v>
      </c>
      <c r="G494" s="214" t="s">
        <v>537</v>
      </c>
      <c r="H494" s="213" t="s">
        <v>169</v>
      </c>
      <c r="I494" s="215"/>
      <c r="J494" s="216"/>
      <c r="K494" s="216"/>
      <c r="L494" s="216"/>
      <c r="M494" s="216"/>
      <c r="N494" s="216"/>
      <c r="O494" s="217"/>
      <c r="P494" s="217"/>
      <c r="Q494" s="217"/>
      <c r="R494" s="217"/>
      <c r="S494" s="218" t="s">
        <v>1151</v>
      </c>
    </row>
    <row r="495" spans="1:19" ht="15" customHeight="1">
      <c r="A495" s="413">
        <f t="shared" si="7"/>
        <v>495</v>
      </c>
      <c r="B495" s="26">
        <v>104</v>
      </c>
      <c r="C495" s="153" t="s">
        <v>165</v>
      </c>
      <c r="D495" s="211" t="s">
        <v>180</v>
      </c>
      <c r="E495" s="212" t="s">
        <v>54</v>
      </c>
      <c r="F495" s="213" t="s">
        <v>375</v>
      </c>
      <c r="G495" s="214" t="s">
        <v>538</v>
      </c>
      <c r="H495" s="213" t="s">
        <v>1311</v>
      </c>
      <c r="I495" s="215">
        <v>0</v>
      </c>
      <c r="J495" s="216"/>
      <c r="K495" s="216"/>
      <c r="L495" s="216"/>
      <c r="M495" s="216"/>
      <c r="N495" s="216"/>
      <c r="O495" s="217"/>
      <c r="P495" s="217"/>
      <c r="Q495" s="217"/>
      <c r="R495" s="217"/>
      <c r="S495" s="218" t="s">
        <v>611</v>
      </c>
    </row>
    <row r="496" spans="1:19" ht="15" customHeight="1">
      <c r="A496" s="413">
        <f t="shared" si="7"/>
        <v>496</v>
      </c>
      <c r="B496" s="26">
        <v>104</v>
      </c>
      <c r="C496" s="153" t="s">
        <v>165</v>
      </c>
      <c r="D496" s="211" t="s">
        <v>180</v>
      </c>
      <c r="E496" s="212" t="s">
        <v>54</v>
      </c>
      <c r="F496" s="213" t="s">
        <v>377</v>
      </c>
      <c r="G496" s="214" t="s">
        <v>539</v>
      </c>
      <c r="H496" s="213" t="s">
        <v>166</v>
      </c>
      <c r="I496" s="215">
        <v>0</v>
      </c>
      <c r="J496" s="216"/>
      <c r="K496" s="216"/>
      <c r="L496" s="216"/>
      <c r="M496" s="216"/>
      <c r="N496" s="216"/>
      <c r="O496" s="217"/>
      <c r="P496" s="217"/>
      <c r="Q496" s="217"/>
      <c r="R496" s="217"/>
      <c r="S496" s="218" t="s">
        <v>612</v>
      </c>
    </row>
    <row r="497" spans="1:19" ht="15" customHeight="1">
      <c r="A497" s="413">
        <f t="shared" si="7"/>
        <v>497</v>
      </c>
      <c r="B497" s="26">
        <v>104</v>
      </c>
      <c r="C497" s="153" t="s">
        <v>165</v>
      </c>
      <c r="D497" s="211" t="s">
        <v>180</v>
      </c>
      <c r="E497" s="212" t="s">
        <v>54</v>
      </c>
      <c r="F497" s="213" t="s">
        <v>54</v>
      </c>
      <c r="G497" s="214" t="s">
        <v>540</v>
      </c>
      <c r="H497" s="213" t="s">
        <v>109</v>
      </c>
      <c r="I497" s="215">
        <f>(7.3*0.9+35.5*4.5+(2.5+4.5)*(2.6+6+2.4+14.5)+2.8*6+5.3*14.3+75*4.5+12.6*0.9)*1.3</f>
        <v>1022.1250000000002</v>
      </c>
      <c r="J497" s="216"/>
      <c r="K497" s="216">
        <v>504</v>
      </c>
      <c r="L497" s="216"/>
      <c r="M497" s="216">
        <v>6</v>
      </c>
      <c r="N497" s="216">
        <v>47</v>
      </c>
      <c r="O497" s="217"/>
      <c r="P497" s="217"/>
      <c r="Q497" s="217">
        <v>786</v>
      </c>
      <c r="R497" s="217"/>
      <c r="S497" s="218" t="s">
        <v>521</v>
      </c>
    </row>
    <row r="498" spans="1:19" ht="15" customHeight="1">
      <c r="A498" s="413">
        <f t="shared" si="7"/>
        <v>498</v>
      </c>
      <c r="B498" s="26">
        <v>104</v>
      </c>
      <c r="C498" s="153" t="s">
        <v>165</v>
      </c>
      <c r="D498" s="211" t="s">
        <v>180</v>
      </c>
      <c r="E498" s="212" t="s">
        <v>54</v>
      </c>
      <c r="F498" s="213" t="s">
        <v>385</v>
      </c>
      <c r="G498" s="214" t="s">
        <v>386</v>
      </c>
      <c r="H498" s="213" t="s">
        <v>298</v>
      </c>
      <c r="I498" s="215">
        <v>0</v>
      </c>
      <c r="J498" s="216"/>
      <c r="K498" s="216"/>
      <c r="L498" s="216"/>
      <c r="M498" s="216"/>
      <c r="N498" s="216"/>
      <c r="O498" s="217"/>
      <c r="P498" s="217"/>
      <c r="Q498" s="217"/>
      <c r="R498" s="217"/>
      <c r="S498" s="218" t="s">
        <v>613</v>
      </c>
    </row>
    <row r="499" spans="1:19" ht="15" customHeight="1">
      <c r="A499" s="413">
        <f t="shared" si="7"/>
        <v>499</v>
      </c>
      <c r="B499" s="26">
        <v>104</v>
      </c>
      <c r="C499" s="153" t="s">
        <v>165</v>
      </c>
      <c r="D499" s="211" t="s">
        <v>180</v>
      </c>
      <c r="E499" s="212" t="s">
        <v>54</v>
      </c>
      <c r="F499" s="213" t="s">
        <v>387</v>
      </c>
      <c r="G499" s="214" t="s">
        <v>388</v>
      </c>
      <c r="H499" s="213" t="s">
        <v>298</v>
      </c>
      <c r="I499" s="215">
        <v>0</v>
      </c>
      <c r="J499" s="216"/>
      <c r="K499" s="216"/>
      <c r="L499" s="216"/>
      <c r="M499" s="216"/>
      <c r="N499" s="216"/>
      <c r="O499" s="217"/>
      <c r="P499" s="217"/>
      <c r="Q499" s="217"/>
      <c r="R499" s="217"/>
      <c r="S499" s="218" t="s">
        <v>613</v>
      </c>
    </row>
    <row r="500" spans="1:19" ht="15" customHeight="1">
      <c r="A500" s="413">
        <f t="shared" si="7"/>
        <v>500</v>
      </c>
      <c r="B500" s="26">
        <v>104</v>
      </c>
      <c r="C500" s="153" t="s">
        <v>165</v>
      </c>
      <c r="D500" s="211" t="s">
        <v>180</v>
      </c>
      <c r="E500" s="212" t="s">
        <v>54</v>
      </c>
      <c r="F500" s="213" t="s">
        <v>175</v>
      </c>
      <c r="G500" s="214" t="s">
        <v>542</v>
      </c>
      <c r="H500" s="213" t="s">
        <v>19</v>
      </c>
      <c r="I500" s="215">
        <f>(2.35*2.3+1.8*1.35)*1.3</f>
        <v>10.185499999999999</v>
      </c>
      <c r="J500" s="216"/>
      <c r="K500" s="216"/>
      <c r="L500" s="216">
        <v>60</v>
      </c>
      <c r="M500" s="216"/>
      <c r="N500" s="216"/>
      <c r="O500" s="217"/>
      <c r="P500" s="217"/>
      <c r="Q500" s="217">
        <v>15</v>
      </c>
      <c r="R500" s="217"/>
      <c r="S500" s="218"/>
    </row>
    <row r="501" spans="1:19" ht="15" customHeight="1">
      <c r="A501" s="413">
        <f t="shared" si="7"/>
        <v>501</v>
      </c>
      <c r="B501" s="26">
        <v>104</v>
      </c>
      <c r="C501" s="153" t="s">
        <v>165</v>
      </c>
      <c r="D501" s="211" t="s">
        <v>180</v>
      </c>
      <c r="E501" s="212" t="s">
        <v>54</v>
      </c>
      <c r="F501" s="213" t="s">
        <v>543</v>
      </c>
      <c r="G501" s="214" t="s">
        <v>544</v>
      </c>
      <c r="H501" s="213" t="s">
        <v>166</v>
      </c>
      <c r="I501" s="215">
        <v>2.6</v>
      </c>
      <c r="J501" s="216"/>
      <c r="K501" s="216"/>
      <c r="L501" s="216"/>
      <c r="M501" s="216"/>
      <c r="N501" s="216"/>
      <c r="O501" s="217"/>
      <c r="P501" s="217"/>
      <c r="Q501" s="217"/>
      <c r="R501" s="217"/>
      <c r="S501" s="218"/>
    </row>
    <row r="502" spans="1:19" ht="15" customHeight="1">
      <c r="A502" s="413">
        <f t="shared" si="7"/>
        <v>502</v>
      </c>
      <c r="B502" s="26">
        <v>104</v>
      </c>
      <c r="C502" s="153" t="s">
        <v>165</v>
      </c>
      <c r="D502" s="211" t="s">
        <v>180</v>
      </c>
      <c r="E502" s="212" t="s">
        <v>54</v>
      </c>
      <c r="F502" s="213" t="s">
        <v>175</v>
      </c>
      <c r="G502" s="214" t="s">
        <v>545</v>
      </c>
      <c r="H502" s="213" t="s">
        <v>19</v>
      </c>
      <c r="I502" s="215">
        <v>19.5</v>
      </c>
      <c r="J502" s="216"/>
      <c r="K502" s="216"/>
      <c r="L502" s="216">
        <v>60</v>
      </c>
      <c r="M502" s="216"/>
      <c r="N502" s="216"/>
      <c r="O502" s="217"/>
      <c r="P502" s="217"/>
      <c r="Q502" s="217">
        <v>15</v>
      </c>
      <c r="R502" s="217"/>
      <c r="S502" s="218"/>
    </row>
    <row r="503" spans="1:19" ht="15" customHeight="1">
      <c r="A503" s="413">
        <f t="shared" si="7"/>
        <v>503</v>
      </c>
      <c r="B503" s="26">
        <v>104</v>
      </c>
      <c r="C503" s="153" t="s">
        <v>165</v>
      </c>
      <c r="D503" s="211" t="s">
        <v>180</v>
      </c>
      <c r="E503" s="212" t="s">
        <v>54</v>
      </c>
      <c r="F503" s="213" t="s">
        <v>546</v>
      </c>
      <c r="G503" s="214" t="s">
        <v>547</v>
      </c>
      <c r="H503" s="213" t="s">
        <v>166</v>
      </c>
      <c r="I503" s="215">
        <v>2.6</v>
      </c>
      <c r="J503" s="216"/>
      <c r="K503" s="216"/>
      <c r="L503" s="216"/>
      <c r="M503" s="216"/>
      <c r="N503" s="216"/>
      <c r="O503" s="217"/>
      <c r="P503" s="217"/>
      <c r="Q503" s="217"/>
      <c r="R503" s="217"/>
      <c r="S503" s="218"/>
    </row>
    <row r="504" spans="1:19" ht="15" customHeight="1">
      <c r="A504" s="413">
        <f t="shared" si="7"/>
        <v>504</v>
      </c>
      <c r="B504" s="26">
        <v>104</v>
      </c>
      <c r="C504" s="153" t="s">
        <v>165</v>
      </c>
      <c r="D504" s="211" t="s">
        <v>180</v>
      </c>
      <c r="E504" s="212" t="s">
        <v>54</v>
      </c>
      <c r="F504" s="213" t="s">
        <v>167</v>
      </c>
      <c r="G504" s="214" t="s">
        <v>548</v>
      </c>
      <c r="H504" s="213" t="s">
        <v>44</v>
      </c>
      <c r="I504" s="215">
        <f>(+(2.75+3.95)/2*7.15)*1.3</f>
        <v>31.138250000000003</v>
      </c>
      <c r="J504" s="216"/>
      <c r="K504" s="216"/>
      <c r="L504" s="216">
        <v>69</v>
      </c>
      <c r="M504" s="216"/>
      <c r="N504" s="216"/>
      <c r="O504" s="217"/>
      <c r="P504" s="217"/>
      <c r="Q504" s="217">
        <v>24</v>
      </c>
      <c r="R504" s="217"/>
      <c r="S504" s="218" t="s">
        <v>521</v>
      </c>
    </row>
    <row r="505" spans="1:19" ht="15" customHeight="1">
      <c r="A505" s="413">
        <f t="shared" si="7"/>
        <v>505</v>
      </c>
      <c r="B505" s="26">
        <v>104</v>
      </c>
      <c r="C505" s="153" t="s">
        <v>165</v>
      </c>
      <c r="D505" s="211" t="s">
        <v>180</v>
      </c>
      <c r="E505" s="212" t="s">
        <v>54</v>
      </c>
      <c r="F505" s="213" t="s">
        <v>167</v>
      </c>
      <c r="G505" s="214" t="s">
        <v>550</v>
      </c>
      <c r="H505" s="213" t="s">
        <v>607</v>
      </c>
      <c r="I505" s="215">
        <f>(2*4+22*2.5+6.75*3.35+2.35*2.65)*1.3</f>
        <v>119.39200000000001</v>
      </c>
      <c r="J505" s="216"/>
      <c r="K505" s="216"/>
      <c r="L505" s="216">
        <v>244</v>
      </c>
      <c r="M505" s="216"/>
      <c r="N505" s="216"/>
      <c r="O505" s="217"/>
      <c r="P505" s="217"/>
      <c r="Q505" s="217">
        <v>92</v>
      </c>
      <c r="R505" s="217"/>
      <c r="S505" s="218"/>
    </row>
    <row r="506" spans="1:19" ht="15" customHeight="1">
      <c r="A506" s="413">
        <f t="shared" si="7"/>
        <v>506</v>
      </c>
      <c r="B506" s="26">
        <v>104</v>
      </c>
      <c r="C506" s="153" t="s">
        <v>165</v>
      </c>
      <c r="D506" s="211" t="s">
        <v>180</v>
      </c>
      <c r="E506" s="212" t="s">
        <v>54</v>
      </c>
      <c r="F506" s="213" t="s">
        <v>175</v>
      </c>
      <c r="G506" s="214" t="s">
        <v>551</v>
      </c>
      <c r="H506" s="213" t="s">
        <v>19</v>
      </c>
      <c r="I506" s="215">
        <v>33.800000000000004</v>
      </c>
      <c r="J506" s="216"/>
      <c r="K506" s="216"/>
      <c r="L506" s="216"/>
      <c r="M506" s="216"/>
      <c r="N506" s="216"/>
      <c r="O506" s="217"/>
      <c r="P506" s="217"/>
      <c r="Q506" s="217"/>
      <c r="R506" s="217"/>
      <c r="S506" s="218"/>
    </row>
    <row r="507" spans="1:19" ht="15" customHeight="1">
      <c r="A507" s="413">
        <f t="shared" si="7"/>
        <v>507</v>
      </c>
      <c r="B507" s="26">
        <v>104</v>
      </c>
      <c r="C507" s="153" t="s">
        <v>165</v>
      </c>
      <c r="D507" s="211" t="s">
        <v>180</v>
      </c>
      <c r="E507" s="212" t="s">
        <v>54</v>
      </c>
      <c r="F507" s="213" t="s">
        <v>552</v>
      </c>
      <c r="G507" s="214" t="s">
        <v>553</v>
      </c>
      <c r="H507" s="213" t="s">
        <v>166</v>
      </c>
      <c r="I507" s="215">
        <v>0</v>
      </c>
      <c r="J507" s="216"/>
      <c r="K507" s="216"/>
      <c r="L507" s="216"/>
      <c r="M507" s="216"/>
      <c r="N507" s="216"/>
      <c r="O507" s="217"/>
      <c r="P507" s="217"/>
      <c r="Q507" s="217"/>
      <c r="R507" s="217"/>
      <c r="S507" s="218" t="s">
        <v>614</v>
      </c>
    </row>
    <row r="508" spans="1:19" ht="15" customHeight="1">
      <c r="A508" s="413">
        <f t="shared" si="7"/>
        <v>508</v>
      </c>
      <c r="B508" s="26">
        <v>104</v>
      </c>
      <c r="C508" s="153" t="s">
        <v>165</v>
      </c>
      <c r="D508" s="211" t="s">
        <v>180</v>
      </c>
      <c r="E508" s="212" t="s">
        <v>54</v>
      </c>
      <c r="F508" s="213" t="s">
        <v>552</v>
      </c>
      <c r="G508" s="214" t="s">
        <v>554</v>
      </c>
      <c r="H508" s="213" t="s">
        <v>166</v>
      </c>
      <c r="I508" s="215">
        <v>0</v>
      </c>
      <c r="J508" s="216"/>
      <c r="K508" s="216"/>
      <c r="L508" s="216"/>
      <c r="M508" s="216"/>
      <c r="N508" s="216"/>
      <c r="O508" s="217"/>
      <c r="P508" s="217"/>
      <c r="Q508" s="217"/>
      <c r="R508" s="217"/>
      <c r="S508" s="218" t="s">
        <v>615</v>
      </c>
    </row>
    <row r="509" spans="1:19" ht="15" customHeight="1">
      <c r="A509" s="413">
        <f t="shared" si="7"/>
        <v>509</v>
      </c>
      <c r="B509" s="26">
        <v>104</v>
      </c>
      <c r="C509" s="153" t="s">
        <v>165</v>
      </c>
      <c r="D509" s="211" t="s">
        <v>180</v>
      </c>
      <c r="E509" s="212" t="s">
        <v>54</v>
      </c>
      <c r="F509" s="213" t="s">
        <v>555</v>
      </c>
      <c r="G509" s="214" t="s">
        <v>556</v>
      </c>
      <c r="H509" s="213" t="s">
        <v>166</v>
      </c>
      <c r="I509" s="215">
        <v>2.6</v>
      </c>
      <c r="J509" s="216"/>
      <c r="K509" s="216"/>
      <c r="L509" s="216"/>
      <c r="M509" s="216"/>
      <c r="N509" s="216"/>
      <c r="O509" s="217"/>
      <c r="P509" s="217"/>
      <c r="Q509" s="217"/>
      <c r="R509" s="217"/>
      <c r="S509" s="218"/>
    </row>
    <row r="510" spans="1:19" ht="15" customHeight="1">
      <c r="A510" s="413">
        <f t="shared" si="7"/>
        <v>510</v>
      </c>
      <c r="B510" s="26">
        <v>104</v>
      </c>
      <c r="C510" s="153" t="s">
        <v>165</v>
      </c>
      <c r="D510" s="211" t="s">
        <v>180</v>
      </c>
      <c r="E510" s="212" t="s">
        <v>54</v>
      </c>
      <c r="F510" s="213" t="s">
        <v>167</v>
      </c>
      <c r="G510" s="214" t="s">
        <v>557</v>
      </c>
      <c r="H510" s="213" t="s">
        <v>19</v>
      </c>
      <c r="I510" s="215">
        <v>13</v>
      </c>
      <c r="J510" s="216"/>
      <c r="K510" s="216"/>
      <c r="L510" s="216">
        <v>50</v>
      </c>
      <c r="M510" s="216"/>
      <c r="N510" s="216"/>
      <c r="O510" s="217"/>
      <c r="P510" s="217"/>
      <c r="Q510" s="217"/>
      <c r="R510" s="217">
        <v>7</v>
      </c>
      <c r="S510" s="218" t="s">
        <v>616</v>
      </c>
    </row>
    <row r="511" spans="1:19" ht="15" customHeight="1">
      <c r="A511" s="413">
        <f t="shared" si="7"/>
        <v>511</v>
      </c>
      <c r="B511" s="26">
        <v>104</v>
      </c>
      <c r="C511" s="153" t="s">
        <v>165</v>
      </c>
      <c r="D511" s="211" t="s">
        <v>180</v>
      </c>
      <c r="E511" s="212" t="s">
        <v>54</v>
      </c>
      <c r="F511" s="213" t="s">
        <v>167</v>
      </c>
      <c r="G511" s="214" t="s">
        <v>558</v>
      </c>
      <c r="H511" s="213" t="s">
        <v>44</v>
      </c>
      <c r="I511" s="215">
        <v>32.5</v>
      </c>
      <c r="J511" s="216"/>
      <c r="K511" s="216"/>
      <c r="L511" s="216">
        <f>(4.25+9+3.15+0.2+9+1.15)*3.25</f>
        <v>86.937499999999986</v>
      </c>
      <c r="M511" s="216"/>
      <c r="N511" s="216"/>
      <c r="O511" s="217"/>
      <c r="P511" s="217"/>
      <c r="Q511" s="217">
        <v>25</v>
      </c>
      <c r="R511" s="217"/>
      <c r="S511" s="218"/>
    </row>
    <row r="512" spans="1:19" ht="15" customHeight="1">
      <c r="A512" s="413">
        <f t="shared" si="7"/>
        <v>512</v>
      </c>
      <c r="B512" s="26">
        <v>104</v>
      </c>
      <c r="C512" s="153" t="s">
        <v>165</v>
      </c>
      <c r="D512" s="211" t="s">
        <v>180</v>
      </c>
      <c r="E512" s="212" t="s">
        <v>54</v>
      </c>
      <c r="F512" s="213" t="s">
        <v>559</v>
      </c>
      <c r="G512" s="214" t="s">
        <v>560</v>
      </c>
      <c r="H512" s="213" t="s">
        <v>166</v>
      </c>
      <c r="I512" s="215">
        <v>3.9000000000000004</v>
      </c>
      <c r="J512" s="216"/>
      <c r="K512" s="216"/>
      <c r="L512" s="216"/>
      <c r="M512" s="216"/>
      <c r="N512" s="216"/>
      <c r="O512" s="217"/>
      <c r="P512" s="217"/>
      <c r="Q512" s="217"/>
      <c r="R512" s="217"/>
      <c r="S512" s="218"/>
    </row>
    <row r="513" spans="1:19" ht="15" customHeight="1">
      <c r="A513" s="413">
        <f t="shared" si="7"/>
        <v>513</v>
      </c>
      <c r="B513" s="26">
        <v>104</v>
      </c>
      <c r="C513" s="153" t="s">
        <v>165</v>
      </c>
      <c r="D513" s="211" t="s">
        <v>180</v>
      </c>
      <c r="E513" s="212" t="s">
        <v>54</v>
      </c>
      <c r="F513" s="213" t="s">
        <v>561</v>
      </c>
      <c r="G513" s="214" t="s">
        <v>562</v>
      </c>
      <c r="H513" s="213" t="s">
        <v>166</v>
      </c>
      <c r="I513" s="215">
        <v>0</v>
      </c>
      <c r="J513" s="216"/>
      <c r="K513" s="216"/>
      <c r="L513" s="216"/>
      <c r="M513" s="216"/>
      <c r="N513" s="216"/>
      <c r="O513" s="217"/>
      <c r="P513" s="217"/>
      <c r="Q513" s="217"/>
      <c r="R513" s="217"/>
      <c r="S513" s="218" t="s">
        <v>617</v>
      </c>
    </row>
    <row r="514" spans="1:19" ht="15" customHeight="1">
      <c r="A514" s="413">
        <f t="shared" si="7"/>
        <v>514</v>
      </c>
      <c r="B514" s="26">
        <v>104</v>
      </c>
      <c r="C514" s="153" t="s">
        <v>165</v>
      </c>
      <c r="D514" s="211" t="s">
        <v>180</v>
      </c>
      <c r="E514" s="212" t="s">
        <v>54</v>
      </c>
      <c r="F514" s="213" t="s">
        <v>167</v>
      </c>
      <c r="G514" s="214" t="s">
        <v>563</v>
      </c>
      <c r="H514" s="213" t="s">
        <v>519</v>
      </c>
      <c r="I514" s="215">
        <v>74.100000000000009</v>
      </c>
      <c r="J514" s="216"/>
      <c r="K514" s="216"/>
      <c r="L514" s="216">
        <v>114</v>
      </c>
      <c r="M514" s="216"/>
      <c r="N514" s="216"/>
      <c r="O514" s="217"/>
      <c r="P514" s="217"/>
      <c r="Q514" s="217">
        <v>57</v>
      </c>
      <c r="R514" s="217"/>
      <c r="S514" s="218" t="s">
        <v>521</v>
      </c>
    </row>
    <row r="515" spans="1:19" ht="15" customHeight="1">
      <c r="A515" s="413">
        <f t="shared" ref="A515:A578" si="8">1+A514</f>
        <v>515</v>
      </c>
      <c r="B515" s="26">
        <v>104</v>
      </c>
      <c r="C515" s="153" t="s">
        <v>165</v>
      </c>
      <c r="D515" s="211" t="s">
        <v>180</v>
      </c>
      <c r="E515" s="212" t="s">
        <v>54</v>
      </c>
      <c r="F515" s="213" t="s">
        <v>175</v>
      </c>
      <c r="G515" s="214" t="s">
        <v>564</v>
      </c>
      <c r="H515" s="213" t="s">
        <v>19</v>
      </c>
      <c r="I515" s="215">
        <f>(2.9*8-5.3*1.55)*1.3</f>
        <v>19.480499999999999</v>
      </c>
      <c r="J515" s="216"/>
      <c r="K515" s="216"/>
      <c r="L515" s="216">
        <v>81</v>
      </c>
      <c r="M515" s="216"/>
      <c r="N515" s="216"/>
      <c r="O515" s="217"/>
      <c r="P515" s="217">
        <v>15</v>
      </c>
      <c r="Q515" s="217"/>
      <c r="R515" s="217"/>
      <c r="S515" s="218"/>
    </row>
    <row r="516" spans="1:19" ht="15" customHeight="1">
      <c r="A516" s="413">
        <f t="shared" si="8"/>
        <v>516</v>
      </c>
      <c r="B516" s="26">
        <v>104</v>
      </c>
      <c r="C516" s="153" t="s">
        <v>165</v>
      </c>
      <c r="D516" s="211" t="s">
        <v>180</v>
      </c>
      <c r="E516" s="212" t="s">
        <v>54</v>
      </c>
      <c r="F516" s="213" t="s">
        <v>543</v>
      </c>
      <c r="G516" s="214" t="s">
        <v>565</v>
      </c>
      <c r="H516" s="213" t="s">
        <v>166</v>
      </c>
      <c r="I516" s="215">
        <v>2.6</v>
      </c>
      <c r="J516" s="216"/>
      <c r="K516" s="216"/>
      <c r="L516" s="216"/>
      <c r="M516" s="216"/>
      <c r="N516" s="216"/>
      <c r="O516" s="217"/>
      <c r="P516" s="217"/>
      <c r="Q516" s="217"/>
      <c r="R516" s="217"/>
      <c r="S516" s="218"/>
    </row>
    <row r="517" spans="1:19" ht="15" customHeight="1">
      <c r="A517" s="413">
        <f t="shared" si="8"/>
        <v>517</v>
      </c>
      <c r="B517" s="26">
        <v>104</v>
      </c>
      <c r="C517" s="153" t="s">
        <v>165</v>
      </c>
      <c r="D517" s="211" t="s">
        <v>180</v>
      </c>
      <c r="E517" s="212" t="s">
        <v>54</v>
      </c>
      <c r="F517" s="213" t="s">
        <v>543</v>
      </c>
      <c r="G517" s="214" t="s">
        <v>566</v>
      </c>
      <c r="H517" s="213" t="s">
        <v>166</v>
      </c>
      <c r="I517" s="215">
        <v>1.3</v>
      </c>
      <c r="J517" s="216"/>
      <c r="K517" s="216"/>
      <c r="L517" s="216"/>
      <c r="M517" s="216"/>
      <c r="N517" s="216"/>
      <c r="O517" s="217"/>
      <c r="P517" s="217"/>
      <c r="Q517" s="217"/>
      <c r="R517" s="217"/>
      <c r="S517" s="218"/>
    </row>
    <row r="518" spans="1:19" ht="15" customHeight="1">
      <c r="A518" s="413">
        <f t="shared" si="8"/>
        <v>518</v>
      </c>
      <c r="B518" s="26">
        <v>104</v>
      </c>
      <c r="C518" s="153" t="s">
        <v>165</v>
      </c>
      <c r="D518" s="211" t="s">
        <v>180</v>
      </c>
      <c r="E518" s="212" t="s">
        <v>54</v>
      </c>
      <c r="F518" s="213" t="s">
        <v>543</v>
      </c>
      <c r="G518" s="214" t="s">
        <v>567</v>
      </c>
      <c r="H518" s="213" t="s">
        <v>166</v>
      </c>
      <c r="I518" s="215">
        <v>3.9000000000000004</v>
      </c>
      <c r="J518" s="216"/>
      <c r="K518" s="216"/>
      <c r="L518" s="216"/>
      <c r="M518" s="216"/>
      <c r="N518" s="216"/>
      <c r="O518" s="217"/>
      <c r="P518" s="217"/>
      <c r="Q518" s="217"/>
      <c r="R518" s="217"/>
      <c r="S518" s="218"/>
    </row>
    <row r="519" spans="1:19" ht="15" customHeight="1">
      <c r="A519" s="413">
        <f t="shared" si="8"/>
        <v>519</v>
      </c>
      <c r="B519" s="26">
        <v>104</v>
      </c>
      <c r="C519" s="153" t="s">
        <v>165</v>
      </c>
      <c r="D519" s="211" t="s">
        <v>180</v>
      </c>
      <c r="E519" s="212" t="s">
        <v>54</v>
      </c>
      <c r="F519" s="213" t="s">
        <v>175</v>
      </c>
      <c r="G519" s="214" t="s">
        <v>568</v>
      </c>
      <c r="H519" s="213" t="s">
        <v>19</v>
      </c>
      <c r="I519" s="215">
        <v>5.2</v>
      </c>
      <c r="J519" s="216"/>
      <c r="K519" s="216"/>
      <c r="L519" s="216">
        <v>24</v>
      </c>
      <c r="M519" s="216"/>
      <c r="N519" s="216"/>
      <c r="O519" s="217"/>
      <c r="P519" s="217"/>
      <c r="Q519" s="217"/>
      <c r="R519" s="217"/>
      <c r="S519" s="218"/>
    </row>
    <row r="520" spans="1:19" ht="15" customHeight="1">
      <c r="A520" s="413">
        <f t="shared" si="8"/>
        <v>520</v>
      </c>
      <c r="B520" s="26">
        <v>104</v>
      </c>
      <c r="C520" s="153" t="s">
        <v>165</v>
      </c>
      <c r="D520" s="211" t="s">
        <v>180</v>
      </c>
      <c r="E520" s="212" t="s">
        <v>54</v>
      </c>
      <c r="F520" s="213" t="s">
        <v>167</v>
      </c>
      <c r="G520" s="214" t="s">
        <v>569</v>
      </c>
      <c r="H520" s="213" t="s">
        <v>44</v>
      </c>
      <c r="I520" s="215">
        <f>(2.35*6.9)*1.3</f>
        <v>21.079499999999999</v>
      </c>
      <c r="J520" s="216"/>
      <c r="K520" s="216"/>
      <c r="L520" s="216">
        <f>6.9*2*3.2+2*2.35*2</f>
        <v>53.56</v>
      </c>
      <c r="M520" s="216">
        <v>3</v>
      </c>
      <c r="N520" s="216"/>
      <c r="O520" s="217"/>
      <c r="P520" s="217"/>
      <c r="Q520" s="217">
        <v>16</v>
      </c>
      <c r="R520" s="217"/>
      <c r="S520" s="218" t="s">
        <v>521</v>
      </c>
    </row>
    <row r="521" spans="1:19" ht="15" customHeight="1">
      <c r="A521" s="413">
        <f t="shared" si="8"/>
        <v>521</v>
      </c>
      <c r="B521" s="26">
        <v>104</v>
      </c>
      <c r="C521" s="153" t="s">
        <v>165</v>
      </c>
      <c r="D521" s="211" t="s">
        <v>180</v>
      </c>
      <c r="E521" s="212" t="s">
        <v>54</v>
      </c>
      <c r="F521" s="213" t="s">
        <v>167</v>
      </c>
      <c r="G521" s="214" t="s">
        <v>570</v>
      </c>
      <c r="H521" s="213" t="s">
        <v>44</v>
      </c>
      <c r="I521" s="215">
        <v>3.25</v>
      </c>
      <c r="J521" s="216"/>
      <c r="K521" s="216"/>
      <c r="L521" s="216">
        <f>2*2*3.25+1.2*3.25</f>
        <v>16.899999999999999</v>
      </c>
      <c r="M521" s="216"/>
      <c r="N521" s="216"/>
      <c r="O521" s="217"/>
      <c r="P521" s="217">
        <v>3</v>
      </c>
      <c r="Q521" s="217"/>
      <c r="R521" s="217"/>
      <c r="S521" s="218"/>
    </row>
    <row r="522" spans="1:19" ht="15" customHeight="1">
      <c r="A522" s="413">
        <f t="shared" si="8"/>
        <v>522</v>
      </c>
      <c r="B522" s="26">
        <v>104</v>
      </c>
      <c r="C522" s="153" t="s">
        <v>165</v>
      </c>
      <c r="D522" s="211" t="s">
        <v>180</v>
      </c>
      <c r="E522" s="212" t="s">
        <v>54</v>
      </c>
      <c r="F522" s="213" t="s">
        <v>412</v>
      </c>
      <c r="G522" s="214" t="s">
        <v>571</v>
      </c>
      <c r="H522" s="213" t="s">
        <v>166</v>
      </c>
      <c r="I522" s="215">
        <v>0</v>
      </c>
      <c r="J522" s="216"/>
      <c r="K522" s="216"/>
      <c r="L522" s="216"/>
      <c r="M522" s="216"/>
      <c r="N522" s="216"/>
      <c r="O522" s="217"/>
      <c r="P522" s="217"/>
      <c r="Q522" s="217"/>
      <c r="R522" s="217"/>
      <c r="S522" s="218" t="s">
        <v>618</v>
      </c>
    </row>
    <row r="523" spans="1:19" ht="15" customHeight="1">
      <c r="A523" s="413">
        <f t="shared" si="8"/>
        <v>523</v>
      </c>
      <c r="B523" s="26">
        <v>104</v>
      </c>
      <c r="C523" s="153" t="s">
        <v>165</v>
      </c>
      <c r="D523" s="211" t="s">
        <v>180</v>
      </c>
      <c r="E523" s="212" t="s">
        <v>54</v>
      </c>
      <c r="F523" s="213" t="s">
        <v>412</v>
      </c>
      <c r="G523" s="214" t="s">
        <v>572</v>
      </c>
      <c r="H523" s="213" t="s">
        <v>166</v>
      </c>
      <c r="I523" s="215">
        <v>0</v>
      </c>
      <c r="J523" s="216"/>
      <c r="K523" s="216"/>
      <c r="L523" s="216"/>
      <c r="M523" s="216"/>
      <c r="N523" s="216"/>
      <c r="O523" s="217"/>
      <c r="P523" s="217"/>
      <c r="Q523" s="217"/>
      <c r="R523" s="217"/>
      <c r="S523" s="218" t="s">
        <v>619</v>
      </c>
    </row>
    <row r="524" spans="1:19" ht="15" customHeight="1">
      <c r="A524" s="413">
        <f t="shared" si="8"/>
        <v>524</v>
      </c>
      <c r="B524" s="26">
        <v>104</v>
      </c>
      <c r="C524" s="153" t="s">
        <v>165</v>
      </c>
      <c r="D524" s="211" t="s">
        <v>180</v>
      </c>
      <c r="E524" s="212" t="s">
        <v>54</v>
      </c>
      <c r="F524" s="213" t="s">
        <v>167</v>
      </c>
      <c r="G524" s="214" t="s">
        <v>573</v>
      </c>
      <c r="H524" s="213" t="s">
        <v>44</v>
      </c>
      <c r="I524" s="215">
        <v>2.6</v>
      </c>
      <c r="J524" s="216"/>
      <c r="K524" s="216"/>
      <c r="L524" s="216">
        <v>15</v>
      </c>
      <c r="M524" s="216"/>
      <c r="N524" s="216"/>
      <c r="O524" s="217"/>
      <c r="P524" s="217">
        <v>2</v>
      </c>
      <c r="Q524" s="217"/>
      <c r="R524" s="217"/>
      <c r="S524" s="218"/>
    </row>
    <row r="525" spans="1:19" ht="15" customHeight="1">
      <c r="A525" s="413">
        <f t="shared" si="8"/>
        <v>525</v>
      </c>
      <c r="B525" s="26">
        <v>104</v>
      </c>
      <c r="C525" s="153" t="s">
        <v>165</v>
      </c>
      <c r="D525" s="211" t="s">
        <v>180</v>
      </c>
      <c r="E525" s="212" t="s">
        <v>54</v>
      </c>
      <c r="F525" s="213" t="s">
        <v>167</v>
      </c>
      <c r="G525" s="214" t="s">
        <v>574</v>
      </c>
      <c r="H525" s="213" t="s">
        <v>44</v>
      </c>
      <c r="I525" s="215">
        <f>(2.3*6.7)*1.3</f>
        <v>20.032999999999998</v>
      </c>
      <c r="J525" s="216"/>
      <c r="K525" s="216"/>
      <c r="L525" s="216">
        <f>(2.3+6.7)*2*3.2-1.3*3.2</f>
        <v>53.44</v>
      </c>
      <c r="M525" s="216">
        <f>1.3*3.2</f>
        <v>4.16</v>
      </c>
      <c r="N525" s="216"/>
      <c r="O525" s="217"/>
      <c r="P525" s="217"/>
      <c r="Q525" s="217">
        <v>15</v>
      </c>
      <c r="R525" s="217"/>
      <c r="S525" s="218" t="s">
        <v>521</v>
      </c>
    </row>
    <row r="526" spans="1:19" ht="15" customHeight="1">
      <c r="A526" s="413">
        <f t="shared" si="8"/>
        <v>526</v>
      </c>
      <c r="B526" s="26">
        <v>104</v>
      </c>
      <c r="C526" s="153" t="s">
        <v>165</v>
      </c>
      <c r="D526" s="211" t="s">
        <v>180</v>
      </c>
      <c r="E526" s="212" t="s">
        <v>54</v>
      </c>
      <c r="F526" s="213" t="s">
        <v>175</v>
      </c>
      <c r="G526" s="214" t="s">
        <v>575</v>
      </c>
      <c r="H526" s="213" t="s">
        <v>19</v>
      </c>
      <c r="I526" s="215">
        <v>5.2</v>
      </c>
      <c r="J526" s="216"/>
      <c r="K526" s="216"/>
      <c r="L526" s="216">
        <v>24</v>
      </c>
      <c r="M526" s="216"/>
      <c r="N526" s="216"/>
      <c r="O526" s="217"/>
      <c r="P526" s="217"/>
      <c r="Q526" s="217"/>
      <c r="R526" s="217"/>
      <c r="S526" s="218"/>
    </row>
    <row r="527" spans="1:19" ht="15" customHeight="1">
      <c r="A527" s="413">
        <f t="shared" si="8"/>
        <v>527</v>
      </c>
      <c r="B527" s="26">
        <v>104</v>
      </c>
      <c r="C527" s="153" t="s">
        <v>165</v>
      </c>
      <c r="D527" s="211" t="s">
        <v>180</v>
      </c>
      <c r="E527" s="212" t="s">
        <v>54</v>
      </c>
      <c r="F527" s="213" t="s">
        <v>576</v>
      </c>
      <c r="G527" s="214" t="s">
        <v>577</v>
      </c>
      <c r="H527" s="213" t="s">
        <v>608</v>
      </c>
      <c r="I527" s="215">
        <f>(7.3*1.85)*1.3</f>
        <v>17.556500000000003</v>
      </c>
      <c r="J527" s="216"/>
      <c r="K527" s="216"/>
      <c r="L527" s="216">
        <v>62</v>
      </c>
      <c r="M527" s="216"/>
      <c r="N527" s="216"/>
      <c r="O527" s="217"/>
      <c r="P527" s="217">
        <v>14</v>
      </c>
      <c r="Q527" s="217"/>
      <c r="R527" s="217"/>
      <c r="S527" s="218"/>
    </row>
    <row r="528" spans="1:19" ht="15" customHeight="1">
      <c r="A528" s="413">
        <f t="shared" si="8"/>
        <v>528</v>
      </c>
      <c r="B528" s="26">
        <v>104</v>
      </c>
      <c r="C528" s="153" t="s">
        <v>165</v>
      </c>
      <c r="D528" s="211" t="s">
        <v>180</v>
      </c>
      <c r="E528" s="212" t="s">
        <v>54</v>
      </c>
      <c r="F528" s="213" t="s">
        <v>177</v>
      </c>
      <c r="G528" s="214" t="s">
        <v>578</v>
      </c>
      <c r="H528" s="213" t="s">
        <v>19</v>
      </c>
      <c r="I528" s="215">
        <v>2.6</v>
      </c>
      <c r="J528" s="216">
        <v>2</v>
      </c>
      <c r="K528" s="216"/>
      <c r="L528" s="216">
        <v>11</v>
      </c>
      <c r="M528" s="216"/>
      <c r="N528" s="216"/>
      <c r="O528" s="217"/>
      <c r="P528" s="217"/>
      <c r="Q528" s="217">
        <v>2</v>
      </c>
      <c r="R528" s="217"/>
      <c r="S528" s="218"/>
    </row>
    <row r="529" spans="1:19" ht="15" customHeight="1">
      <c r="A529" s="413">
        <f t="shared" si="8"/>
        <v>529</v>
      </c>
      <c r="B529" s="26">
        <v>104</v>
      </c>
      <c r="C529" s="153" t="s">
        <v>165</v>
      </c>
      <c r="D529" s="211" t="s">
        <v>180</v>
      </c>
      <c r="E529" s="212" t="s">
        <v>54</v>
      </c>
      <c r="F529" s="213" t="s">
        <v>177</v>
      </c>
      <c r="G529" s="214" t="s">
        <v>579</v>
      </c>
      <c r="H529" s="213" t="s">
        <v>109</v>
      </c>
      <c r="I529" s="215">
        <v>11.700000000000001</v>
      </c>
      <c r="J529" s="216"/>
      <c r="K529" s="216">
        <v>29</v>
      </c>
      <c r="L529" s="216">
        <v>19</v>
      </c>
      <c r="M529" s="216"/>
      <c r="N529" s="216"/>
      <c r="O529" s="217"/>
      <c r="P529" s="217"/>
      <c r="Q529" s="217">
        <v>9</v>
      </c>
      <c r="R529" s="217"/>
      <c r="S529" s="218" t="s">
        <v>521</v>
      </c>
    </row>
    <row r="530" spans="1:19" ht="15" customHeight="1">
      <c r="A530" s="413">
        <f t="shared" si="8"/>
        <v>530</v>
      </c>
      <c r="B530" s="26">
        <v>104</v>
      </c>
      <c r="C530" s="153" t="s">
        <v>165</v>
      </c>
      <c r="D530" s="211" t="s">
        <v>180</v>
      </c>
      <c r="E530" s="212" t="s">
        <v>54</v>
      </c>
      <c r="F530" s="213" t="s">
        <v>177</v>
      </c>
      <c r="G530" s="214" t="s">
        <v>580</v>
      </c>
      <c r="H530" s="213" t="s">
        <v>44</v>
      </c>
      <c r="I530" s="215">
        <f>(4.05*(2.95+2.3)/2)*1.3</f>
        <v>13.820625</v>
      </c>
      <c r="J530" s="216"/>
      <c r="K530" s="216">
        <v>43</v>
      </c>
      <c r="L530" s="216"/>
      <c r="M530" s="216"/>
      <c r="N530" s="216"/>
      <c r="O530" s="217"/>
      <c r="P530" s="217"/>
      <c r="Q530" s="217">
        <v>11</v>
      </c>
      <c r="R530" s="217"/>
      <c r="S530" s="218"/>
    </row>
    <row r="531" spans="1:19" ht="15" customHeight="1">
      <c r="A531" s="413">
        <f t="shared" si="8"/>
        <v>531</v>
      </c>
      <c r="B531" s="26">
        <v>104</v>
      </c>
      <c r="C531" s="153" t="s">
        <v>165</v>
      </c>
      <c r="D531" s="211" t="s">
        <v>180</v>
      </c>
      <c r="E531" s="212" t="s">
        <v>54</v>
      </c>
      <c r="F531" s="213" t="s">
        <v>177</v>
      </c>
      <c r="G531" s="214" t="s">
        <v>581</v>
      </c>
      <c r="H531" s="213" t="s">
        <v>44</v>
      </c>
      <c r="I531" s="215">
        <f>(+(1.15+1.1+2.5)*(3.85+3.1)/2-0.85*1.1)*1.3</f>
        <v>20.242625</v>
      </c>
      <c r="J531" s="216"/>
      <c r="K531" s="216">
        <v>59</v>
      </c>
      <c r="L531" s="216"/>
      <c r="M531" s="216"/>
      <c r="N531" s="216"/>
      <c r="O531" s="217"/>
      <c r="P531" s="217"/>
      <c r="Q531" s="217">
        <v>16</v>
      </c>
      <c r="R531" s="217"/>
      <c r="S531" s="218"/>
    </row>
    <row r="532" spans="1:19" ht="15" customHeight="1">
      <c r="A532" s="413">
        <f t="shared" si="8"/>
        <v>532</v>
      </c>
      <c r="B532" s="26">
        <v>104</v>
      </c>
      <c r="C532" s="153" t="s">
        <v>165</v>
      </c>
      <c r="D532" s="211" t="s">
        <v>180</v>
      </c>
      <c r="E532" s="212" t="s">
        <v>54</v>
      </c>
      <c r="F532" s="213" t="s">
        <v>177</v>
      </c>
      <c r="G532" s="214" t="s">
        <v>582</v>
      </c>
      <c r="H532" s="213" t="s">
        <v>44</v>
      </c>
      <c r="I532" s="215">
        <f>(4.25*2.15)*1.3</f>
        <v>11.87875</v>
      </c>
      <c r="J532" s="216"/>
      <c r="K532" s="216">
        <v>45</v>
      </c>
      <c r="L532" s="216"/>
      <c r="M532" s="216"/>
      <c r="N532" s="216"/>
      <c r="O532" s="217"/>
      <c r="P532" s="217"/>
      <c r="Q532" s="217">
        <v>9</v>
      </c>
      <c r="R532" s="217"/>
      <c r="S532" s="218"/>
    </row>
    <row r="533" spans="1:19" ht="15" customHeight="1">
      <c r="A533" s="413">
        <f t="shared" si="8"/>
        <v>533</v>
      </c>
      <c r="B533" s="26">
        <v>104</v>
      </c>
      <c r="C533" s="153" t="s">
        <v>165</v>
      </c>
      <c r="D533" s="211" t="s">
        <v>180</v>
      </c>
      <c r="E533" s="212" t="s">
        <v>54</v>
      </c>
      <c r="F533" s="213" t="s">
        <v>583</v>
      </c>
      <c r="G533" s="214" t="s">
        <v>584</v>
      </c>
      <c r="H533" s="213" t="s">
        <v>176</v>
      </c>
      <c r="I533" s="215">
        <f>(3.9*6.05)*1.3</f>
        <v>30.673500000000001</v>
      </c>
      <c r="J533" s="216"/>
      <c r="K533" s="216">
        <v>59</v>
      </c>
      <c r="L533" s="216"/>
      <c r="M533" s="216"/>
      <c r="N533" s="216"/>
      <c r="O533" s="217"/>
      <c r="P533" s="217"/>
      <c r="Q533" s="217">
        <v>24</v>
      </c>
      <c r="R533" s="217"/>
      <c r="S533" s="218"/>
    </row>
    <row r="534" spans="1:19" ht="15" customHeight="1">
      <c r="A534" s="413">
        <f t="shared" si="8"/>
        <v>534</v>
      </c>
      <c r="B534" s="26">
        <v>104</v>
      </c>
      <c r="C534" s="153" t="s">
        <v>165</v>
      </c>
      <c r="D534" s="211" t="s">
        <v>180</v>
      </c>
      <c r="E534" s="212" t="s">
        <v>54</v>
      </c>
      <c r="F534" s="213" t="s">
        <v>178</v>
      </c>
      <c r="G534" s="214" t="s">
        <v>585</v>
      </c>
      <c r="H534" s="213" t="s">
        <v>176</v>
      </c>
      <c r="I534" s="215">
        <f>(4.05*15.75)*1.3</f>
        <v>82.923749999999998</v>
      </c>
      <c r="J534" s="216"/>
      <c r="K534" s="216">
        <v>129</v>
      </c>
      <c r="L534" s="216"/>
      <c r="M534" s="216"/>
      <c r="N534" s="216"/>
      <c r="O534" s="217"/>
      <c r="P534" s="217"/>
      <c r="Q534" s="217">
        <v>64</v>
      </c>
      <c r="R534" s="217"/>
      <c r="S534" s="218"/>
    </row>
    <row r="535" spans="1:19" ht="15" customHeight="1">
      <c r="A535" s="413">
        <f t="shared" si="8"/>
        <v>535</v>
      </c>
      <c r="B535" s="26">
        <v>104</v>
      </c>
      <c r="C535" s="153" t="s">
        <v>165</v>
      </c>
      <c r="D535" s="211" t="s">
        <v>180</v>
      </c>
      <c r="E535" s="212" t="s">
        <v>54</v>
      </c>
      <c r="F535" s="213" t="s">
        <v>586</v>
      </c>
      <c r="G535" s="214" t="s">
        <v>587</v>
      </c>
      <c r="H535" s="213" t="s">
        <v>19</v>
      </c>
      <c r="I535" s="215">
        <v>14.3</v>
      </c>
      <c r="J535" s="216"/>
      <c r="K535" s="216"/>
      <c r="L535" s="216">
        <f>8*4.3</f>
        <v>34.4</v>
      </c>
      <c r="M535" s="216"/>
      <c r="N535" s="216"/>
      <c r="O535" s="217"/>
      <c r="P535" s="217">
        <v>11</v>
      </c>
      <c r="Q535" s="217"/>
      <c r="R535" s="217"/>
      <c r="S535" s="218"/>
    </row>
    <row r="536" spans="1:19" ht="15" customHeight="1">
      <c r="A536" s="413">
        <f t="shared" si="8"/>
        <v>536</v>
      </c>
      <c r="B536" s="26">
        <v>104</v>
      </c>
      <c r="C536" s="153" t="s">
        <v>165</v>
      </c>
      <c r="D536" s="211" t="s">
        <v>180</v>
      </c>
      <c r="E536" s="212" t="s">
        <v>54</v>
      </c>
      <c r="F536" s="213" t="s">
        <v>588</v>
      </c>
      <c r="G536" s="214" t="s">
        <v>589</v>
      </c>
      <c r="H536" s="213" t="s">
        <v>19</v>
      </c>
      <c r="I536" s="215">
        <v>13</v>
      </c>
      <c r="J536" s="216"/>
      <c r="K536" s="216"/>
      <c r="L536" s="216">
        <f>4*4.3</f>
        <v>17.2</v>
      </c>
      <c r="M536" s="216"/>
      <c r="N536" s="216"/>
      <c r="O536" s="217"/>
      <c r="P536" s="217">
        <v>10</v>
      </c>
      <c r="Q536" s="217"/>
      <c r="R536" s="217"/>
      <c r="S536" s="218"/>
    </row>
    <row r="537" spans="1:19" ht="15" customHeight="1">
      <c r="A537" s="413">
        <f t="shared" si="8"/>
        <v>537</v>
      </c>
      <c r="B537" s="26">
        <v>104</v>
      </c>
      <c r="C537" s="153" t="s">
        <v>165</v>
      </c>
      <c r="D537" s="211" t="s">
        <v>180</v>
      </c>
      <c r="E537" s="212" t="s">
        <v>54</v>
      </c>
      <c r="F537" s="213" t="s">
        <v>590</v>
      </c>
      <c r="G537" s="214" t="s">
        <v>591</v>
      </c>
      <c r="H537" s="213" t="s">
        <v>19</v>
      </c>
      <c r="I537" s="215">
        <v>11.700000000000001</v>
      </c>
      <c r="J537" s="216"/>
      <c r="K537" s="216"/>
      <c r="L537" s="216">
        <f>4*4.3</f>
        <v>17.2</v>
      </c>
      <c r="M537" s="216"/>
      <c r="N537" s="216"/>
      <c r="O537" s="217"/>
      <c r="P537" s="217">
        <v>9</v>
      </c>
      <c r="Q537" s="217"/>
      <c r="R537" s="217"/>
      <c r="S537" s="218"/>
    </row>
    <row r="538" spans="1:19" ht="15" customHeight="1">
      <c r="A538" s="413">
        <f t="shared" si="8"/>
        <v>538</v>
      </c>
      <c r="B538" s="26">
        <v>104</v>
      </c>
      <c r="C538" s="153" t="s">
        <v>165</v>
      </c>
      <c r="D538" s="211" t="s">
        <v>180</v>
      </c>
      <c r="E538" s="212" t="s">
        <v>54</v>
      </c>
      <c r="F538" s="213" t="s">
        <v>592</v>
      </c>
      <c r="G538" s="214" t="s">
        <v>593</v>
      </c>
      <c r="H538" s="213" t="s">
        <v>176</v>
      </c>
      <c r="I538" s="215">
        <f>(3.2*6)*1.3</f>
        <v>24.960000000000004</v>
      </c>
      <c r="J538" s="216"/>
      <c r="K538" s="216">
        <v>79</v>
      </c>
      <c r="L538" s="216"/>
      <c r="M538" s="216"/>
      <c r="N538" s="216"/>
      <c r="O538" s="217"/>
      <c r="P538" s="217">
        <v>19</v>
      </c>
      <c r="Q538" s="217"/>
      <c r="R538" s="217"/>
      <c r="S538" s="218"/>
    </row>
    <row r="539" spans="1:19" ht="15" customHeight="1">
      <c r="A539" s="413">
        <f t="shared" si="8"/>
        <v>539</v>
      </c>
      <c r="B539" s="26">
        <v>104</v>
      </c>
      <c r="C539" s="153" t="s">
        <v>165</v>
      </c>
      <c r="D539" s="211" t="s">
        <v>180</v>
      </c>
      <c r="E539" s="212" t="s">
        <v>54</v>
      </c>
      <c r="F539" s="213" t="s">
        <v>594</v>
      </c>
      <c r="G539" s="214" t="s">
        <v>595</v>
      </c>
      <c r="H539" s="213" t="s">
        <v>19</v>
      </c>
      <c r="I539" s="215">
        <f>(2.9*3)*1.3</f>
        <v>11.309999999999999</v>
      </c>
      <c r="J539" s="216"/>
      <c r="K539" s="216">
        <v>51</v>
      </c>
      <c r="L539" s="216"/>
      <c r="M539" s="216"/>
      <c r="N539" s="216"/>
      <c r="O539" s="217"/>
      <c r="P539" s="217">
        <v>9</v>
      </c>
      <c r="Q539" s="217"/>
      <c r="R539" s="217"/>
      <c r="S539" s="218"/>
    </row>
    <row r="540" spans="1:19" ht="15" customHeight="1">
      <c r="A540" s="413">
        <f t="shared" si="8"/>
        <v>540</v>
      </c>
      <c r="B540" s="26">
        <v>104</v>
      </c>
      <c r="C540" s="153" t="s">
        <v>165</v>
      </c>
      <c r="D540" s="211" t="s">
        <v>180</v>
      </c>
      <c r="E540" s="212" t="s">
        <v>54</v>
      </c>
      <c r="F540" s="213" t="s">
        <v>439</v>
      </c>
      <c r="G540" s="214" t="s">
        <v>596</v>
      </c>
      <c r="H540" s="213" t="s">
        <v>176</v>
      </c>
      <c r="I540" s="215">
        <v>10.4</v>
      </c>
      <c r="J540" s="216"/>
      <c r="K540" s="216">
        <v>46</v>
      </c>
      <c r="L540" s="216"/>
      <c r="M540" s="216"/>
      <c r="N540" s="216"/>
      <c r="O540" s="217"/>
      <c r="P540" s="217"/>
      <c r="Q540" s="217">
        <v>8</v>
      </c>
      <c r="R540" s="217"/>
      <c r="S540" s="218"/>
    </row>
    <row r="541" spans="1:19" ht="15" customHeight="1">
      <c r="A541" s="413">
        <f t="shared" si="8"/>
        <v>541</v>
      </c>
      <c r="B541" s="26">
        <v>104</v>
      </c>
      <c r="C541" s="153" t="s">
        <v>165</v>
      </c>
      <c r="D541" s="211" t="s">
        <v>180</v>
      </c>
      <c r="E541" s="212" t="s">
        <v>54</v>
      </c>
      <c r="F541" s="213" t="s">
        <v>597</v>
      </c>
      <c r="G541" s="214" t="s">
        <v>598</v>
      </c>
      <c r="H541" s="213" t="s">
        <v>19</v>
      </c>
      <c r="I541" s="215">
        <f>(2.8*3.8+1.5)*1.3</f>
        <v>15.781999999999998</v>
      </c>
      <c r="J541" s="216"/>
      <c r="K541" s="216"/>
      <c r="L541" s="216">
        <v>65</v>
      </c>
      <c r="M541" s="216"/>
      <c r="N541" s="216"/>
      <c r="O541" s="217"/>
      <c r="P541" s="217"/>
      <c r="Q541" s="217">
        <v>12</v>
      </c>
      <c r="R541" s="217"/>
      <c r="S541" s="218" t="s">
        <v>521</v>
      </c>
    </row>
    <row r="542" spans="1:19" ht="15" customHeight="1">
      <c r="A542" s="413">
        <f t="shared" si="8"/>
        <v>542</v>
      </c>
      <c r="B542" s="26">
        <v>104</v>
      </c>
      <c r="C542" s="153" t="s">
        <v>165</v>
      </c>
      <c r="D542" s="211" t="s">
        <v>180</v>
      </c>
      <c r="E542" s="212" t="s">
        <v>54</v>
      </c>
      <c r="F542" s="213" t="s">
        <v>461</v>
      </c>
      <c r="G542" s="214" t="s">
        <v>599</v>
      </c>
      <c r="H542" s="213" t="s">
        <v>176</v>
      </c>
      <c r="I542" s="215">
        <f>(3.8*3.5)*1.3</f>
        <v>17.29</v>
      </c>
      <c r="J542" s="216"/>
      <c r="K542" s="216"/>
      <c r="L542" s="216">
        <v>47</v>
      </c>
      <c r="M542" s="216"/>
      <c r="N542" s="216"/>
      <c r="O542" s="217"/>
      <c r="P542" s="217"/>
      <c r="Q542" s="217">
        <v>13</v>
      </c>
      <c r="R542" s="217"/>
      <c r="S542" s="218"/>
    </row>
    <row r="543" spans="1:19" ht="15" customHeight="1">
      <c r="A543" s="413">
        <f t="shared" si="8"/>
        <v>543</v>
      </c>
      <c r="B543" s="26">
        <v>104</v>
      </c>
      <c r="C543" s="153" t="s">
        <v>165</v>
      </c>
      <c r="D543" s="211" t="s">
        <v>180</v>
      </c>
      <c r="E543" s="212" t="s">
        <v>54</v>
      </c>
      <c r="F543" s="213" t="s">
        <v>461</v>
      </c>
      <c r="G543" s="214" t="s">
        <v>600</v>
      </c>
      <c r="H543" s="213" t="s">
        <v>19</v>
      </c>
      <c r="I543" s="215">
        <f>(5.2*2.25-0.5*3.3*1.15)*1.3</f>
        <v>12.743250000000003</v>
      </c>
      <c r="J543" s="216"/>
      <c r="K543" s="216"/>
      <c r="L543" s="216">
        <v>60</v>
      </c>
      <c r="M543" s="216"/>
      <c r="N543" s="216"/>
      <c r="O543" s="217"/>
      <c r="P543" s="217">
        <v>10</v>
      </c>
      <c r="Q543" s="217"/>
      <c r="R543" s="217"/>
      <c r="S543" s="218"/>
    </row>
    <row r="544" spans="1:19" ht="15" customHeight="1">
      <c r="A544" s="413">
        <f t="shared" si="8"/>
        <v>544</v>
      </c>
      <c r="B544" s="26">
        <v>104</v>
      </c>
      <c r="C544" s="153" t="s">
        <v>165</v>
      </c>
      <c r="D544" s="211" t="s">
        <v>180</v>
      </c>
      <c r="E544" s="212" t="s">
        <v>54</v>
      </c>
      <c r="F544" s="213" t="s">
        <v>168</v>
      </c>
      <c r="G544" s="214" t="s">
        <v>601</v>
      </c>
      <c r="H544" s="213" t="s">
        <v>607</v>
      </c>
      <c r="I544" s="215">
        <f>(6.2*9.65+(3.8*5.5-0.55*1))*1.3</f>
        <v>104.23400000000001</v>
      </c>
      <c r="J544" s="216"/>
      <c r="K544" s="216">
        <v>100</v>
      </c>
      <c r="L544" s="216"/>
      <c r="M544" s="216"/>
      <c r="N544" s="216"/>
      <c r="O544" s="217"/>
      <c r="P544" s="217"/>
      <c r="Q544" s="217">
        <v>60</v>
      </c>
      <c r="R544" s="217"/>
      <c r="S544" s="218" t="s">
        <v>620</v>
      </c>
    </row>
    <row r="545" spans="1:19" ht="15" customHeight="1">
      <c r="A545" s="413">
        <f t="shared" si="8"/>
        <v>545</v>
      </c>
      <c r="B545" s="26">
        <v>104</v>
      </c>
      <c r="C545" s="153" t="s">
        <v>165</v>
      </c>
      <c r="D545" s="211" t="s">
        <v>180</v>
      </c>
      <c r="E545" s="212" t="s">
        <v>54</v>
      </c>
      <c r="F545" s="213" t="s">
        <v>168</v>
      </c>
      <c r="G545" s="214" t="s">
        <v>602</v>
      </c>
      <c r="H545" s="213" t="s">
        <v>607</v>
      </c>
      <c r="I545" s="215">
        <f>(3.4*4.6+6.2*9.65)*1.3</f>
        <v>98.111000000000004</v>
      </c>
      <c r="J545" s="216"/>
      <c r="K545" s="216">
        <v>110</v>
      </c>
      <c r="L545" s="216"/>
      <c r="M545" s="216"/>
      <c r="N545" s="216"/>
      <c r="O545" s="217"/>
      <c r="P545" s="217"/>
      <c r="Q545" s="217">
        <v>57</v>
      </c>
      <c r="R545" s="217"/>
      <c r="S545" s="218"/>
    </row>
    <row r="546" spans="1:19" ht="15" customHeight="1">
      <c r="A546" s="413">
        <f t="shared" si="8"/>
        <v>546</v>
      </c>
      <c r="B546" s="26">
        <v>104</v>
      </c>
      <c r="C546" s="153" t="s">
        <v>165</v>
      </c>
      <c r="D546" s="211" t="s">
        <v>180</v>
      </c>
      <c r="E546" s="212" t="s">
        <v>54</v>
      </c>
      <c r="F546" s="213" t="s">
        <v>488</v>
      </c>
      <c r="G546" s="214" t="s">
        <v>604</v>
      </c>
      <c r="H546" s="213" t="s">
        <v>19</v>
      </c>
      <c r="I546" s="215">
        <v>9.1</v>
      </c>
      <c r="J546" s="216"/>
      <c r="K546" s="216"/>
      <c r="L546" s="216">
        <v>24</v>
      </c>
      <c r="M546" s="216"/>
      <c r="N546" s="216"/>
      <c r="O546" s="217"/>
      <c r="P546" s="217"/>
      <c r="Q546" s="217"/>
      <c r="R546" s="217"/>
      <c r="S546" s="218"/>
    </row>
    <row r="547" spans="1:19" ht="15" customHeight="1">
      <c r="A547" s="413">
        <f t="shared" si="8"/>
        <v>547</v>
      </c>
      <c r="B547" s="26">
        <v>104</v>
      </c>
      <c r="C547" s="153" t="s">
        <v>165</v>
      </c>
      <c r="D547" s="211" t="s">
        <v>180</v>
      </c>
      <c r="E547" s="212" t="s">
        <v>54</v>
      </c>
      <c r="F547" s="213" t="s">
        <v>488</v>
      </c>
      <c r="G547" s="214" t="s">
        <v>606</v>
      </c>
      <c r="H547" s="213" t="s">
        <v>19</v>
      </c>
      <c r="I547" s="215">
        <v>9.1</v>
      </c>
      <c r="J547" s="216"/>
      <c r="K547" s="216"/>
      <c r="L547" s="216">
        <v>24</v>
      </c>
      <c r="M547" s="216"/>
      <c r="N547" s="216"/>
      <c r="O547" s="217"/>
      <c r="P547" s="217"/>
      <c r="Q547" s="217"/>
      <c r="R547" s="217"/>
      <c r="S547" s="218"/>
    </row>
    <row r="548" spans="1:19" ht="15" customHeight="1">
      <c r="A548" s="413">
        <f t="shared" si="8"/>
        <v>548</v>
      </c>
      <c r="B548" s="26">
        <v>104</v>
      </c>
      <c r="C548" s="153" t="s">
        <v>165</v>
      </c>
      <c r="D548" s="211" t="s">
        <v>180</v>
      </c>
      <c r="E548" s="212" t="s">
        <v>621</v>
      </c>
      <c r="F548" s="213" t="s">
        <v>622</v>
      </c>
      <c r="G548" s="214" t="s">
        <v>386</v>
      </c>
      <c r="H548" s="213" t="s">
        <v>298</v>
      </c>
      <c r="I548" s="215">
        <v>0</v>
      </c>
      <c r="J548" s="216"/>
      <c r="K548" s="216"/>
      <c r="L548" s="216"/>
      <c r="M548" s="216"/>
      <c r="N548" s="216"/>
      <c r="O548" s="217"/>
      <c r="P548" s="217"/>
      <c r="Q548" s="217"/>
      <c r="R548" s="217"/>
      <c r="S548" s="218" t="s">
        <v>613</v>
      </c>
    </row>
    <row r="549" spans="1:19" ht="15" customHeight="1">
      <c r="A549" s="413">
        <f t="shared" si="8"/>
        <v>549</v>
      </c>
      <c r="B549" s="26">
        <v>104</v>
      </c>
      <c r="C549" s="153" t="s">
        <v>165</v>
      </c>
      <c r="D549" s="211" t="s">
        <v>180</v>
      </c>
      <c r="E549" s="212" t="s">
        <v>621</v>
      </c>
      <c r="F549" s="213" t="s">
        <v>623</v>
      </c>
      <c r="G549" s="214" t="s">
        <v>388</v>
      </c>
      <c r="H549" s="213" t="s">
        <v>298</v>
      </c>
      <c r="I549" s="215">
        <v>0</v>
      </c>
      <c r="J549" s="216"/>
      <c r="K549" s="216"/>
      <c r="L549" s="216"/>
      <c r="M549" s="216"/>
      <c r="N549" s="216"/>
      <c r="O549" s="217"/>
      <c r="P549" s="217"/>
      <c r="Q549" s="217"/>
      <c r="R549" s="217"/>
      <c r="S549" s="218" t="s">
        <v>613</v>
      </c>
    </row>
    <row r="550" spans="1:19" ht="15" customHeight="1">
      <c r="A550" s="413">
        <f t="shared" si="8"/>
        <v>550</v>
      </c>
      <c r="B550" s="26">
        <v>104</v>
      </c>
      <c r="C550" s="153" t="s">
        <v>165</v>
      </c>
      <c r="D550" s="211" t="s">
        <v>180</v>
      </c>
      <c r="E550" s="212" t="s">
        <v>621</v>
      </c>
      <c r="F550" s="213" t="s">
        <v>175</v>
      </c>
      <c r="G550" s="214" t="s">
        <v>624</v>
      </c>
      <c r="H550" s="213" t="s">
        <v>19</v>
      </c>
      <c r="I550" s="215">
        <v>6.5</v>
      </c>
      <c r="J550" s="216"/>
      <c r="K550" s="216"/>
      <c r="L550" s="216">
        <v>55</v>
      </c>
      <c r="M550" s="216"/>
      <c r="N550" s="216"/>
      <c r="O550" s="217"/>
      <c r="P550" s="217"/>
      <c r="Q550" s="217">
        <v>12</v>
      </c>
      <c r="R550" s="217"/>
      <c r="S550" s="218"/>
    </row>
    <row r="551" spans="1:19" ht="15" customHeight="1">
      <c r="A551" s="413">
        <f t="shared" si="8"/>
        <v>551</v>
      </c>
      <c r="B551" s="26">
        <v>104</v>
      </c>
      <c r="C551" s="153" t="s">
        <v>165</v>
      </c>
      <c r="D551" s="211" t="s">
        <v>180</v>
      </c>
      <c r="E551" s="212" t="s">
        <v>621</v>
      </c>
      <c r="F551" s="213" t="s">
        <v>625</v>
      </c>
      <c r="G551" s="214" t="s">
        <v>626</v>
      </c>
      <c r="H551" s="213" t="s">
        <v>166</v>
      </c>
      <c r="I551" s="215">
        <v>11.700000000000001</v>
      </c>
      <c r="J551" s="216"/>
      <c r="K551" s="216"/>
      <c r="L551" s="216"/>
      <c r="M551" s="216"/>
      <c r="N551" s="216"/>
      <c r="O551" s="217"/>
      <c r="P551" s="217"/>
      <c r="Q551" s="217"/>
      <c r="R551" s="217"/>
      <c r="S551" s="218"/>
    </row>
    <row r="552" spans="1:19" ht="15" customHeight="1">
      <c r="A552" s="413">
        <f t="shared" si="8"/>
        <v>552</v>
      </c>
      <c r="B552" s="26">
        <v>104</v>
      </c>
      <c r="C552" s="153" t="s">
        <v>165</v>
      </c>
      <c r="D552" s="211" t="s">
        <v>180</v>
      </c>
      <c r="E552" s="212" t="s">
        <v>621</v>
      </c>
      <c r="F552" s="213" t="s">
        <v>627</v>
      </c>
      <c r="G552" s="214" t="s">
        <v>628</v>
      </c>
      <c r="H552" s="213" t="s">
        <v>19</v>
      </c>
      <c r="I552" s="215">
        <v>94</v>
      </c>
      <c r="J552" s="216"/>
      <c r="K552" s="216"/>
      <c r="L552" s="216">
        <v>330</v>
      </c>
      <c r="M552" s="216"/>
      <c r="N552" s="216"/>
      <c r="O552" s="217"/>
      <c r="P552" s="217">
        <v>94</v>
      </c>
      <c r="Q552" s="217"/>
      <c r="R552" s="217"/>
      <c r="S552" s="218"/>
    </row>
    <row r="553" spans="1:19" ht="15" customHeight="1">
      <c r="A553" s="413">
        <f t="shared" si="8"/>
        <v>553</v>
      </c>
      <c r="B553" s="26">
        <v>104</v>
      </c>
      <c r="C553" s="153" t="s">
        <v>165</v>
      </c>
      <c r="D553" s="211" t="s">
        <v>180</v>
      </c>
      <c r="E553" s="212" t="s">
        <v>621</v>
      </c>
      <c r="F553" s="213" t="s">
        <v>627</v>
      </c>
      <c r="G553" s="214" t="s">
        <v>629</v>
      </c>
      <c r="H553" s="213" t="s">
        <v>19</v>
      </c>
      <c r="I553" s="215">
        <v>9</v>
      </c>
      <c r="J553" s="216"/>
      <c r="K553" s="216"/>
      <c r="L553" s="216">
        <v>32</v>
      </c>
      <c r="M553" s="216"/>
      <c r="N553" s="216"/>
      <c r="O553" s="217"/>
      <c r="P553" s="217">
        <v>9</v>
      </c>
      <c r="Q553" s="217"/>
      <c r="R553" s="217"/>
      <c r="S553" s="218"/>
    </row>
    <row r="554" spans="1:19" ht="15" customHeight="1">
      <c r="A554" s="413">
        <f t="shared" si="8"/>
        <v>554</v>
      </c>
      <c r="B554" s="26">
        <v>104</v>
      </c>
      <c r="C554" s="153" t="s">
        <v>165</v>
      </c>
      <c r="D554" s="211" t="s">
        <v>180</v>
      </c>
      <c r="E554" s="212" t="s">
        <v>621</v>
      </c>
      <c r="F554" s="213" t="s">
        <v>630</v>
      </c>
      <c r="G554" s="214" t="s">
        <v>631</v>
      </c>
      <c r="H554" s="213" t="s">
        <v>19</v>
      </c>
      <c r="I554" s="215">
        <v>237</v>
      </c>
      <c r="J554" s="216"/>
      <c r="K554" s="216"/>
      <c r="L554" s="216">
        <v>355</v>
      </c>
      <c r="M554" s="216"/>
      <c r="N554" s="216"/>
      <c r="O554" s="217"/>
      <c r="P554" s="217">
        <v>237</v>
      </c>
      <c r="Q554" s="217"/>
      <c r="R554" s="217"/>
      <c r="S554" s="218"/>
    </row>
    <row r="555" spans="1:19" ht="15" customHeight="1">
      <c r="A555" s="413">
        <f t="shared" si="8"/>
        <v>555</v>
      </c>
      <c r="B555" s="26">
        <v>104</v>
      </c>
      <c r="C555" s="153" t="s">
        <v>165</v>
      </c>
      <c r="D555" s="211" t="s">
        <v>180</v>
      </c>
      <c r="E555" s="212" t="s">
        <v>621</v>
      </c>
      <c r="F555" s="213" t="s">
        <v>559</v>
      </c>
      <c r="G555" s="214" t="s">
        <v>632</v>
      </c>
      <c r="H555" s="213" t="s">
        <v>166</v>
      </c>
      <c r="I555" s="215">
        <v>0</v>
      </c>
      <c r="J555" s="216"/>
      <c r="K555" s="216"/>
      <c r="L555" s="216"/>
      <c r="M555" s="216"/>
      <c r="N555" s="216"/>
      <c r="O555" s="217"/>
      <c r="P555" s="217"/>
      <c r="Q555" s="217"/>
      <c r="R555" s="217"/>
      <c r="S555" s="218" t="s">
        <v>668</v>
      </c>
    </row>
    <row r="556" spans="1:19" ht="15" customHeight="1">
      <c r="A556" s="413">
        <f t="shared" si="8"/>
        <v>556</v>
      </c>
      <c r="B556" s="26">
        <v>104</v>
      </c>
      <c r="C556" s="153" t="s">
        <v>165</v>
      </c>
      <c r="D556" s="211" t="s">
        <v>180</v>
      </c>
      <c r="E556" s="212" t="s">
        <v>621</v>
      </c>
      <c r="F556" s="213" t="s">
        <v>175</v>
      </c>
      <c r="G556" s="214" t="s">
        <v>633</v>
      </c>
      <c r="H556" s="213" t="s">
        <v>19</v>
      </c>
      <c r="I556" s="215">
        <v>15.600000000000001</v>
      </c>
      <c r="J556" s="216"/>
      <c r="K556" s="216"/>
      <c r="L556" s="216">
        <v>9</v>
      </c>
      <c r="M556" s="216"/>
      <c r="N556" s="216"/>
      <c r="O556" s="217"/>
      <c r="P556" s="217">
        <v>10</v>
      </c>
      <c r="Q556" s="217"/>
      <c r="R556" s="217"/>
      <c r="S556" s="218"/>
    </row>
    <row r="557" spans="1:19" ht="15" customHeight="1">
      <c r="A557" s="413">
        <f t="shared" si="8"/>
        <v>557</v>
      </c>
      <c r="B557" s="26">
        <v>104</v>
      </c>
      <c r="C557" s="153" t="s">
        <v>165</v>
      </c>
      <c r="D557" s="211" t="s">
        <v>180</v>
      </c>
      <c r="E557" s="212" t="s">
        <v>621</v>
      </c>
      <c r="F557" s="213" t="s">
        <v>634</v>
      </c>
      <c r="G557" s="214" t="s">
        <v>635</v>
      </c>
      <c r="H557" s="213" t="s">
        <v>166</v>
      </c>
      <c r="I557" s="215">
        <v>15.600000000000001</v>
      </c>
      <c r="J557" s="216"/>
      <c r="K557" s="216"/>
      <c r="L557" s="216"/>
      <c r="M557" s="216"/>
      <c r="N557" s="216"/>
      <c r="O557" s="217"/>
      <c r="P557" s="217"/>
      <c r="Q557" s="217"/>
      <c r="R557" s="217"/>
      <c r="S557" s="218"/>
    </row>
    <row r="558" spans="1:19" ht="15" customHeight="1">
      <c r="A558" s="413">
        <f t="shared" si="8"/>
        <v>558</v>
      </c>
      <c r="B558" s="26">
        <v>104</v>
      </c>
      <c r="C558" s="153" t="s">
        <v>165</v>
      </c>
      <c r="D558" s="211" t="s">
        <v>180</v>
      </c>
      <c r="E558" s="212" t="s">
        <v>621</v>
      </c>
      <c r="F558" s="213" t="s">
        <v>627</v>
      </c>
      <c r="G558" s="214" t="s">
        <v>636</v>
      </c>
      <c r="H558" s="213" t="s">
        <v>19</v>
      </c>
      <c r="I558" s="215">
        <v>11</v>
      </c>
      <c r="J558" s="216"/>
      <c r="K558" s="216"/>
      <c r="L558" s="216">
        <v>15</v>
      </c>
      <c r="M558" s="216"/>
      <c r="N558" s="216"/>
      <c r="O558" s="217"/>
      <c r="P558" s="217"/>
      <c r="Q558" s="217"/>
      <c r="R558" s="217"/>
      <c r="S558" s="218"/>
    </row>
    <row r="559" spans="1:19" ht="15" customHeight="1">
      <c r="A559" s="413">
        <f t="shared" si="8"/>
        <v>559</v>
      </c>
      <c r="B559" s="26">
        <v>104</v>
      </c>
      <c r="C559" s="153" t="s">
        <v>165</v>
      </c>
      <c r="D559" s="211" t="s">
        <v>180</v>
      </c>
      <c r="E559" s="212" t="s">
        <v>621</v>
      </c>
      <c r="F559" s="213" t="s">
        <v>627</v>
      </c>
      <c r="G559" s="214" t="s">
        <v>637</v>
      </c>
      <c r="H559" s="213" t="s">
        <v>19</v>
      </c>
      <c r="I559" s="215">
        <v>115</v>
      </c>
      <c r="J559" s="216"/>
      <c r="K559" s="216"/>
      <c r="L559" s="216">
        <v>368</v>
      </c>
      <c r="M559" s="216"/>
      <c r="N559" s="216"/>
      <c r="O559" s="217"/>
      <c r="P559" s="217">
        <v>115</v>
      </c>
      <c r="Q559" s="217"/>
      <c r="R559" s="217"/>
      <c r="S559" s="218"/>
    </row>
    <row r="560" spans="1:19" ht="15" customHeight="1">
      <c r="A560" s="413">
        <f t="shared" si="8"/>
        <v>560</v>
      </c>
      <c r="B560" s="26">
        <v>104</v>
      </c>
      <c r="C560" s="153" t="s">
        <v>165</v>
      </c>
      <c r="D560" s="211" t="s">
        <v>180</v>
      </c>
      <c r="E560" s="212" t="s">
        <v>621</v>
      </c>
      <c r="F560" s="213" t="s">
        <v>546</v>
      </c>
      <c r="G560" s="214" t="s">
        <v>638</v>
      </c>
      <c r="H560" s="213" t="s">
        <v>166</v>
      </c>
      <c r="I560" s="215">
        <v>2.6</v>
      </c>
      <c r="J560" s="216"/>
      <c r="K560" s="216"/>
      <c r="L560" s="216"/>
      <c r="M560" s="216"/>
      <c r="N560" s="216"/>
      <c r="O560" s="217"/>
      <c r="P560" s="217"/>
      <c r="Q560" s="217"/>
      <c r="R560" s="217"/>
      <c r="S560" s="218"/>
    </row>
    <row r="561" spans="1:19" ht="15" customHeight="1">
      <c r="A561" s="413">
        <f t="shared" si="8"/>
        <v>561</v>
      </c>
      <c r="B561" s="26">
        <v>104</v>
      </c>
      <c r="C561" s="153" t="s">
        <v>165</v>
      </c>
      <c r="D561" s="211" t="s">
        <v>180</v>
      </c>
      <c r="E561" s="212" t="s">
        <v>621</v>
      </c>
      <c r="F561" s="213" t="s">
        <v>175</v>
      </c>
      <c r="G561" s="214" t="s">
        <v>639</v>
      </c>
      <c r="H561" s="213" t="s">
        <v>19</v>
      </c>
      <c r="I561" s="215">
        <v>3.9000000000000004</v>
      </c>
      <c r="J561" s="216"/>
      <c r="K561" s="216"/>
      <c r="L561" s="216">
        <v>10</v>
      </c>
      <c r="M561" s="216"/>
      <c r="N561" s="216"/>
      <c r="O561" s="217"/>
      <c r="P561" s="217">
        <v>3</v>
      </c>
      <c r="Q561" s="217"/>
      <c r="R561" s="217"/>
      <c r="S561" s="218"/>
    </row>
    <row r="562" spans="1:19" ht="15" customHeight="1">
      <c r="A562" s="413">
        <f t="shared" si="8"/>
        <v>562</v>
      </c>
      <c r="B562" s="26">
        <v>104</v>
      </c>
      <c r="C562" s="153" t="s">
        <v>165</v>
      </c>
      <c r="D562" s="211" t="s">
        <v>180</v>
      </c>
      <c r="E562" s="212" t="s">
        <v>621</v>
      </c>
      <c r="F562" s="213" t="s">
        <v>634</v>
      </c>
      <c r="G562" s="214" t="s">
        <v>640</v>
      </c>
      <c r="H562" s="213" t="s">
        <v>166</v>
      </c>
      <c r="I562" s="215">
        <v>9.1</v>
      </c>
      <c r="J562" s="216"/>
      <c r="K562" s="216"/>
      <c r="L562" s="216"/>
      <c r="M562" s="216"/>
      <c r="N562" s="216"/>
      <c r="O562" s="217"/>
      <c r="P562" s="217"/>
      <c r="Q562" s="217"/>
      <c r="R562" s="217"/>
      <c r="S562" s="218"/>
    </row>
    <row r="563" spans="1:19" ht="15" customHeight="1">
      <c r="A563" s="413">
        <f t="shared" si="8"/>
        <v>563</v>
      </c>
      <c r="B563" s="26">
        <v>104</v>
      </c>
      <c r="C563" s="153" t="s">
        <v>165</v>
      </c>
      <c r="D563" s="211" t="s">
        <v>180</v>
      </c>
      <c r="E563" s="212" t="s">
        <v>621</v>
      </c>
      <c r="F563" s="213" t="s">
        <v>627</v>
      </c>
      <c r="G563" s="214" t="s">
        <v>641</v>
      </c>
      <c r="H563" s="213" t="s">
        <v>19</v>
      </c>
      <c r="I563" s="215">
        <v>68.900000000000006</v>
      </c>
      <c r="J563" s="216"/>
      <c r="K563" s="216"/>
      <c r="L563" s="216"/>
      <c r="M563" s="216"/>
      <c r="N563" s="216"/>
      <c r="O563" s="217"/>
      <c r="P563" s="217"/>
      <c r="Q563" s="217"/>
      <c r="R563" s="217"/>
      <c r="S563" s="218" t="s">
        <v>1321</v>
      </c>
    </row>
    <row r="564" spans="1:19" ht="15" customHeight="1">
      <c r="A564" s="413">
        <f t="shared" si="8"/>
        <v>564</v>
      </c>
      <c r="B564" s="26">
        <v>104</v>
      </c>
      <c r="C564" s="153" t="s">
        <v>165</v>
      </c>
      <c r="D564" s="211" t="s">
        <v>180</v>
      </c>
      <c r="E564" s="212" t="s">
        <v>621</v>
      </c>
      <c r="F564" s="213" t="s">
        <v>627</v>
      </c>
      <c r="G564" s="214" t="s">
        <v>642</v>
      </c>
      <c r="H564" s="213" t="s">
        <v>19</v>
      </c>
      <c r="I564" s="215">
        <v>55.9</v>
      </c>
      <c r="J564" s="216"/>
      <c r="K564" s="216"/>
      <c r="L564" s="216"/>
      <c r="M564" s="216"/>
      <c r="N564" s="216"/>
      <c r="O564" s="217"/>
      <c r="P564" s="217"/>
      <c r="Q564" s="217"/>
      <c r="R564" s="217"/>
      <c r="S564" s="218" t="s">
        <v>1321</v>
      </c>
    </row>
    <row r="565" spans="1:19" ht="15" customHeight="1">
      <c r="A565" s="413">
        <f t="shared" si="8"/>
        <v>565</v>
      </c>
      <c r="B565" s="26">
        <v>104</v>
      </c>
      <c r="C565" s="153" t="s">
        <v>165</v>
      </c>
      <c r="D565" s="211" t="s">
        <v>180</v>
      </c>
      <c r="E565" s="212" t="s">
        <v>621</v>
      </c>
      <c r="F565" s="213" t="s">
        <v>177</v>
      </c>
      <c r="G565" s="214" t="s">
        <v>643</v>
      </c>
      <c r="H565" s="213" t="s">
        <v>19</v>
      </c>
      <c r="I565" s="215">
        <v>0</v>
      </c>
      <c r="J565" s="216"/>
      <c r="K565" s="216"/>
      <c r="L565" s="216"/>
      <c r="M565" s="216"/>
      <c r="N565" s="216"/>
      <c r="O565" s="217"/>
      <c r="P565" s="217"/>
      <c r="Q565" s="217"/>
      <c r="R565" s="217"/>
      <c r="S565" s="218" t="s">
        <v>1337</v>
      </c>
    </row>
    <row r="566" spans="1:19" ht="15" customHeight="1">
      <c r="A566" s="413">
        <f t="shared" si="8"/>
        <v>566</v>
      </c>
      <c r="B566" s="26">
        <v>104</v>
      </c>
      <c r="C566" s="153" t="s">
        <v>165</v>
      </c>
      <c r="D566" s="211" t="s">
        <v>180</v>
      </c>
      <c r="E566" s="212" t="s">
        <v>621</v>
      </c>
      <c r="F566" s="213" t="s">
        <v>644</v>
      </c>
      <c r="G566" s="214" t="s">
        <v>645</v>
      </c>
      <c r="H566" s="213" t="s">
        <v>19</v>
      </c>
      <c r="I566" s="215">
        <v>63</v>
      </c>
      <c r="J566" s="216"/>
      <c r="K566" s="216"/>
      <c r="L566" s="216">
        <v>82</v>
      </c>
      <c r="M566" s="216"/>
      <c r="N566" s="216"/>
      <c r="O566" s="217"/>
      <c r="P566" s="217">
        <v>63</v>
      </c>
      <c r="Q566" s="217"/>
      <c r="R566" s="217"/>
      <c r="S566" s="218"/>
    </row>
    <row r="567" spans="1:19" ht="15" customHeight="1">
      <c r="A567" s="413">
        <f t="shared" si="8"/>
        <v>567</v>
      </c>
      <c r="B567" s="26">
        <v>104</v>
      </c>
      <c r="C567" s="153" t="s">
        <v>165</v>
      </c>
      <c r="D567" s="211" t="s">
        <v>180</v>
      </c>
      <c r="E567" s="212" t="s">
        <v>621</v>
      </c>
      <c r="F567" s="213" t="s">
        <v>597</v>
      </c>
      <c r="G567" s="214" t="s">
        <v>646</v>
      </c>
      <c r="H567" s="213" t="s">
        <v>44</v>
      </c>
      <c r="I567" s="215">
        <v>0</v>
      </c>
      <c r="J567" s="216"/>
      <c r="K567" s="216"/>
      <c r="L567" s="216"/>
      <c r="M567" s="216"/>
      <c r="N567" s="216"/>
      <c r="O567" s="217"/>
      <c r="P567" s="217"/>
      <c r="Q567" s="217"/>
      <c r="R567" s="217"/>
      <c r="S567" s="218" t="s">
        <v>669</v>
      </c>
    </row>
    <row r="568" spans="1:19" ht="15" customHeight="1">
      <c r="A568" s="413">
        <f t="shared" si="8"/>
        <v>568</v>
      </c>
      <c r="B568" s="26">
        <v>104</v>
      </c>
      <c r="C568" s="153" t="s">
        <v>165</v>
      </c>
      <c r="D568" s="211" t="s">
        <v>180</v>
      </c>
      <c r="E568" s="212" t="s">
        <v>621</v>
      </c>
      <c r="F568" s="213" t="s">
        <v>647</v>
      </c>
      <c r="G568" s="214" t="s">
        <v>648</v>
      </c>
      <c r="H568" s="213" t="s">
        <v>19</v>
      </c>
      <c r="I568" s="215">
        <v>7</v>
      </c>
      <c r="J568" s="216"/>
      <c r="K568" s="216"/>
      <c r="L568" s="216">
        <v>19</v>
      </c>
      <c r="M568" s="216"/>
      <c r="N568" s="216"/>
      <c r="O568" s="217"/>
      <c r="P568" s="217">
        <v>7</v>
      </c>
      <c r="Q568" s="217"/>
      <c r="R568" s="217"/>
      <c r="S568" s="218" t="s">
        <v>1152</v>
      </c>
    </row>
    <row r="569" spans="1:19" ht="15" customHeight="1">
      <c r="A569" s="413">
        <f t="shared" si="8"/>
        <v>569</v>
      </c>
      <c r="B569" s="26">
        <v>104</v>
      </c>
      <c r="C569" s="153" t="s">
        <v>165</v>
      </c>
      <c r="D569" s="211" t="s">
        <v>180</v>
      </c>
      <c r="E569" s="212" t="s">
        <v>621</v>
      </c>
      <c r="F569" s="213" t="s">
        <v>461</v>
      </c>
      <c r="G569" s="214" t="s">
        <v>649</v>
      </c>
      <c r="H569" s="213" t="s">
        <v>19</v>
      </c>
      <c r="I569" s="215">
        <v>0</v>
      </c>
      <c r="J569" s="216"/>
      <c r="K569" s="216"/>
      <c r="L569" s="216"/>
      <c r="M569" s="216"/>
      <c r="N569" s="216"/>
      <c r="O569" s="217"/>
      <c r="P569" s="217"/>
      <c r="Q569" s="217"/>
      <c r="R569" s="217"/>
      <c r="S569" s="218" t="s">
        <v>1153</v>
      </c>
    </row>
    <row r="570" spans="1:19" ht="15" customHeight="1">
      <c r="A570" s="413">
        <f t="shared" si="8"/>
        <v>570</v>
      </c>
      <c r="B570" s="26">
        <v>104</v>
      </c>
      <c r="C570" s="153" t="s">
        <v>165</v>
      </c>
      <c r="D570" s="211" t="s">
        <v>180</v>
      </c>
      <c r="E570" s="212" t="s">
        <v>621</v>
      </c>
      <c r="F570" s="213" t="s">
        <v>650</v>
      </c>
      <c r="G570" s="214" t="s">
        <v>651</v>
      </c>
      <c r="H570" s="213" t="s">
        <v>19</v>
      </c>
      <c r="I570" s="215">
        <v>72.8</v>
      </c>
      <c r="J570" s="216"/>
      <c r="K570" s="216"/>
      <c r="L570" s="216"/>
      <c r="M570" s="216"/>
      <c r="N570" s="216"/>
      <c r="O570" s="217"/>
      <c r="P570" s="217"/>
      <c r="Q570" s="217"/>
      <c r="R570" s="217"/>
      <c r="S570" s="218" t="s">
        <v>1321</v>
      </c>
    </row>
    <row r="571" spans="1:19" ht="15" customHeight="1">
      <c r="A571" s="413">
        <f t="shared" si="8"/>
        <v>571</v>
      </c>
      <c r="B571" s="26">
        <v>104</v>
      </c>
      <c r="C571" s="153" t="s">
        <v>165</v>
      </c>
      <c r="D571" s="211" t="s">
        <v>180</v>
      </c>
      <c r="E571" s="212" t="s">
        <v>621</v>
      </c>
      <c r="F571" s="213" t="s">
        <v>650</v>
      </c>
      <c r="G571" s="214" t="s">
        <v>652</v>
      </c>
      <c r="H571" s="213" t="s">
        <v>19</v>
      </c>
      <c r="I571" s="215">
        <v>115.7</v>
      </c>
      <c r="J571" s="216"/>
      <c r="K571" s="216"/>
      <c r="L571" s="216"/>
      <c r="M571" s="216"/>
      <c r="N571" s="216"/>
      <c r="O571" s="217"/>
      <c r="P571" s="217"/>
      <c r="Q571" s="217"/>
      <c r="R571" s="217"/>
      <c r="S571" s="218" t="s">
        <v>1321</v>
      </c>
    </row>
    <row r="572" spans="1:19" ht="15" customHeight="1">
      <c r="A572" s="413">
        <f t="shared" si="8"/>
        <v>572</v>
      </c>
      <c r="B572" s="26">
        <v>104</v>
      </c>
      <c r="C572" s="153" t="s">
        <v>165</v>
      </c>
      <c r="D572" s="211" t="s">
        <v>180</v>
      </c>
      <c r="E572" s="212" t="s">
        <v>621</v>
      </c>
      <c r="F572" s="213" t="s">
        <v>650</v>
      </c>
      <c r="G572" s="214" t="s">
        <v>653</v>
      </c>
      <c r="H572" s="213" t="s">
        <v>19</v>
      </c>
      <c r="I572" s="215">
        <v>0</v>
      </c>
      <c r="J572" s="216"/>
      <c r="K572" s="216"/>
      <c r="L572" s="216"/>
      <c r="M572" s="216"/>
      <c r="N572" s="216"/>
      <c r="O572" s="217"/>
      <c r="P572" s="217"/>
      <c r="Q572" s="217"/>
      <c r="R572" s="217"/>
      <c r="S572" s="218" t="s">
        <v>1321</v>
      </c>
    </row>
    <row r="573" spans="1:19" ht="15" customHeight="1">
      <c r="A573" s="413">
        <f t="shared" si="8"/>
        <v>573</v>
      </c>
      <c r="B573" s="26">
        <v>104</v>
      </c>
      <c r="C573" s="153" t="s">
        <v>165</v>
      </c>
      <c r="D573" s="211" t="s">
        <v>180</v>
      </c>
      <c r="E573" s="212" t="s">
        <v>621</v>
      </c>
      <c r="F573" s="213" t="s">
        <v>650</v>
      </c>
      <c r="G573" s="214" t="s">
        <v>654</v>
      </c>
      <c r="H573" s="213" t="s">
        <v>19</v>
      </c>
      <c r="I573" s="215">
        <v>0</v>
      </c>
      <c r="J573" s="216"/>
      <c r="K573" s="216"/>
      <c r="L573" s="216"/>
      <c r="M573" s="216"/>
      <c r="N573" s="216"/>
      <c r="O573" s="217"/>
      <c r="P573" s="217"/>
      <c r="Q573" s="217"/>
      <c r="R573" s="217"/>
      <c r="S573" s="218" t="s">
        <v>1321</v>
      </c>
    </row>
    <row r="574" spans="1:19" ht="15" customHeight="1">
      <c r="A574" s="413">
        <f t="shared" si="8"/>
        <v>574</v>
      </c>
      <c r="B574" s="26">
        <v>104</v>
      </c>
      <c r="C574" s="153" t="s">
        <v>165</v>
      </c>
      <c r="D574" s="211" t="s">
        <v>180</v>
      </c>
      <c r="E574" s="212" t="s">
        <v>621</v>
      </c>
      <c r="F574" s="213" t="s">
        <v>650</v>
      </c>
      <c r="G574" s="214" t="s">
        <v>655</v>
      </c>
      <c r="H574" s="213" t="s">
        <v>19</v>
      </c>
      <c r="I574" s="215">
        <v>105.3</v>
      </c>
      <c r="J574" s="216"/>
      <c r="K574" s="216"/>
      <c r="L574" s="216"/>
      <c r="M574" s="216"/>
      <c r="N574" s="216"/>
      <c r="O574" s="217"/>
      <c r="P574" s="217"/>
      <c r="Q574" s="217"/>
      <c r="R574" s="217"/>
      <c r="S574" s="218" t="s">
        <v>1321</v>
      </c>
    </row>
    <row r="575" spans="1:19" ht="15" customHeight="1">
      <c r="A575" s="413">
        <f t="shared" si="8"/>
        <v>575</v>
      </c>
      <c r="B575" s="26">
        <v>104</v>
      </c>
      <c r="C575" s="153" t="s">
        <v>165</v>
      </c>
      <c r="D575" s="211" t="s">
        <v>180</v>
      </c>
      <c r="E575" s="212" t="s">
        <v>621</v>
      </c>
      <c r="F575" s="213" t="s">
        <v>650</v>
      </c>
      <c r="G575" s="214" t="s">
        <v>656</v>
      </c>
      <c r="H575" s="213" t="s">
        <v>19</v>
      </c>
      <c r="I575" s="215">
        <v>0</v>
      </c>
      <c r="J575" s="216"/>
      <c r="K575" s="216"/>
      <c r="L575" s="216"/>
      <c r="M575" s="216"/>
      <c r="N575" s="216"/>
      <c r="O575" s="217"/>
      <c r="P575" s="217"/>
      <c r="Q575" s="217"/>
      <c r="R575" s="217"/>
      <c r="S575" s="218" t="s">
        <v>1321</v>
      </c>
    </row>
    <row r="576" spans="1:19" ht="15" customHeight="1">
      <c r="A576" s="413">
        <f t="shared" si="8"/>
        <v>576</v>
      </c>
      <c r="B576" s="26">
        <v>104</v>
      </c>
      <c r="C576" s="153" t="s">
        <v>165</v>
      </c>
      <c r="D576" s="211" t="s">
        <v>180</v>
      </c>
      <c r="E576" s="212" t="s">
        <v>621</v>
      </c>
      <c r="F576" s="213" t="s">
        <v>168</v>
      </c>
      <c r="G576" s="214" t="s">
        <v>657</v>
      </c>
      <c r="H576" s="213" t="s">
        <v>44</v>
      </c>
      <c r="I576" s="215">
        <v>0</v>
      </c>
      <c r="J576" s="216"/>
      <c r="K576" s="216"/>
      <c r="L576" s="216"/>
      <c r="M576" s="216"/>
      <c r="N576" s="216"/>
      <c r="O576" s="217"/>
      <c r="P576" s="217"/>
      <c r="Q576" s="217"/>
      <c r="R576" s="217"/>
      <c r="S576" s="218" t="s">
        <v>670</v>
      </c>
    </row>
    <row r="577" spans="1:19" ht="15" customHeight="1">
      <c r="A577" s="413">
        <f t="shared" si="8"/>
        <v>577</v>
      </c>
      <c r="B577" s="26">
        <v>104</v>
      </c>
      <c r="C577" s="153" t="s">
        <v>165</v>
      </c>
      <c r="D577" s="211" t="s">
        <v>180</v>
      </c>
      <c r="E577" s="212" t="s">
        <v>621</v>
      </c>
      <c r="F577" s="213" t="s">
        <v>168</v>
      </c>
      <c r="G577" s="214" t="s">
        <v>658</v>
      </c>
      <c r="H577" s="213" t="s">
        <v>44</v>
      </c>
      <c r="I577" s="215">
        <v>0</v>
      </c>
      <c r="J577" s="216"/>
      <c r="K577" s="216"/>
      <c r="L577" s="216"/>
      <c r="M577" s="216"/>
      <c r="N577" s="216"/>
      <c r="O577" s="217"/>
      <c r="P577" s="217"/>
      <c r="Q577" s="217"/>
      <c r="R577" s="217"/>
      <c r="S577" s="218" t="s">
        <v>671</v>
      </c>
    </row>
    <row r="578" spans="1:19" ht="15" customHeight="1">
      <c r="A578" s="413">
        <f t="shared" si="8"/>
        <v>578</v>
      </c>
      <c r="B578" s="26">
        <v>104</v>
      </c>
      <c r="C578" s="153" t="s">
        <v>165</v>
      </c>
      <c r="D578" s="211" t="s">
        <v>180</v>
      </c>
      <c r="E578" s="212" t="s">
        <v>621</v>
      </c>
      <c r="F578" s="213" t="s">
        <v>659</v>
      </c>
      <c r="G578" s="214" t="s">
        <v>660</v>
      </c>
      <c r="H578" s="213" t="s">
        <v>19</v>
      </c>
      <c r="I578" s="215">
        <f>(3.7*2.4)*1.3</f>
        <v>11.544000000000002</v>
      </c>
      <c r="J578" s="216"/>
      <c r="K578" s="216"/>
      <c r="L578" s="216">
        <v>30</v>
      </c>
      <c r="M578" s="216"/>
      <c r="N578" s="216"/>
      <c r="O578" s="217"/>
      <c r="P578" s="217">
        <v>9</v>
      </c>
      <c r="Q578" s="217"/>
      <c r="R578" s="217"/>
      <c r="S578" s="218"/>
    </row>
    <row r="579" spans="1:19" ht="15" customHeight="1">
      <c r="A579" s="413">
        <f t="shared" ref="A579:A642" si="9">1+A578</f>
        <v>579</v>
      </c>
      <c r="B579" s="26">
        <v>104</v>
      </c>
      <c r="C579" s="153" t="s">
        <v>165</v>
      </c>
      <c r="D579" s="211" t="s">
        <v>180</v>
      </c>
      <c r="E579" s="212" t="s">
        <v>621</v>
      </c>
      <c r="F579" s="213" t="s">
        <v>659</v>
      </c>
      <c r="G579" s="214" t="s">
        <v>661</v>
      </c>
      <c r="H579" s="213" t="s">
        <v>19</v>
      </c>
      <c r="I579" s="215">
        <f>2.1*4+1.2*1.2</f>
        <v>9.84</v>
      </c>
      <c r="J579" s="216"/>
      <c r="K579" s="216"/>
      <c r="L579" s="216">
        <v>37</v>
      </c>
      <c r="M579" s="216"/>
      <c r="N579" s="216"/>
      <c r="O579" s="217"/>
      <c r="P579" s="217">
        <v>10</v>
      </c>
      <c r="Q579" s="217"/>
      <c r="R579" s="217"/>
      <c r="S579" s="218"/>
    </row>
    <row r="580" spans="1:19" ht="15" customHeight="1">
      <c r="A580" s="413">
        <f t="shared" si="9"/>
        <v>580</v>
      </c>
      <c r="B580" s="26">
        <v>104</v>
      </c>
      <c r="C580" s="153" t="s">
        <v>165</v>
      </c>
      <c r="D580" s="211" t="s">
        <v>180</v>
      </c>
      <c r="E580" s="212" t="s">
        <v>621</v>
      </c>
      <c r="F580" s="213" t="s">
        <v>488</v>
      </c>
      <c r="G580" s="214" t="s">
        <v>662</v>
      </c>
      <c r="H580" s="213" t="s">
        <v>19</v>
      </c>
      <c r="I580" s="215">
        <v>0</v>
      </c>
      <c r="J580" s="216"/>
      <c r="K580" s="216"/>
      <c r="L580" s="216"/>
      <c r="M580" s="216"/>
      <c r="N580" s="216"/>
      <c r="O580" s="217"/>
      <c r="P580" s="217"/>
      <c r="Q580" s="217"/>
      <c r="R580" s="217"/>
      <c r="S580" s="218" t="s">
        <v>1337</v>
      </c>
    </row>
    <row r="581" spans="1:19" ht="15" customHeight="1">
      <c r="A581" s="413">
        <f t="shared" si="9"/>
        <v>581</v>
      </c>
      <c r="B581" s="26">
        <v>104</v>
      </c>
      <c r="C581" s="153" t="s">
        <v>165</v>
      </c>
      <c r="D581" s="211" t="s">
        <v>180</v>
      </c>
      <c r="E581" s="212" t="s">
        <v>621</v>
      </c>
      <c r="F581" s="213" t="s">
        <v>488</v>
      </c>
      <c r="G581" s="214" t="s">
        <v>663</v>
      </c>
      <c r="H581" s="213" t="s">
        <v>19</v>
      </c>
      <c r="I581" s="215">
        <v>317</v>
      </c>
      <c r="J581" s="216"/>
      <c r="K581" s="216"/>
      <c r="L581" s="216">
        <v>145</v>
      </c>
      <c r="M581" s="216"/>
      <c r="N581" s="216"/>
      <c r="O581" s="217"/>
      <c r="P581" s="217">
        <v>317</v>
      </c>
      <c r="Q581" s="217"/>
      <c r="R581" s="217"/>
      <c r="S581" s="218"/>
    </row>
    <row r="582" spans="1:19" ht="15" customHeight="1">
      <c r="A582" s="413">
        <f t="shared" si="9"/>
        <v>582</v>
      </c>
      <c r="B582" s="26">
        <v>104</v>
      </c>
      <c r="C582" s="153" t="s">
        <v>165</v>
      </c>
      <c r="D582" s="211" t="s">
        <v>180</v>
      </c>
      <c r="E582" s="212" t="s">
        <v>621</v>
      </c>
      <c r="F582" s="213" t="s">
        <v>488</v>
      </c>
      <c r="G582" s="214" t="s">
        <v>664</v>
      </c>
      <c r="H582" s="213" t="s">
        <v>19</v>
      </c>
      <c r="I582" s="215">
        <v>309</v>
      </c>
      <c r="J582" s="216"/>
      <c r="K582" s="216"/>
      <c r="L582" s="216">
        <v>143</v>
      </c>
      <c r="M582" s="216"/>
      <c r="N582" s="216"/>
      <c r="O582" s="217"/>
      <c r="P582" s="217"/>
      <c r="Q582" s="217"/>
      <c r="R582" s="217"/>
      <c r="S582" s="218"/>
    </row>
    <row r="583" spans="1:19" ht="15" customHeight="1">
      <c r="A583" s="413">
        <f t="shared" si="9"/>
        <v>583</v>
      </c>
      <c r="B583" s="26">
        <v>104</v>
      </c>
      <c r="C583" s="153" t="s">
        <v>165</v>
      </c>
      <c r="D583" s="211" t="s">
        <v>180</v>
      </c>
      <c r="E583" s="212" t="s">
        <v>621</v>
      </c>
      <c r="F583" s="213" t="s">
        <v>488</v>
      </c>
      <c r="G583" s="214" t="s">
        <v>665</v>
      </c>
      <c r="H583" s="213" t="s">
        <v>19</v>
      </c>
      <c r="I583" s="215">
        <f>2.7*2.7+1.5*3.3</f>
        <v>12.24</v>
      </c>
      <c r="J583" s="216"/>
      <c r="K583" s="216"/>
      <c r="L583" s="216">
        <v>26</v>
      </c>
      <c r="M583" s="216"/>
      <c r="N583" s="216"/>
      <c r="O583" s="217"/>
      <c r="P583" s="217">
        <v>12</v>
      </c>
      <c r="Q583" s="217"/>
      <c r="R583" s="217"/>
      <c r="S583" s="218"/>
    </row>
    <row r="584" spans="1:19" ht="15" customHeight="1">
      <c r="A584" s="413">
        <f t="shared" si="9"/>
        <v>584</v>
      </c>
      <c r="B584" s="26">
        <v>104</v>
      </c>
      <c r="C584" s="153" t="s">
        <v>165</v>
      </c>
      <c r="D584" s="211" t="s">
        <v>180</v>
      </c>
      <c r="E584" s="212" t="s">
        <v>621</v>
      </c>
      <c r="F584" s="213" t="s">
        <v>488</v>
      </c>
      <c r="G584" s="214" t="s">
        <v>666</v>
      </c>
      <c r="H584" s="213" t="s">
        <v>19</v>
      </c>
      <c r="I584" s="215">
        <v>7</v>
      </c>
      <c r="J584" s="216"/>
      <c r="K584" s="216"/>
      <c r="L584" s="216">
        <v>27</v>
      </c>
      <c r="M584" s="216"/>
      <c r="N584" s="216"/>
      <c r="O584" s="217"/>
      <c r="P584" s="217"/>
      <c r="Q584" s="217"/>
      <c r="R584" s="217"/>
      <c r="S584" s="218"/>
    </row>
    <row r="585" spans="1:19" ht="15" customHeight="1">
      <c r="A585" s="413">
        <f t="shared" si="9"/>
        <v>585</v>
      </c>
      <c r="B585" s="26">
        <v>104</v>
      </c>
      <c r="C585" s="153" t="s">
        <v>165</v>
      </c>
      <c r="D585" s="211" t="s">
        <v>180</v>
      </c>
      <c r="E585" s="212" t="s">
        <v>621</v>
      </c>
      <c r="F585" s="213" t="s">
        <v>488</v>
      </c>
      <c r="G585" s="214" t="s">
        <v>667</v>
      </c>
      <c r="H585" s="213" t="s">
        <v>19</v>
      </c>
      <c r="I585" s="215">
        <v>7</v>
      </c>
      <c r="J585" s="216"/>
      <c r="K585" s="216"/>
      <c r="L585" s="216">
        <v>27</v>
      </c>
      <c r="M585" s="216"/>
      <c r="N585" s="216"/>
      <c r="O585" s="217"/>
      <c r="P585" s="217"/>
      <c r="Q585" s="217"/>
      <c r="R585" s="217"/>
      <c r="S585" s="218"/>
    </row>
    <row r="586" spans="1:19" ht="15" customHeight="1">
      <c r="A586" s="413">
        <f t="shared" si="9"/>
        <v>586</v>
      </c>
      <c r="B586" s="26">
        <v>104</v>
      </c>
      <c r="C586" s="153" t="s">
        <v>165</v>
      </c>
      <c r="D586" s="211" t="s">
        <v>180</v>
      </c>
      <c r="E586" s="212" t="s">
        <v>672</v>
      </c>
      <c r="F586" s="213" t="s">
        <v>634</v>
      </c>
      <c r="G586" s="214" t="s">
        <v>673</v>
      </c>
      <c r="H586" s="213" t="s">
        <v>166</v>
      </c>
      <c r="I586" s="215">
        <v>0</v>
      </c>
      <c r="J586" s="216"/>
      <c r="K586" s="216"/>
      <c r="L586" s="216"/>
      <c r="M586" s="216"/>
      <c r="N586" s="216"/>
      <c r="O586" s="217"/>
      <c r="P586" s="217"/>
      <c r="Q586" s="217"/>
      <c r="R586" s="217"/>
      <c r="S586" s="218" t="s">
        <v>711</v>
      </c>
    </row>
    <row r="587" spans="1:19" ht="15" customHeight="1">
      <c r="A587" s="413">
        <f t="shared" si="9"/>
        <v>587</v>
      </c>
      <c r="B587" s="26">
        <v>104</v>
      </c>
      <c r="C587" s="153" t="s">
        <v>165</v>
      </c>
      <c r="D587" s="211" t="s">
        <v>180</v>
      </c>
      <c r="E587" s="212" t="s">
        <v>672</v>
      </c>
      <c r="F587" s="213" t="s">
        <v>175</v>
      </c>
      <c r="G587" s="214" t="s">
        <v>675</v>
      </c>
      <c r="H587" s="213" t="s">
        <v>19</v>
      </c>
      <c r="I587" s="215">
        <f>(32.3*1.5+5.1*2.5+6.2*2.5)*1.3</f>
        <v>99.71</v>
      </c>
      <c r="J587" s="216"/>
      <c r="K587" s="216"/>
      <c r="L587" s="216">
        <v>301</v>
      </c>
      <c r="M587" s="216"/>
      <c r="N587" s="216"/>
      <c r="O587" s="217"/>
      <c r="P587" s="217"/>
      <c r="Q587" s="217">
        <v>77</v>
      </c>
      <c r="R587" s="217"/>
      <c r="S587" s="218"/>
    </row>
    <row r="588" spans="1:19" ht="15" customHeight="1">
      <c r="A588" s="413">
        <f t="shared" si="9"/>
        <v>588</v>
      </c>
      <c r="B588" s="26">
        <v>104</v>
      </c>
      <c r="C588" s="153" t="s">
        <v>165</v>
      </c>
      <c r="D588" s="211" t="s">
        <v>180</v>
      </c>
      <c r="E588" s="212" t="s">
        <v>672</v>
      </c>
      <c r="F588" s="213" t="s">
        <v>634</v>
      </c>
      <c r="G588" s="214" t="s">
        <v>676</v>
      </c>
      <c r="H588" s="213" t="s">
        <v>166</v>
      </c>
      <c r="I588" s="215">
        <v>0</v>
      </c>
      <c r="J588" s="216"/>
      <c r="K588" s="216"/>
      <c r="L588" s="216"/>
      <c r="M588" s="216"/>
      <c r="N588" s="216"/>
      <c r="O588" s="217"/>
      <c r="P588" s="217"/>
      <c r="Q588" s="217"/>
      <c r="R588" s="217"/>
      <c r="S588" s="218" t="s">
        <v>712</v>
      </c>
    </row>
    <row r="589" spans="1:19" ht="15" customHeight="1">
      <c r="A589" s="413">
        <f t="shared" si="9"/>
        <v>589</v>
      </c>
      <c r="B589" s="26">
        <v>104</v>
      </c>
      <c r="C589" s="153" t="s">
        <v>165</v>
      </c>
      <c r="D589" s="211" t="s">
        <v>180</v>
      </c>
      <c r="E589" s="212" t="s">
        <v>672</v>
      </c>
      <c r="F589" s="213" t="s">
        <v>175</v>
      </c>
      <c r="G589" s="214" t="s">
        <v>677</v>
      </c>
      <c r="H589" s="213" t="s">
        <v>44</v>
      </c>
      <c r="I589" s="215">
        <v>158.6</v>
      </c>
      <c r="J589" s="216"/>
      <c r="K589" s="216"/>
      <c r="L589" s="216">
        <v>245</v>
      </c>
      <c r="M589" s="216"/>
      <c r="N589" s="216"/>
      <c r="O589" s="217"/>
      <c r="P589" s="217"/>
      <c r="Q589" s="217">
        <v>245</v>
      </c>
      <c r="R589" s="217"/>
      <c r="S589" s="218" t="s">
        <v>521</v>
      </c>
    </row>
    <row r="590" spans="1:19" ht="15" customHeight="1">
      <c r="A590" s="413">
        <f t="shared" si="9"/>
        <v>590</v>
      </c>
      <c r="B590" s="26">
        <v>104</v>
      </c>
      <c r="C590" s="153" t="s">
        <v>165</v>
      </c>
      <c r="D590" s="211" t="s">
        <v>180</v>
      </c>
      <c r="E590" s="212" t="s">
        <v>672</v>
      </c>
      <c r="F590" s="213" t="s">
        <v>175</v>
      </c>
      <c r="G590" s="214" t="s">
        <v>678</v>
      </c>
      <c r="H590" s="213" t="s">
        <v>44</v>
      </c>
      <c r="I590" s="215">
        <v>39</v>
      </c>
      <c r="J590" s="216"/>
      <c r="K590" s="216"/>
      <c r="L590" s="216">
        <v>120</v>
      </c>
      <c r="M590" s="216"/>
      <c r="N590" s="216"/>
      <c r="O590" s="217"/>
      <c r="P590" s="217"/>
      <c r="Q590" s="217">
        <v>30</v>
      </c>
      <c r="R590" s="217"/>
      <c r="S590" s="218" t="s">
        <v>521</v>
      </c>
    </row>
    <row r="591" spans="1:19" ht="15" customHeight="1">
      <c r="A591" s="413">
        <f t="shared" si="9"/>
        <v>591</v>
      </c>
      <c r="B591" s="26">
        <v>104</v>
      </c>
      <c r="C591" s="153" t="s">
        <v>165</v>
      </c>
      <c r="D591" s="211" t="s">
        <v>180</v>
      </c>
      <c r="E591" s="212" t="s">
        <v>672</v>
      </c>
      <c r="F591" s="213" t="s">
        <v>175</v>
      </c>
      <c r="G591" s="214" t="s">
        <v>679</v>
      </c>
      <c r="H591" s="213" t="s">
        <v>166</v>
      </c>
      <c r="I591" s="215">
        <v>0</v>
      </c>
      <c r="J591" s="216"/>
      <c r="K591" s="216"/>
      <c r="L591" s="216"/>
      <c r="M591" s="216"/>
      <c r="N591" s="216"/>
      <c r="O591" s="217"/>
      <c r="P591" s="217"/>
      <c r="Q591" s="217"/>
      <c r="R591" s="217"/>
      <c r="S591" s="218" t="s">
        <v>713</v>
      </c>
    </row>
    <row r="592" spans="1:19" ht="15" customHeight="1">
      <c r="A592" s="413">
        <f t="shared" si="9"/>
        <v>592</v>
      </c>
      <c r="B592" s="26">
        <v>104</v>
      </c>
      <c r="C592" s="153" t="s">
        <v>165</v>
      </c>
      <c r="D592" s="211" t="s">
        <v>180</v>
      </c>
      <c r="E592" s="212" t="s">
        <v>672</v>
      </c>
      <c r="F592" s="213" t="s">
        <v>597</v>
      </c>
      <c r="G592" s="214" t="s">
        <v>680</v>
      </c>
      <c r="H592" s="213" t="s">
        <v>44</v>
      </c>
      <c r="I592" s="215">
        <f>(8.5*3)*1.3</f>
        <v>33.15</v>
      </c>
      <c r="J592" s="216"/>
      <c r="K592" s="216">
        <v>115</v>
      </c>
      <c r="L592" s="216"/>
      <c r="M592" s="216"/>
      <c r="N592" s="216"/>
      <c r="O592" s="217"/>
      <c r="P592" s="217">
        <v>26</v>
      </c>
      <c r="Q592" s="217"/>
      <c r="R592" s="217"/>
      <c r="S592" s="218" t="s">
        <v>714</v>
      </c>
    </row>
    <row r="593" spans="1:19" ht="15" customHeight="1">
      <c r="A593" s="413">
        <f t="shared" si="9"/>
        <v>593</v>
      </c>
      <c r="B593" s="26">
        <v>104</v>
      </c>
      <c r="C593" s="153" t="s">
        <v>165</v>
      </c>
      <c r="D593" s="211" t="s">
        <v>180</v>
      </c>
      <c r="E593" s="212" t="s">
        <v>672</v>
      </c>
      <c r="F593" s="213" t="s">
        <v>597</v>
      </c>
      <c r="G593" s="214" t="s">
        <v>681</v>
      </c>
      <c r="H593" s="213" t="s">
        <v>44</v>
      </c>
      <c r="I593" s="215">
        <v>20.8</v>
      </c>
      <c r="J593" s="216"/>
      <c r="K593" s="216"/>
      <c r="L593" s="216">
        <f>+(0.7+6.3+0.6+4.3+5.7)*3.2</f>
        <v>56.319999999999993</v>
      </c>
      <c r="M593" s="216"/>
      <c r="N593" s="216"/>
      <c r="O593" s="217"/>
      <c r="P593" s="217"/>
      <c r="Q593" s="217">
        <v>16</v>
      </c>
      <c r="R593" s="217"/>
      <c r="S593" s="218"/>
    </row>
    <row r="594" spans="1:19" ht="15" customHeight="1">
      <c r="A594" s="413">
        <f t="shared" si="9"/>
        <v>594</v>
      </c>
      <c r="B594" s="26">
        <v>104</v>
      </c>
      <c r="C594" s="153" t="s">
        <v>165</v>
      </c>
      <c r="D594" s="211" t="s">
        <v>180</v>
      </c>
      <c r="E594" s="212" t="s">
        <v>672</v>
      </c>
      <c r="F594" s="213" t="s">
        <v>333</v>
      </c>
      <c r="G594" s="214" t="s">
        <v>682</v>
      </c>
      <c r="H594" s="213" t="s">
        <v>44</v>
      </c>
      <c r="I594" s="215">
        <v>347.1</v>
      </c>
      <c r="J594" s="216"/>
      <c r="K594" s="216"/>
      <c r="L594" s="216">
        <v>975</v>
      </c>
      <c r="M594" s="216"/>
      <c r="N594" s="216"/>
      <c r="O594" s="217"/>
      <c r="P594" s="217">
        <v>267</v>
      </c>
      <c r="Q594" s="217"/>
      <c r="R594" s="217"/>
      <c r="S594" s="218"/>
    </row>
    <row r="595" spans="1:19" ht="15" customHeight="1">
      <c r="A595" s="413">
        <f t="shared" si="9"/>
        <v>595</v>
      </c>
      <c r="B595" s="26">
        <v>104</v>
      </c>
      <c r="C595" s="153" t="s">
        <v>165</v>
      </c>
      <c r="D595" s="211" t="s">
        <v>180</v>
      </c>
      <c r="E595" s="212" t="s">
        <v>672</v>
      </c>
      <c r="F595" s="213" t="s">
        <v>333</v>
      </c>
      <c r="G595" s="214" t="s">
        <v>683</v>
      </c>
      <c r="H595" s="213" t="s">
        <v>44</v>
      </c>
      <c r="I595" s="215">
        <v>7.8000000000000007</v>
      </c>
      <c r="J595" s="216"/>
      <c r="K595" s="216"/>
      <c r="L595" s="216">
        <v>35</v>
      </c>
      <c r="M595" s="216"/>
      <c r="N595" s="216"/>
      <c r="O595" s="217"/>
      <c r="P595" s="217">
        <v>6</v>
      </c>
      <c r="Q595" s="217"/>
      <c r="R595" s="217"/>
      <c r="S595" s="218"/>
    </row>
    <row r="596" spans="1:19" ht="15" customHeight="1">
      <c r="A596" s="413">
        <f t="shared" si="9"/>
        <v>596</v>
      </c>
      <c r="B596" s="26">
        <v>104</v>
      </c>
      <c r="C596" s="153" t="s">
        <v>165</v>
      </c>
      <c r="D596" s="211" t="s">
        <v>180</v>
      </c>
      <c r="E596" s="212" t="s">
        <v>672</v>
      </c>
      <c r="F596" s="213" t="s">
        <v>331</v>
      </c>
      <c r="G596" s="214" t="s">
        <v>684</v>
      </c>
      <c r="H596" s="213" t="s">
        <v>44</v>
      </c>
      <c r="I596" s="215">
        <v>16.900000000000002</v>
      </c>
      <c r="J596" s="216"/>
      <c r="K596" s="216"/>
      <c r="L596" s="216">
        <v>51</v>
      </c>
      <c r="M596" s="216"/>
      <c r="N596" s="216"/>
      <c r="O596" s="217"/>
      <c r="P596" s="217"/>
      <c r="Q596" s="217"/>
      <c r="R596" s="217">
        <v>13</v>
      </c>
      <c r="S596" s="218" t="s">
        <v>715</v>
      </c>
    </row>
    <row r="597" spans="1:19" ht="15" customHeight="1">
      <c r="A597" s="413">
        <f t="shared" si="9"/>
        <v>597</v>
      </c>
      <c r="B597" s="26">
        <v>104</v>
      </c>
      <c r="C597" s="153" t="s">
        <v>165</v>
      </c>
      <c r="D597" s="211" t="s">
        <v>180</v>
      </c>
      <c r="E597" s="212" t="s">
        <v>672</v>
      </c>
      <c r="F597" s="213" t="s">
        <v>333</v>
      </c>
      <c r="G597" s="214" t="s">
        <v>685</v>
      </c>
      <c r="H597" s="213" t="s">
        <v>44</v>
      </c>
      <c r="I597" s="215">
        <v>16.900000000000002</v>
      </c>
      <c r="J597" s="216"/>
      <c r="K597" s="216"/>
      <c r="L597" s="216">
        <v>50</v>
      </c>
      <c r="M597" s="216"/>
      <c r="N597" s="216"/>
      <c r="O597" s="217"/>
      <c r="P597" s="217"/>
      <c r="Q597" s="217"/>
      <c r="R597" s="217">
        <v>13</v>
      </c>
      <c r="S597" s="218" t="s">
        <v>715</v>
      </c>
    </row>
    <row r="598" spans="1:19" ht="15" customHeight="1">
      <c r="A598" s="413">
        <f t="shared" si="9"/>
        <v>598</v>
      </c>
      <c r="B598" s="26">
        <v>104</v>
      </c>
      <c r="C598" s="153" t="s">
        <v>165</v>
      </c>
      <c r="D598" s="211" t="s">
        <v>180</v>
      </c>
      <c r="E598" s="212" t="s">
        <v>672</v>
      </c>
      <c r="F598" s="213" t="s">
        <v>331</v>
      </c>
      <c r="G598" s="214" t="s">
        <v>686</v>
      </c>
      <c r="H598" s="213" t="s">
        <v>44</v>
      </c>
      <c r="I598" s="215">
        <v>41.6</v>
      </c>
      <c r="J598" s="216"/>
      <c r="K598" s="216"/>
      <c r="L598" s="216">
        <v>85</v>
      </c>
      <c r="M598" s="216"/>
      <c r="N598" s="216"/>
      <c r="O598" s="217"/>
      <c r="P598" s="217">
        <v>32</v>
      </c>
      <c r="Q598" s="217"/>
      <c r="R598" s="217"/>
      <c r="S598" s="218"/>
    </row>
    <row r="599" spans="1:19" ht="15" customHeight="1">
      <c r="A599" s="413">
        <f t="shared" si="9"/>
        <v>599</v>
      </c>
      <c r="B599" s="26">
        <v>104</v>
      </c>
      <c r="C599" s="153" t="s">
        <v>165</v>
      </c>
      <c r="D599" s="211" t="s">
        <v>180</v>
      </c>
      <c r="E599" s="212" t="s">
        <v>672</v>
      </c>
      <c r="F599" s="213" t="s">
        <v>333</v>
      </c>
      <c r="G599" s="214" t="s">
        <v>687</v>
      </c>
      <c r="H599" s="213" t="s">
        <v>44</v>
      </c>
      <c r="I599" s="215">
        <v>13</v>
      </c>
      <c r="J599" s="216"/>
      <c r="K599" s="216"/>
      <c r="L599" s="216">
        <v>45</v>
      </c>
      <c r="M599" s="216"/>
      <c r="N599" s="216"/>
      <c r="O599" s="217"/>
      <c r="P599" s="217"/>
      <c r="Q599" s="217"/>
      <c r="R599" s="217">
        <v>10</v>
      </c>
      <c r="S599" s="218" t="s">
        <v>715</v>
      </c>
    </row>
    <row r="600" spans="1:19" ht="15" customHeight="1">
      <c r="A600" s="413">
        <f t="shared" si="9"/>
        <v>600</v>
      </c>
      <c r="B600" s="26">
        <v>104</v>
      </c>
      <c r="C600" s="153" t="s">
        <v>165</v>
      </c>
      <c r="D600" s="211" t="s">
        <v>180</v>
      </c>
      <c r="E600" s="212" t="s">
        <v>672</v>
      </c>
      <c r="F600" s="213" t="s">
        <v>123</v>
      </c>
      <c r="G600" s="214" t="s">
        <v>688</v>
      </c>
      <c r="H600" s="213" t="s">
        <v>44</v>
      </c>
      <c r="I600" s="215">
        <f>(4.3*3.6)*1.3</f>
        <v>20.124000000000002</v>
      </c>
      <c r="J600" s="216"/>
      <c r="K600" s="216">
        <v>40</v>
      </c>
      <c r="L600" s="216"/>
      <c r="M600" s="216"/>
      <c r="N600" s="216"/>
      <c r="O600" s="217"/>
      <c r="P600" s="217"/>
      <c r="Q600" s="217">
        <v>15</v>
      </c>
      <c r="R600" s="217"/>
      <c r="S600" s="218"/>
    </row>
    <row r="601" spans="1:19" ht="15" customHeight="1">
      <c r="A601" s="413">
        <f t="shared" si="9"/>
        <v>601</v>
      </c>
      <c r="B601" s="26">
        <v>104</v>
      </c>
      <c r="C601" s="153" t="s">
        <v>165</v>
      </c>
      <c r="D601" s="211" t="s">
        <v>180</v>
      </c>
      <c r="E601" s="212" t="s">
        <v>672</v>
      </c>
      <c r="F601" s="213" t="s">
        <v>123</v>
      </c>
      <c r="G601" s="214" t="s">
        <v>689</v>
      </c>
      <c r="H601" s="213" t="s">
        <v>44</v>
      </c>
      <c r="I601" s="215">
        <f>(4.3*3.6)*1.3</f>
        <v>20.124000000000002</v>
      </c>
      <c r="J601" s="216"/>
      <c r="K601" s="216">
        <v>40</v>
      </c>
      <c r="L601" s="216"/>
      <c r="M601" s="216"/>
      <c r="N601" s="216"/>
      <c r="O601" s="217"/>
      <c r="P601" s="217"/>
      <c r="Q601" s="217">
        <v>15</v>
      </c>
      <c r="R601" s="217"/>
      <c r="S601" s="218"/>
    </row>
    <row r="602" spans="1:19" ht="15" customHeight="1">
      <c r="A602" s="413">
        <f t="shared" si="9"/>
        <v>602</v>
      </c>
      <c r="B602" s="26">
        <v>104</v>
      </c>
      <c r="C602" s="153" t="s">
        <v>165</v>
      </c>
      <c r="D602" s="211" t="s">
        <v>180</v>
      </c>
      <c r="E602" s="212" t="s">
        <v>672</v>
      </c>
      <c r="F602" s="213" t="s">
        <v>488</v>
      </c>
      <c r="G602" s="214" t="s">
        <v>690</v>
      </c>
      <c r="H602" s="213" t="s">
        <v>19</v>
      </c>
      <c r="I602" s="215">
        <f>(6*3)*1.3</f>
        <v>23.400000000000002</v>
      </c>
      <c r="J602" s="216"/>
      <c r="K602" s="216"/>
      <c r="L602" s="216">
        <v>57</v>
      </c>
      <c r="M602" s="216"/>
      <c r="N602" s="216"/>
      <c r="O602" s="217"/>
      <c r="P602" s="217">
        <v>18</v>
      </c>
      <c r="Q602" s="217"/>
      <c r="R602" s="217"/>
      <c r="S602" s="218"/>
    </row>
    <row r="603" spans="1:19" ht="15" customHeight="1">
      <c r="A603" s="413">
        <f t="shared" si="9"/>
        <v>603</v>
      </c>
      <c r="B603" s="26">
        <v>104</v>
      </c>
      <c r="C603" s="153" t="s">
        <v>165</v>
      </c>
      <c r="D603" s="211" t="s">
        <v>180</v>
      </c>
      <c r="E603" s="212" t="s">
        <v>672</v>
      </c>
      <c r="F603" s="213" t="s">
        <v>488</v>
      </c>
      <c r="G603" s="214" t="s">
        <v>691</v>
      </c>
      <c r="H603" s="213" t="s">
        <v>44</v>
      </c>
      <c r="I603" s="215">
        <f>(6.7*8.9)*1.3</f>
        <v>77.519000000000005</v>
      </c>
      <c r="J603" s="216"/>
      <c r="K603" s="216">
        <v>100</v>
      </c>
      <c r="L603" s="216"/>
      <c r="M603" s="216"/>
      <c r="N603" s="216"/>
      <c r="O603" s="217"/>
      <c r="P603" s="217"/>
      <c r="Q603" s="217">
        <v>60</v>
      </c>
      <c r="R603" s="217"/>
      <c r="S603" s="218"/>
    </row>
    <row r="604" spans="1:19" ht="15" customHeight="1">
      <c r="A604" s="413">
        <f t="shared" si="9"/>
        <v>604</v>
      </c>
      <c r="B604" s="26">
        <v>104</v>
      </c>
      <c r="C604" s="153" t="s">
        <v>165</v>
      </c>
      <c r="D604" s="211" t="s">
        <v>180</v>
      </c>
      <c r="E604" s="212" t="s">
        <v>672</v>
      </c>
      <c r="F604" s="213" t="s">
        <v>488</v>
      </c>
      <c r="G604" s="214" t="s">
        <v>692</v>
      </c>
      <c r="H604" s="213" t="s">
        <v>19</v>
      </c>
      <c r="I604" s="215">
        <f>(6.7*8.9)*1.3</f>
        <v>77.519000000000005</v>
      </c>
      <c r="J604" s="216"/>
      <c r="K604" s="216"/>
      <c r="L604" s="216">
        <v>100</v>
      </c>
      <c r="M604" s="216"/>
      <c r="N604" s="216"/>
      <c r="O604" s="217"/>
      <c r="P604" s="217">
        <v>60</v>
      </c>
      <c r="Q604" s="217"/>
      <c r="R604" s="217"/>
      <c r="S604" s="218"/>
    </row>
    <row r="605" spans="1:19" ht="15" customHeight="1">
      <c r="A605" s="413">
        <f t="shared" si="9"/>
        <v>605</v>
      </c>
      <c r="B605" s="26">
        <v>104</v>
      </c>
      <c r="C605" s="153" t="s">
        <v>165</v>
      </c>
      <c r="D605" s="211" t="s">
        <v>180</v>
      </c>
      <c r="E605" s="212" t="s">
        <v>672</v>
      </c>
      <c r="F605" s="213" t="s">
        <v>488</v>
      </c>
      <c r="G605" s="214" t="s">
        <v>693</v>
      </c>
      <c r="H605" s="213" t="s">
        <v>19</v>
      </c>
      <c r="I605" s="215">
        <f>(6.6*6.2)*1.3</f>
        <v>53.196000000000005</v>
      </c>
      <c r="J605" s="216"/>
      <c r="K605" s="216"/>
      <c r="L605" s="216">
        <v>82</v>
      </c>
      <c r="M605" s="216"/>
      <c r="N605" s="216"/>
      <c r="O605" s="217"/>
      <c r="P605" s="217">
        <v>41</v>
      </c>
      <c r="Q605" s="217"/>
      <c r="R605" s="217"/>
      <c r="S605" s="218"/>
    </row>
    <row r="606" spans="1:19" ht="15" customHeight="1">
      <c r="A606" s="413">
        <f t="shared" si="9"/>
        <v>606</v>
      </c>
      <c r="B606" s="26">
        <v>104</v>
      </c>
      <c r="C606" s="153" t="s">
        <v>165</v>
      </c>
      <c r="D606" s="211" t="s">
        <v>180</v>
      </c>
      <c r="E606" s="212" t="s">
        <v>672</v>
      </c>
      <c r="F606" s="213" t="s">
        <v>488</v>
      </c>
      <c r="G606" s="214" t="s">
        <v>694</v>
      </c>
      <c r="H606" s="213" t="s">
        <v>19</v>
      </c>
      <c r="I606" s="215">
        <v>0</v>
      </c>
      <c r="J606" s="216"/>
      <c r="K606" s="216"/>
      <c r="L606" s="216"/>
      <c r="M606" s="216"/>
      <c r="N606" s="216"/>
      <c r="O606" s="217"/>
      <c r="P606" s="217"/>
      <c r="Q606" s="217"/>
      <c r="R606" s="217"/>
      <c r="S606" s="218"/>
    </row>
    <row r="607" spans="1:19" ht="15" customHeight="1">
      <c r="A607" s="413">
        <f t="shared" si="9"/>
        <v>607</v>
      </c>
      <c r="B607" s="26">
        <v>104</v>
      </c>
      <c r="C607" s="153" t="s">
        <v>165</v>
      </c>
      <c r="D607" s="211" t="s">
        <v>180</v>
      </c>
      <c r="E607" s="212" t="s">
        <v>672</v>
      </c>
      <c r="F607" s="213" t="s">
        <v>488</v>
      </c>
      <c r="G607" s="214" t="s">
        <v>695</v>
      </c>
      <c r="H607" s="213" t="s">
        <v>19</v>
      </c>
      <c r="I607" s="215">
        <v>0</v>
      </c>
      <c r="J607" s="216"/>
      <c r="K607" s="216"/>
      <c r="L607" s="216"/>
      <c r="M607" s="216"/>
      <c r="N607" s="216"/>
      <c r="O607" s="217"/>
      <c r="P607" s="217"/>
      <c r="Q607" s="217"/>
      <c r="R607" s="217"/>
      <c r="S607" s="218"/>
    </row>
    <row r="608" spans="1:19" ht="15" customHeight="1">
      <c r="A608" s="413">
        <f t="shared" si="9"/>
        <v>608</v>
      </c>
      <c r="B608" s="26">
        <v>104</v>
      </c>
      <c r="C608" s="153" t="s">
        <v>165</v>
      </c>
      <c r="D608" s="211" t="s">
        <v>180</v>
      </c>
      <c r="E608" s="212" t="s">
        <v>672</v>
      </c>
      <c r="F608" s="213" t="s">
        <v>488</v>
      </c>
      <c r="G608" s="214" t="s">
        <v>696</v>
      </c>
      <c r="H608" s="213" t="s">
        <v>19</v>
      </c>
      <c r="I608" s="215">
        <v>0</v>
      </c>
      <c r="J608" s="216"/>
      <c r="K608" s="216"/>
      <c r="L608" s="216"/>
      <c r="M608" s="216"/>
      <c r="N608" s="216"/>
      <c r="O608" s="217"/>
      <c r="P608" s="217"/>
      <c r="Q608" s="217"/>
      <c r="R608" s="217"/>
      <c r="S608" s="218"/>
    </row>
    <row r="609" spans="1:19" ht="15" customHeight="1">
      <c r="A609" s="413">
        <f t="shared" si="9"/>
        <v>609</v>
      </c>
      <c r="B609" s="26">
        <v>104</v>
      </c>
      <c r="C609" s="153" t="s">
        <v>165</v>
      </c>
      <c r="D609" s="211" t="s">
        <v>180</v>
      </c>
      <c r="E609" s="212" t="s">
        <v>672</v>
      </c>
      <c r="F609" s="213" t="s">
        <v>488</v>
      </c>
      <c r="G609" s="214" t="s">
        <v>697</v>
      </c>
      <c r="H609" s="213" t="s">
        <v>19</v>
      </c>
      <c r="I609" s="215">
        <v>0</v>
      </c>
      <c r="J609" s="216"/>
      <c r="K609" s="216"/>
      <c r="L609" s="216"/>
      <c r="M609" s="216"/>
      <c r="N609" s="216"/>
      <c r="O609" s="217"/>
      <c r="P609" s="217"/>
      <c r="Q609" s="217"/>
      <c r="R609" s="217"/>
      <c r="S609" s="218"/>
    </row>
    <row r="610" spans="1:19" ht="15" customHeight="1">
      <c r="A610" s="413">
        <f t="shared" si="9"/>
        <v>610</v>
      </c>
      <c r="B610" s="26">
        <v>104</v>
      </c>
      <c r="C610" s="153" t="s">
        <v>165</v>
      </c>
      <c r="D610" s="211" t="s">
        <v>180</v>
      </c>
      <c r="E610" s="212" t="s">
        <v>672</v>
      </c>
      <c r="F610" s="213" t="s">
        <v>488</v>
      </c>
      <c r="G610" s="214" t="s">
        <v>698</v>
      </c>
      <c r="H610" s="213" t="s">
        <v>19</v>
      </c>
      <c r="I610" s="215">
        <v>0</v>
      </c>
      <c r="J610" s="216"/>
      <c r="K610" s="216"/>
      <c r="L610" s="216"/>
      <c r="M610" s="216"/>
      <c r="N610" s="216"/>
      <c r="O610" s="217"/>
      <c r="P610" s="217"/>
      <c r="Q610" s="217"/>
      <c r="R610" s="217"/>
      <c r="S610" s="218"/>
    </row>
    <row r="611" spans="1:19" ht="15" customHeight="1">
      <c r="A611" s="413">
        <f t="shared" si="9"/>
        <v>611</v>
      </c>
      <c r="B611" s="26">
        <v>104</v>
      </c>
      <c r="C611" s="153" t="s">
        <v>165</v>
      </c>
      <c r="D611" s="211" t="s">
        <v>180</v>
      </c>
      <c r="E611" s="212" t="s">
        <v>672</v>
      </c>
      <c r="F611" s="213" t="s">
        <v>488</v>
      </c>
      <c r="G611" s="214" t="s">
        <v>699</v>
      </c>
      <c r="H611" s="213" t="s">
        <v>19</v>
      </c>
      <c r="I611" s="215">
        <v>0</v>
      </c>
      <c r="J611" s="216"/>
      <c r="K611" s="216"/>
      <c r="L611" s="216"/>
      <c r="M611" s="216"/>
      <c r="N611" s="216"/>
      <c r="O611" s="217"/>
      <c r="P611" s="217"/>
      <c r="Q611" s="217"/>
      <c r="R611" s="217"/>
      <c r="S611" s="218"/>
    </row>
    <row r="612" spans="1:19" ht="15" customHeight="1">
      <c r="A612" s="413">
        <f t="shared" si="9"/>
        <v>612</v>
      </c>
      <c r="B612" s="26">
        <v>104</v>
      </c>
      <c r="C612" s="153" t="s">
        <v>165</v>
      </c>
      <c r="D612" s="211" t="s">
        <v>180</v>
      </c>
      <c r="E612" s="212" t="s">
        <v>672</v>
      </c>
      <c r="F612" s="213" t="s">
        <v>488</v>
      </c>
      <c r="G612" s="214" t="s">
        <v>700</v>
      </c>
      <c r="H612" s="213" t="s">
        <v>19</v>
      </c>
      <c r="I612" s="215">
        <f>((6.5*2+9.5*2)*(21+9))*1.3</f>
        <v>1248</v>
      </c>
      <c r="J612" s="216"/>
      <c r="K612" s="216"/>
      <c r="L612" s="216">
        <v>2019</v>
      </c>
      <c r="M612" s="216"/>
      <c r="N612" s="216"/>
      <c r="O612" s="217"/>
      <c r="P612" s="217">
        <v>960</v>
      </c>
      <c r="Q612" s="217"/>
      <c r="R612" s="217"/>
      <c r="S612" s="218"/>
    </row>
    <row r="613" spans="1:19" ht="15" customHeight="1">
      <c r="A613" s="413">
        <f t="shared" si="9"/>
        <v>613</v>
      </c>
      <c r="B613" s="26">
        <v>104</v>
      </c>
      <c r="C613" s="153" t="s">
        <v>165</v>
      </c>
      <c r="D613" s="211" t="s">
        <v>180</v>
      </c>
      <c r="E613" s="212" t="s">
        <v>672</v>
      </c>
      <c r="F613" s="213" t="s">
        <v>488</v>
      </c>
      <c r="G613" s="214" t="s">
        <v>701</v>
      </c>
      <c r="H613" s="213" t="s">
        <v>19</v>
      </c>
      <c r="I613" s="215">
        <v>0</v>
      </c>
      <c r="J613" s="216"/>
      <c r="K613" s="216"/>
      <c r="L613" s="216"/>
      <c r="M613" s="216"/>
      <c r="N613" s="216"/>
      <c r="O613" s="217"/>
      <c r="P613" s="217"/>
      <c r="Q613" s="217"/>
      <c r="R613" s="217"/>
      <c r="S613" s="218"/>
    </row>
    <row r="614" spans="1:19" ht="15" customHeight="1">
      <c r="A614" s="413">
        <f t="shared" si="9"/>
        <v>614</v>
      </c>
      <c r="B614" s="26">
        <v>104</v>
      </c>
      <c r="C614" s="153" t="s">
        <v>165</v>
      </c>
      <c r="D614" s="211" t="s">
        <v>180</v>
      </c>
      <c r="E614" s="212" t="s">
        <v>672</v>
      </c>
      <c r="F614" s="213" t="s">
        <v>488</v>
      </c>
      <c r="G614" s="214" t="s">
        <v>702</v>
      </c>
      <c r="H614" s="213" t="s">
        <v>19</v>
      </c>
      <c r="I614" s="215">
        <v>0</v>
      </c>
      <c r="J614" s="216"/>
      <c r="K614" s="216"/>
      <c r="L614" s="216"/>
      <c r="M614" s="216"/>
      <c r="N614" s="216"/>
      <c r="O614" s="217"/>
      <c r="P614" s="217"/>
      <c r="Q614" s="217"/>
      <c r="R614" s="217"/>
      <c r="S614" s="218"/>
    </row>
    <row r="615" spans="1:19" ht="15" customHeight="1">
      <c r="A615" s="413">
        <f t="shared" si="9"/>
        <v>615</v>
      </c>
      <c r="B615" s="26">
        <v>104</v>
      </c>
      <c r="C615" s="153" t="s">
        <v>165</v>
      </c>
      <c r="D615" s="211" t="s">
        <v>180</v>
      </c>
      <c r="E615" s="212" t="s">
        <v>672</v>
      </c>
      <c r="F615" s="213" t="s">
        <v>488</v>
      </c>
      <c r="G615" s="214" t="s">
        <v>703</v>
      </c>
      <c r="H615" s="213" t="s">
        <v>19</v>
      </c>
      <c r="I615" s="215">
        <v>0</v>
      </c>
      <c r="J615" s="216"/>
      <c r="K615" s="216"/>
      <c r="L615" s="216"/>
      <c r="M615" s="216"/>
      <c r="N615" s="216"/>
      <c r="O615" s="217"/>
      <c r="P615" s="217"/>
      <c r="Q615" s="217"/>
      <c r="R615" s="217"/>
      <c r="S615" s="218"/>
    </row>
    <row r="616" spans="1:19" ht="15" customHeight="1">
      <c r="A616" s="413">
        <f t="shared" si="9"/>
        <v>616</v>
      </c>
      <c r="B616" s="26">
        <v>104</v>
      </c>
      <c r="C616" s="153" t="s">
        <v>165</v>
      </c>
      <c r="D616" s="211" t="s">
        <v>180</v>
      </c>
      <c r="E616" s="212" t="s">
        <v>672</v>
      </c>
      <c r="F616" s="213" t="s">
        <v>488</v>
      </c>
      <c r="G616" s="214" t="s">
        <v>704</v>
      </c>
      <c r="H616" s="213" t="s">
        <v>19</v>
      </c>
      <c r="I616" s="215">
        <v>0</v>
      </c>
      <c r="J616" s="216"/>
      <c r="K616" s="216"/>
      <c r="L616" s="216"/>
      <c r="M616" s="216"/>
      <c r="N616" s="216"/>
      <c r="O616" s="217"/>
      <c r="P616" s="217"/>
      <c r="Q616" s="217"/>
      <c r="R616" s="217"/>
      <c r="S616" s="218"/>
    </row>
    <row r="617" spans="1:19" ht="15" customHeight="1">
      <c r="A617" s="413">
        <f t="shared" si="9"/>
        <v>617</v>
      </c>
      <c r="B617" s="26">
        <v>104</v>
      </c>
      <c r="C617" s="153" t="s">
        <v>165</v>
      </c>
      <c r="D617" s="211" t="s">
        <v>180</v>
      </c>
      <c r="E617" s="212" t="s">
        <v>672</v>
      </c>
      <c r="F617" s="213" t="s">
        <v>488</v>
      </c>
      <c r="G617" s="214" t="s">
        <v>705</v>
      </c>
      <c r="H617" s="213" t="s">
        <v>19</v>
      </c>
      <c r="I617" s="215">
        <v>0</v>
      </c>
      <c r="J617" s="216"/>
      <c r="K617" s="216"/>
      <c r="L617" s="216"/>
      <c r="M617" s="216"/>
      <c r="N617" s="216"/>
      <c r="O617" s="217"/>
      <c r="P617" s="217"/>
      <c r="Q617" s="217"/>
      <c r="R617" s="217"/>
      <c r="S617" s="218"/>
    </row>
    <row r="618" spans="1:19" ht="15" customHeight="1">
      <c r="A618" s="413">
        <f t="shared" si="9"/>
        <v>618</v>
      </c>
      <c r="B618" s="26">
        <v>104</v>
      </c>
      <c r="C618" s="153" t="s">
        <v>165</v>
      </c>
      <c r="D618" s="211" t="s">
        <v>180</v>
      </c>
      <c r="E618" s="212" t="s">
        <v>672</v>
      </c>
      <c r="F618" s="213" t="s">
        <v>488</v>
      </c>
      <c r="G618" s="214" t="s">
        <v>706</v>
      </c>
      <c r="H618" s="213" t="s">
        <v>19</v>
      </c>
      <c r="I618" s="215">
        <v>0</v>
      </c>
      <c r="J618" s="216"/>
      <c r="K618" s="216"/>
      <c r="L618" s="216"/>
      <c r="M618" s="216"/>
      <c r="N618" s="216"/>
      <c r="O618" s="217"/>
      <c r="P618" s="217"/>
      <c r="Q618" s="217"/>
      <c r="R618" s="217"/>
      <c r="S618" s="218"/>
    </row>
    <row r="619" spans="1:19" ht="15" customHeight="1">
      <c r="A619" s="413">
        <f t="shared" si="9"/>
        <v>619</v>
      </c>
      <c r="B619" s="26">
        <v>104</v>
      </c>
      <c r="C619" s="153" t="s">
        <v>165</v>
      </c>
      <c r="D619" s="211" t="s">
        <v>180</v>
      </c>
      <c r="E619" s="212" t="s">
        <v>672</v>
      </c>
      <c r="F619" s="213" t="s">
        <v>488</v>
      </c>
      <c r="G619" s="214" t="s">
        <v>707</v>
      </c>
      <c r="H619" s="213" t="s">
        <v>19</v>
      </c>
      <c r="I619" s="215">
        <v>0</v>
      </c>
      <c r="J619" s="216"/>
      <c r="K619" s="216"/>
      <c r="L619" s="216"/>
      <c r="M619" s="216"/>
      <c r="N619" s="216"/>
      <c r="O619" s="217"/>
      <c r="P619" s="217"/>
      <c r="Q619" s="217"/>
      <c r="R619" s="217"/>
      <c r="S619" s="218"/>
    </row>
    <row r="620" spans="1:19" ht="15" customHeight="1">
      <c r="A620" s="413">
        <f t="shared" si="9"/>
        <v>620</v>
      </c>
      <c r="B620" s="26">
        <v>104</v>
      </c>
      <c r="C620" s="153" t="s">
        <v>165</v>
      </c>
      <c r="D620" s="211" t="s">
        <v>180</v>
      </c>
      <c r="E620" s="212" t="s">
        <v>672</v>
      </c>
      <c r="F620" s="213" t="s">
        <v>488</v>
      </c>
      <c r="G620" s="214" t="s">
        <v>708</v>
      </c>
      <c r="H620" s="213" t="s">
        <v>19</v>
      </c>
      <c r="I620" s="215">
        <v>57.2</v>
      </c>
      <c r="J620" s="216"/>
      <c r="K620" s="216"/>
      <c r="L620" s="216">
        <v>94</v>
      </c>
      <c r="M620" s="216"/>
      <c r="N620" s="216"/>
      <c r="O620" s="217"/>
      <c r="P620" s="217">
        <v>44</v>
      </c>
      <c r="Q620" s="217"/>
      <c r="R620" s="217"/>
      <c r="S620" s="218"/>
    </row>
    <row r="621" spans="1:19" ht="15" customHeight="1">
      <c r="A621" s="413">
        <f t="shared" si="9"/>
        <v>621</v>
      </c>
      <c r="B621" s="26">
        <v>104</v>
      </c>
      <c r="C621" s="153" t="s">
        <v>165</v>
      </c>
      <c r="D621" s="211" t="s">
        <v>180</v>
      </c>
      <c r="E621" s="212" t="s">
        <v>672</v>
      </c>
      <c r="F621" s="213" t="s">
        <v>488</v>
      </c>
      <c r="G621" s="214" t="s">
        <v>709</v>
      </c>
      <c r="H621" s="213" t="s">
        <v>19</v>
      </c>
      <c r="I621" s="215">
        <v>58.5</v>
      </c>
      <c r="J621" s="216"/>
      <c r="K621" s="216"/>
      <c r="L621" s="216">
        <v>100</v>
      </c>
      <c r="M621" s="216"/>
      <c r="N621" s="216"/>
      <c r="O621" s="217"/>
      <c r="P621" s="217">
        <v>45</v>
      </c>
      <c r="Q621" s="217"/>
      <c r="R621" s="217"/>
      <c r="S621" s="218"/>
    </row>
    <row r="622" spans="1:19" ht="15" customHeight="1">
      <c r="A622" s="413">
        <f t="shared" si="9"/>
        <v>622</v>
      </c>
      <c r="B622" s="26">
        <v>104</v>
      </c>
      <c r="C622" s="153" t="s">
        <v>165</v>
      </c>
      <c r="D622" s="211" t="s">
        <v>180</v>
      </c>
      <c r="E622" s="212" t="s">
        <v>672</v>
      </c>
      <c r="F622" s="213" t="s">
        <v>488</v>
      </c>
      <c r="G622" s="214" t="s">
        <v>710</v>
      </c>
      <c r="H622" s="213" t="s">
        <v>19</v>
      </c>
      <c r="I622" s="215">
        <v>28.6</v>
      </c>
      <c r="J622" s="216"/>
      <c r="K622" s="216"/>
      <c r="L622" s="216">
        <v>64</v>
      </c>
      <c r="M622" s="216"/>
      <c r="N622" s="216"/>
      <c r="O622" s="217"/>
      <c r="P622" s="217">
        <v>22</v>
      </c>
      <c r="Q622" s="217"/>
      <c r="R622" s="217"/>
      <c r="S622" s="218"/>
    </row>
    <row r="623" spans="1:19" ht="15" customHeight="1">
      <c r="A623" s="413">
        <f t="shared" si="9"/>
        <v>623</v>
      </c>
      <c r="B623" s="26">
        <v>105</v>
      </c>
      <c r="C623" s="153" t="s">
        <v>850</v>
      </c>
      <c r="D623" s="211" t="s">
        <v>180</v>
      </c>
      <c r="E623" s="212" t="s">
        <v>854</v>
      </c>
      <c r="F623" s="213" t="s">
        <v>969</v>
      </c>
      <c r="G623" s="214" t="s">
        <v>359</v>
      </c>
      <c r="H623" s="213" t="s">
        <v>1312</v>
      </c>
      <c r="I623" s="215">
        <v>21</v>
      </c>
      <c r="J623" s="216"/>
      <c r="K623" s="216"/>
      <c r="L623" s="216"/>
      <c r="M623" s="216"/>
      <c r="N623" s="216"/>
      <c r="O623" s="217"/>
      <c r="P623" s="217"/>
      <c r="Q623" s="217"/>
      <c r="R623" s="217"/>
      <c r="S623" s="218"/>
    </row>
    <row r="624" spans="1:19" ht="15" customHeight="1">
      <c r="A624" s="413">
        <f t="shared" si="9"/>
        <v>624</v>
      </c>
      <c r="B624" s="26">
        <v>105</v>
      </c>
      <c r="C624" s="153" t="s">
        <v>850</v>
      </c>
      <c r="D624" s="211" t="s">
        <v>180</v>
      </c>
      <c r="E624" s="212" t="s">
        <v>854</v>
      </c>
      <c r="F624" s="213" t="s">
        <v>970</v>
      </c>
      <c r="G624" s="214" t="s">
        <v>362</v>
      </c>
      <c r="H624" s="213" t="s">
        <v>1311</v>
      </c>
      <c r="I624" s="215">
        <f>((4.2+2+5.7)*4.25)*1.3</f>
        <v>65.747500000000002</v>
      </c>
      <c r="J624" s="216"/>
      <c r="K624" s="216">
        <v>32</v>
      </c>
      <c r="L624" s="216"/>
      <c r="M624" s="216">
        <f>(5.4*0.3)*2</f>
        <v>3.24</v>
      </c>
      <c r="N624" s="216">
        <f>(9.35+4.25+9.35)*2.7</f>
        <v>61.965000000000003</v>
      </c>
      <c r="O624" s="217"/>
      <c r="P624" s="217"/>
      <c r="Q624" s="217">
        <f>I624</f>
        <v>65.747500000000002</v>
      </c>
      <c r="R624" s="217"/>
      <c r="S624" s="218" t="s">
        <v>1154</v>
      </c>
    </row>
    <row r="625" spans="1:19" ht="15" customHeight="1">
      <c r="A625" s="413">
        <f t="shared" si="9"/>
        <v>625</v>
      </c>
      <c r="B625" s="26">
        <v>105</v>
      </c>
      <c r="C625" s="153" t="s">
        <v>850</v>
      </c>
      <c r="D625" s="211" t="s">
        <v>180</v>
      </c>
      <c r="E625" s="212" t="s">
        <v>854</v>
      </c>
      <c r="F625" s="213" t="s">
        <v>363</v>
      </c>
      <c r="G625" s="214" t="s">
        <v>361</v>
      </c>
      <c r="H625" s="213" t="s">
        <v>109</v>
      </c>
      <c r="I625" s="215">
        <v>725.4</v>
      </c>
      <c r="J625" s="216"/>
      <c r="K625" s="216"/>
      <c r="L625" s="216"/>
      <c r="M625" s="216">
        <f>0.5*(25+15)</f>
        <v>20</v>
      </c>
      <c r="N625" s="216">
        <f>((1.5+3.4+0.8+6+0.8+4.3+1.6+3.5+0.65+4+2.1+0.95+6.3+0.8+3.2+0.6+1.3+0.7+2.8+0.6+3+0.6+5+1.5+1.9+1+2.9+2.85+2+0.8+3.9+0.8+5+1.4+7+5.6+2.3+3.9+2.6+2.1+1.5+5+1.1+7.5+1.55+2+1.5+2+2.5+12.5+4.8+2.4+1.9+10.6+8.5)*3)+(37.7*3)</f>
        <v>615.30000000000007</v>
      </c>
      <c r="O625" s="217"/>
      <c r="P625" s="217">
        <f>I625+(14.8*11.5)</f>
        <v>895.6</v>
      </c>
      <c r="Q625" s="217"/>
      <c r="R625" s="217"/>
      <c r="S625" s="218" t="s">
        <v>1022</v>
      </c>
    </row>
    <row r="626" spans="1:19" ht="15" customHeight="1">
      <c r="A626" s="413">
        <f t="shared" si="9"/>
        <v>626</v>
      </c>
      <c r="B626" s="26">
        <v>105</v>
      </c>
      <c r="C626" s="153" t="s">
        <v>850</v>
      </c>
      <c r="D626" s="211" t="s">
        <v>180</v>
      </c>
      <c r="E626" s="212" t="s">
        <v>854</v>
      </c>
      <c r="F626" s="213" t="s">
        <v>971</v>
      </c>
      <c r="G626" s="214" t="s">
        <v>365</v>
      </c>
      <c r="H626" s="213" t="s">
        <v>1312</v>
      </c>
      <c r="I626" s="215">
        <v>21</v>
      </c>
      <c r="J626" s="216"/>
      <c r="K626" s="216"/>
      <c r="L626" s="216"/>
      <c r="M626" s="216"/>
      <c r="N626" s="216"/>
      <c r="O626" s="217"/>
      <c r="P626" s="217"/>
      <c r="Q626" s="217"/>
      <c r="R626" s="217"/>
      <c r="S626" s="218"/>
    </row>
    <row r="627" spans="1:19" ht="15" customHeight="1">
      <c r="A627" s="413">
        <f t="shared" si="9"/>
        <v>627</v>
      </c>
      <c r="B627" s="26">
        <v>105</v>
      </c>
      <c r="C627" s="153" t="s">
        <v>850</v>
      </c>
      <c r="D627" s="211" t="s">
        <v>180</v>
      </c>
      <c r="E627" s="212" t="s">
        <v>854</v>
      </c>
      <c r="F627" s="213" t="s">
        <v>972</v>
      </c>
      <c r="G627" s="214" t="s">
        <v>366</v>
      </c>
      <c r="H627" s="213" t="s">
        <v>1311</v>
      </c>
      <c r="I627" s="215">
        <f>((4.2+2+5.7)*4.25)*1.3</f>
        <v>65.747500000000002</v>
      </c>
      <c r="J627" s="216"/>
      <c r="K627" s="216">
        <v>32</v>
      </c>
      <c r="L627" s="216"/>
      <c r="M627" s="216">
        <f>(5.4*0.3)*2</f>
        <v>3.24</v>
      </c>
      <c r="N627" s="216">
        <f>(9.35+4.25+9.35)*2.7</f>
        <v>61.965000000000003</v>
      </c>
      <c r="O627" s="217"/>
      <c r="P627" s="217"/>
      <c r="Q627" s="217">
        <f>I627</f>
        <v>65.747500000000002</v>
      </c>
      <c r="R627" s="217"/>
      <c r="S627" s="218" t="s">
        <v>1154</v>
      </c>
    </row>
    <row r="628" spans="1:19" ht="15" customHeight="1">
      <c r="A628" s="413">
        <f t="shared" si="9"/>
        <v>628</v>
      </c>
      <c r="B628" s="26">
        <v>105</v>
      </c>
      <c r="C628" s="153" t="s">
        <v>850</v>
      </c>
      <c r="D628" s="211" t="s">
        <v>180</v>
      </c>
      <c r="E628" s="212" t="s">
        <v>854</v>
      </c>
      <c r="F628" s="213" t="s">
        <v>373</v>
      </c>
      <c r="G628" s="214" t="s">
        <v>367</v>
      </c>
      <c r="H628" s="213" t="s">
        <v>1312</v>
      </c>
      <c r="I628" s="215">
        <v>21</v>
      </c>
      <c r="J628" s="216"/>
      <c r="K628" s="216"/>
      <c r="L628" s="216"/>
      <c r="M628" s="216"/>
      <c r="N628" s="216"/>
      <c r="O628" s="217"/>
      <c r="P628" s="217"/>
      <c r="Q628" s="217"/>
      <c r="R628" s="217"/>
      <c r="S628" s="218"/>
    </row>
    <row r="629" spans="1:19" ht="15" customHeight="1">
      <c r="A629" s="413">
        <f t="shared" si="9"/>
        <v>629</v>
      </c>
      <c r="B629" s="26">
        <v>105</v>
      </c>
      <c r="C629" s="153" t="s">
        <v>850</v>
      </c>
      <c r="D629" s="211" t="s">
        <v>180</v>
      </c>
      <c r="E629" s="212" t="s">
        <v>854</v>
      </c>
      <c r="F629" s="213" t="s">
        <v>375</v>
      </c>
      <c r="G629" s="214" t="s">
        <v>369</v>
      </c>
      <c r="H629" s="213" t="s">
        <v>1311</v>
      </c>
      <c r="I629" s="215">
        <f>((5.1+1.8+2.75)*2.45)*1.3</f>
        <v>30.735249999999997</v>
      </c>
      <c r="J629" s="216"/>
      <c r="K629" s="216"/>
      <c r="L629" s="216"/>
      <c r="M629" s="216"/>
      <c r="N629" s="216"/>
      <c r="O629" s="217"/>
      <c r="P629" s="217"/>
      <c r="Q629" s="217"/>
      <c r="R629" s="217"/>
      <c r="S629" s="218"/>
    </row>
    <row r="630" spans="1:19" ht="15" customHeight="1">
      <c r="A630" s="413">
        <f t="shared" si="9"/>
        <v>630</v>
      </c>
      <c r="B630" s="26">
        <v>105</v>
      </c>
      <c r="C630" s="153" t="s">
        <v>850</v>
      </c>
      <c r="D630" s="211" t="s">
        <v>180</v>
      </c>
      <c r="E630" s="212" t="s">
        <v>854</v>
      </c>
      <c r="F630" s="213" t="s">
        <v>375</v>
      </c>
      <c r="G630" s="214" t="s">
        <v>371</v>
      </c>
      <c r="H630" s="213" t="s">
        <v>1311</v>
      </c>
      <c r="I630" s="215">
        <f>((5.1+1.8+2.75)*2.45)*1.3</f>
        <v>30.735249999999997</v>
      </c>
      <c r="J630" s="216"/>
      <c r="K630" s="216"/>
      <c r="L630" s="216"/>
      <c r="M630" s="216"/>
      <c r="N630" s="216"/>
      <c r="O630" s="217"/>
      <c r="P630" s="217"/>
      <c r="Q630" s="217"/>
      <c r="R630" s="217"/>
      <c r="S630" s="218"/>
    </row>
    <row r="631" spans="1:19" ht="15" customHeight="1">
      <c r="A631" s="413">
        <f t="shared" si="9"/>
        <v>631</v>
      </c>
      <c r="B631" s="26">
        <v>105</v>
      </c>
      <c r="C631" s="153" t="s">
        <v>850</v>
      </c>
      <c r="D631" s="211" t="s">
        <v>180</v>
      </c>
      <c r="E631" s="212" t="s">
        <v>854</v>
      </c>
      <c r="F631" s="213" t="s">
        <v>373</v>
      </c>
      <c r="G631" s="214" t="s">
        <v>372</v>
      </c>
      <c r="H631" s="213" t="s">
        <v>1312</v>
      </c>
      <c r="I631" s="215">
        <v>20</v>
      </c>
      <c r="J631" s="216"/>
      <c r="K631" s="216"/>
      <c r="L631" s="216"/>
      <c r="M631" s="216"/>
      <c r="N631" s="216"/>
      <c r="O631" s="217"/>
      <c r="P631" s="217"/>
      <c r="Q631" s="217"/>
      <c r="R631" s="217"/>
      <c r="S631" s="218"/>
    </row>
    <row r="632" spans="1:19" ht="15" customHeight="1">
      <c r="A632" s="413">
        <f t="shared" si="9"/>
        <v>632</v>
      </c>
      <c r="B632" s="26">
        <v>105</v>
      </c>
      <c r="C632" s="153" t="s">
        <v>850</v>
      </c>
      <c r="D632" s="211" t="s">
        <v>180</v>
      </c>
      <c r="E632" s="212" t="s">
        <v>854</v>
      </c>
      <c r="F632" s="213" t="s">
        <v>363</v>
      </c>
      <c r="G632" s="214" t="s">
        <v>374</v>
      </c>
      <c r="H632" s="213" t="s">
        <v>109</v>
      </c>
      <c r="I632" s="215">
        <v>620.1</v>
      </c>
      <c r="J632" s="216"/>
      <c r="K632" s="216"/>
      <c r="L632" s="216"/>
      <c r="M632" s="216">
        <f>(19+17)*0.5</f>
        <v>18</v>
      </c>
      <c r="N632" s="216">
        <f>(6.75+7.15+1.4+8.15+7.1+4.3+3.35+1.7+1+0.8+3.7+0.8+14.7+17.3+1+1.4+3.35+4.3+7.1+4.8+0.8+3+0.8+3.6+1.4+7.15+6.75+11.5+11.5+15)*3</f>
        <v>484.94999999999993</v>
      </c>
      <c r="O632" s="217"/>
      <c r="P632" s="217"/>
      <c r="Q632" s="217">
        <f>I632+(11.5*15)</f>
        <v>792.6</v>
      </c>
      <c r="R632" s="217"/>
      <c r="S632" s="218" t="s">
        <v>1022</v>
      </c>
    </row>
    <row r="633" spans="1:19" ht="15" customHeight="1">
      <c r="A633" s="413">
        <f t="shared" si="9"/>
        <v>633</v>
      </c>
      <c r="B633" s="26">
        <v>105</v>
      </c>
      <c r="C633" s="153" t="s">
        <v>850</v>
      </c>
      <c r="D633" s="211" t="s">
        <v>180</v>
      </c>
      <c r="E633" s="212" t="s">
        <v>854</v>
      </c>
      <c r="F633" s="213" t="s">
        <v>973</v>
      </c>
      <c r="G633" s="214" t="s">
        <v>376</v>
      </c>
      <c r="H633" s="213" t="s">
        <v>1311</v>
      </c>
      <c r="I633" s="215">
        <f>((4.2+2+5.7)*4.25)*1.3</f>
        <v>65.747500000000002</v>
      </c>
      <c r="J633" s="216"/>
      <c r="K633" s="216">
        <v>32</v>
      </c>
      <c r="L633" s="216"/>
      <c r="M633" s="216">
        <f>(5.4*0.3)*2</f>
        <v>3.24</v>
      </c>
      <c r="N633" s="216">
        <f>(9.35+4.25+9.35)*2.7</f>
        <v>61.965000000000003</v>
      </c>
      <c r="O633" s="217"/>
      <c r="P633" s="217"/>
      <c r="Q633" s="217">
        <f>I633</f>
        <v>65.747500000000002</v>
      </c>
      <c r="R633" s="217"/>
      <c r="S633" s="218" t="s">
        <v>1154</v>
      </c>
    </row>
    <row r="634" spans="1:19" ht="15" customHeight="1">
      <c r="A634" s="413">
        <f t="shared" si="9"/>
        <v>634</v>
      </c>
      <c r="B634" s="26">
        <v>105</v>
      </c>
      <c r="C634" s="153" t="s">
        <v>850</v>
      </c>
      <c r="D634" s="211" t="s">
        <v>180</v>
      </c>
      <c r="E634" s="212" t="s">
        <v>854</v>
      </c>
      <c r="F634" s="213" t="s">
        <v>974</v>
      </c>
      <c r="G634" s="214" t="s">
        <v>378</v>
      </c>
      <c r="H634" s="213" t="s">
        <v>1312</v>
      </c>
      <c r="I634" s="215">
        <v>22</v>
      </c>
      <c r="J634" s="216"/>
      <c r="K634" s="216"/>
      <c r="L634" s="216"/>
      <c r="M634" s="216"/>
      <c r="N634" s="216"/>
      <c r="O634" s="217"/>
      <c r="P634" s="217"/>
      <c r="Q634" s="217"/>
      <c r="R634" s="217"/>
      <c r="S634" s="218"/>
    </row>
    <row r="635" spans="1:19" ht="15" customHeight="1">
      <c r="A635" s="413">
        <f t="shared" si="9"/>
        <v>635</v>
      </c>
      <c r="B635" s="26">
        <v>105</v>
      </c>
      <c r="C635" s="153" t="s">
        <v>850</v>
      </c>
      <c r="D635" s="211" t="s">
        <v>180</v>
      </c>
      <c r="E635" s="212" t="s">
        <v>854</v>
      </c>
      <c r="F635" s="213" t="s">
        <v>975</v>
      </c>
      <c r="G635" s="214" t="s">
        <v>732</v>
      </c>
      <c r="H635" s="213" t="s">
        <v>1311</v>
      </c>
      <c r="I635" s="215">
        <f>((4.2+2+5.7)*4.25)*1.3</f>
        <v>65.747500000000002</v>
      </c>
      <c r="J635" s="216"/>
      <c r="K635" s="216">
        <v>32</v>
      </c>
      <c r="L635" s="216"/>
      <c r="M635" s="216">
        <f>(5.4*0.3)*2</f>
        <v>3.24</v>
      </c>
      <c r="N635" s="216">
        <f>(9.35+4.25+9.35)*2.7</f>
        <v>61.965000000000003</v>
      </c>
      <c r="O635" s="217"/>
      <c r="P635" s="217"/>
      <c r="Q635" s="217">
        <f>I635</f>
        <v>65.747500000000002</v>
      </c>
      <c r="R635" s="217"/>
      <c r="S635" s="218" t="s">
        <v>1154</v>
      </c>
    </row>
    <row r="636" spans="1:19" ht="15" customHeight="1">
      <c r="A636" s="413">
        <f t="shared" si="9"/>
        <v>636</v>
      </c>
      <c r="B636" s="26">
        <v>105</v>
      </c>
      <c r="C636" s="153" t="s">
        <v>850</v>
      </c>
      <c r="D636" s="211" t="s">
        <v>180</v>
      </c>
      <c r="E636" s="212" t="s">
        <v>854</v>
      </c>
      <c r="F636" s="213" t="s">
        <v>976</v>
      </c>
      <c r="G636" s="214" t="s">
        <v>380</v>
      </c>
      <c r="H636" s="213" t="s">
        <v>1312</v>
      </c>
      <c r="I636" s="215">
        <v>22</v>
      </c>
      <c r="J636" s="216"/>
      <c r="K636" s="216"/>
      <c r="L636" s="216"/>
      <c r="M636" s="216"/>
      <c r="N636" s="216"/>
      <c r="O636" s="217"/>
      <c r="P636" s="217"/>
      <c r="Q636" s="217"/>
      <c r="R636" s="217"/>
      <c r="S636" s="218"/>
    </row>
    <row r="637" spans="1:19" ht="15" customHeight="1">
      <c r="A637" s="413">
        <f t="shared" si="9"/>
        <v>637</v>
      </c>
      <c r="B637" s="26">
        <v>105</v>
      </c>
      <c r="C637" s="153" t="s">
        <v>850</v>
      </c>
      <c r="D637" s="211" t="s">
        <v>180</v>
      </c>
      <c r="E637" s="212" t="s">
        <v>854</v>
      </c>
      <c r="F637" s="213" t="s">
        <v>977</v>
      </c>
      <c r="G637" s="214" t="s">
        <v>297</v>
      </c>
      <c r="H637" s="213"/>
      <c r="I637" s="215">
        <v>2</v>
      </c>
      <c r="J637" s="216"/>
      <c r="K637" s="216">
        <v>46</v>
      </c>
      <c r="L637" s="216"/>
      <c r="M637" s="216"/>
      <c r="N637" s="216"/>
      <c r="O637" s="217"/>
      <c r="P637" s="217"/>
      <c r="Q637" s="217"/>
      <c r="R637" s="217"/>
      <c r="S637" s="218" t="s">
        <v>1154</v>
      </c>
    </row>
    <row r="638" spans="1:19" ht="15" customHeight="1">
      <c r="A638" s="413">
        <f t="shared" si="9"/>
        <v>638</v>
      </c>
      <c r="B638" s="26">
        <v>105</v>
      </c>
      <c r="C638" s="153" t="s">
        <v>850</v>
      </c>
      <c r="D638" s="211" t="s">
        <v>180</v>
      </c>
      <c r="E638" s="212" t="s">
        <v>854</v>
      </c>
      <c r="F638" s="213" t="s">
        <v>978</v>
      </c>
      <c r="G638" s="214" t="s">
        <v>384</v>
      </c>
      <c r="H638" s="213" t="s">
        <v>298</v>
      </c>
      <c r="I638" s="215">
        <v>2</v>
      </c>
      <c r="J638" s="216"/>
      <c r="K638" s="216">
        <v>46</v>
      </c>
      <c r="L638" s="216"/>
      <c r="M638" s="216"/>
      <c r="N638" s="216"/>
      <c r="O638" s="217"/>
      <c r="P638" s="217"/>
      <c r="Q638" s="217"/>
      <c r="R638" s="217"/>
      <c r="S638" s="218" t="s">
        <v>1154</v>
      </c>
    </row>
    <row r="639" spans="1:19" ht="15" customHeight="1">
      <c r="A639" s="413">
        <f t="shared" si="9"/>
        <v>639</v>
      </c>
      <c r="B639" s="26">
        <v>105</v>
      </c>
      <c r="C639" s="153" t="s">
        <v>850</v>
      </c>
      <c r="D639" s="211" t="s">
        <v>180</v>
      </c>
      <c r="E639" s="212" t="s">
        <v>854</v>
      </c>
      <c r="F639" s="213" t="s">
        <v>125</v>
      </c>
      <c r="G639" s="214" t="s">
        <v>174</v>
      </c>
      <c r="H639" s="213" t="s">
        <v>298</v>
      </c>
      <c r="I639" s="215">
        <f>(2.05*2.85)*1.3</f>
        <v>7.5952499999999992</v>
      </c>
      <c r="J639" s="216"/>
      <c r="K639" s="216"/>
      <c r="L639" s="216">
        <f>(2.85+2.05+2.85+2.05)*3</f>
        <v>29.400000000000002</v>
      </c>
      <c r="M639" s="216"/>
      <c r="N639" s="216"/>
      <c r="O639" s="217"/>
      <c r="P639" s="217">
        <f>I639</f>
        <v>7.5952499999999992</v>
      </c>
      <c r="Q639" s="217"/>
      <c r="R639" s="217"/>
      <c r="S639" s="218" t="s">
        <v>1022</v>
      </c>
    </row>
    <row r="640" spans="1:19" ht="15" customHeight="1">
      <c r="A640" s="413">
        <f t="shared" si="9"/>
        <v>640</v>
      </c>
      <c r="B640" s="26">
        <v>105</v>
      </c>
      <c r="C640" s="153" t="s">
        <v>850</v>
      </c>
      <c r="D640" s="211" t="s">
        <v>180</v>
      </c>
      <c r="E640" s="212" t="s">
        <v>854</v>
      </c>
      <c r="F640" s="213" t="s">
        <v>175</v>
      </c>
      <c r="G640" s="214" t="s">
        <v>390</v>
      </c>
      <c r="H640" s="213" t="s">
        <v>44</v>
      </c>
      <c r="I640" s="215">
        <f>((1*2.15))*1.3</f>
        <v>2.7949999999999999</v>
      </c>
      <c r="J640" s="216"/>
      <c r="K640" s="216"/>
      <c r="L640" s="216">
        <f>(1+2.15+1+2.15)*3</f>
        <v>18.900000000000002</v>
      </c>
      <c r="M640" s="216"/>
      <c r="N640" s="216"/>
      <c r="O640" s="217"/>
      <c r="P640" s="217">
        <f>I640</f>
        <v>2.7949999999999999</v>
      </c>
      <c r="Q640" s="217"/>
      <c r="R640" s="217"/>
      <c r="S640" s="218" t="s">
        <v>1022</v>
      </c>
    </row>
    <row r="641" spans="1:19" ht="15" customHeight="1">
      <c r="A641" s="413">
        <f t="shared" si="9"/>
        <v>641</v>
      </c>
      <c r="B641" s="26">
        <v>105</v>
      </c>
      <c r="C641" s="153" t="s">
        <v>850</v>
      </c>
      <c r="D641" s="211" t="s">
        <v>180</v>
      </c>
      <c r="E641" s="212" t="s">
        <v>854</v>
      </c>
      <c r="F641" s="213" t="s">
        <v>175</v>
      </c>
      <c r="G641" s="214" t="s">
        <v>389</v>
      </c>
      <c r="H641" s="213"/>
      <c r="I641" s="215">
        <v>0</v>
      </c>
      <c r="J641" s="216"/>
      <c r="K641" s="216"/>
      <c r="L641" s="216"/>
      <c r="M641" s="216"/>
      <c r="N641" s="216"/>
      <c r="O641" s="217"/>
      <c r="P641" s="217"/>
      <c r="Q641" s="217"/>
      <c r="R641" s="217"/>
      <c r="S641" s="218" t="s">
        <v>1023</v>
      </c>
    </row>
    <row r="642" spans="1:19" ht="15" customHeight="1">
      <c r="A642" s="413">
        <f t="shared" si="9"/>
        <v>642</v>
      </c>
      <c r="B642" s="26">
        <v>105</v>
      </c>
      <c r="C642" s="153" t="s">
        <v>850</v>
      </c>
      <c r="D642" s="211" t="s">
        <v>180</v>
      </c>
      <c r="E642" s="212" t="s">
        <v>854</v>
      </c>
      <c r="F642" s="213" t="s">
        <v>175</v>
      </c>
      <c r="G642" s="214" t="s">
        <v>392</v>
      </c>
      <c r="H642" s="213" t="s">
        <v>44</v>
      </c>
      <c r="I642" s="215">
        <f>(1.5*1)*1.3</f>
        <v>1.9500000000000002</v>
      </c>
      <c r="J642" s="216"/>
      <c r="K642" s="216"/>
      <c r="L642" s="216">
        <f>(1.5+1+1.5+1)*3</f>
        <v>15</v>
      </c>
      <c r="M642" s="216"/>
      <c r="N642" s="216"/>
      <c r="O642" s="217"/>
      <c r="P642" s="217">
        <f>I642</f>
        <v>1.9500000000000002</v>
      </c>
      <c r="Q642" s="217"/>
      <c r="R642" s="217"/>
      <c r="S642" s="218" t="s">
        <v>1022</v>
      </c>
    </row>
    <row r="643" spans="1:19" ht="15" customHeight="1">
      <c r="A643" s="413">
        <f t="shared" ref="A643:A706" si="10">1+A642</f>
        <v>643</v>
      </c>
      <c r="B643" s="26">
        <v>105</v>
      </c>
      <c r="C643" s="153" t="s">
        <v>850</v>
      </c>
      <c r="D643" s="211" t="s">
        <v>180</v>
      </c>
      <c r="E643" s="212" t="s">
        <v>854</v>
      </c>
      <c r="F643" s="213" t="s">
        <v>175</v>
      </c>
      <c r="G643" s="214" t="s">
        <v>979</v>
      </c>
      <c r="H643" s="213" t="s">
        <v>44</v>
      </c>
      <c r="I643" s="215">
        <f>(1.8*1.8)*1.3</f>
        <v>4.2120000000000006</v>
      </c>
      <c r="J643" s="216"/>
      <c r="K643" s="216"/>
      <c r="L643" s="216">
        <f>(1.8+1.8+1.8+1.8)*3</f>
        <v>21.6</v>
      </c>
      <c r="M643" s="216"/>
      <c r="N643" s="216"/>
      <c r="O643" s="217"/>
      <c r="P643" s="217">
        <f>I643</f>
        <v>4.2120000000000006</v>
      </c>
      <c r="Q643" s="217"/>
      <c r="R643" s="217"/>
      <c r="S643" s="218" t="s">
        <v>1022</v>
      </c>
    </row>
    <row r="644" spans="1:19" ht="15" customHeight="1">
      <c r="A644" s="413">
        <f t="shared" si="10"/>
        <v>644</v>
      </c>
      <c r="B644" s="26">
        <v>105</v>
      </c>
      <c r="C644" s="153" t="s">
        <v>850</v>
      </c>
      <c r="D644" s="211" t="s">
        <v>180</v>
      </c>
      <c r="E644" s="212" t="s">
        <v>854</v>
      </c>
      <c r="F644" s="213" t="s">
        <v>175</v>
      </c>
      <c r="G644" s="214" t="s">
        <v>980</v>
      </c>
      <c r="H644" s="213" t="s">
        <v>44</v>
      </c>
      <c r="I644" s="215">
        <f>(4.3*1.1)*1.3</f>
        <v>6.1490000000000009</v>
      </c>
      <c r="J644" s="216"/>
      <c r="K644" s="216"/>
      <c r="L644" s="216">
        <f>(4.3+1.1+4.3+1.1)*3</f>
        <v>32.4</v>
      </c>
      <c r="M644" s="216"/>
      <c r="N644" s="216"/>
      <c r="O644" s="217"/>
      <c r="P644" s="217"/>
      <c r="Q644" s="217">
        <f>I644</f>
        <v>6.1490000000000009</v>
      </c>
      <c r="R644" s="217"/>
      <c r="S644" s="218" t="s">
        <v>1024</v>
      </c>
    </row>
    <row r="645" spans="1:19" ht="15" customHeight="1">
      <c r="A645" s="413">
        <f t="shared" si="10"/>
        <v>645</v>
      </c>
      <c r="B645" s="26">
        <v>105</v>
      </c>
      <c r="C645" s="153" t="s">
        <v>850</v>
      </c>
      <c r="D645" s="211" t="s">
        <v>180</v>
      </c>
      <c r="E645" s="212" t="s">
        <v>854</v>
      </c>
      <c r="F645" s="213" t="s">
        <v>175</v>
      </c>
      <c r="G645" s="214" t="s">
        <v>981</v>
      </c>
      <c r="H645" s="213" t="s">
        <v>44</v>
      </c>
      <c r="I645" s="215">
        <f>(5.8*1.15)*1.3</f>
        <v>8.6709999999999994</v>
      </c>
      <c r="J645" s="216"/>
      <c r="K645" s="216"/>
      <c r="L645" s="216">
        <f>(5.8+1.15+5.8+1.15)*3</f>
        <v>41.7</v>
      </c>
      <c r="M645" s="216"/>
      <c r="N645" s="216"/>
      <c r="O645" s="217"/>
      <c r="P645" s="217"/>
      <c r="Q645" s="217">
        <f>0.5*I645</f>
        <v>4.3354999999999997</v>
      </c>
      <c r="R645" s="217"/>
      <c r="S645" s="218" t="s">
        <v>1022</v>
      </c>
    </row>
    <row r="646" spans="1:19" ht="15" customHeight="1">
      <c r="A646" s="413">
        <f t="shared" si="10"/>
        <v>646</v>
      </c>
      <c r="B646" s="26">
        <v>105</v>
      </c>
      <c r="C646" s="153" t="s">
        <v>850</v>
      </c>
      <c r="D646" s="211" t="s">
        <v>180</v>
      </c>
      <c r="E646" s="212" t="s">
        <v>854</v>
      </c>
      <c r="F646" s="213" t="s">
        <v>177</v>
      </c>
      <c r="G646" s="214" t="s">
        <v>425</v>
      </c>
      <c r="H646" s="213" t="s">
        <v>44</v>
      </c>
      <c r="I646" s="215">
        <f>((1.15*2.1)+(2.2*2.6))*1.3</f>
        <v>10.575500000000002</v>
      </c>
      <c r="J646" s="216"/>
      <c r="K646" s="216"/>
      <c r="L646" s="216">
        <f>(1.15+2.1+1.45+2.2+2.6+4.3)*3</f>
        <v>41.400000000000006</v>
      </c>
      <c r="M646" s="216"/>
      <c r="N646" s="216"/>
      <c r="O646" s="217"/>
      <c r="P646" s="217">
        <f t="shared" ref="P646:P659" si="11">I646</f>
        <v>10.575500000000002</v>
      </c>
      <c r="Q646" s="217"/>
      <c r="R646" s="217"/>
      <c r="S646" s="218" t="s">
        <v>1022</v>
      </c>
    </row>
    <row r="647" spans="1:19" ht="15" customHeight="1">
      <c r="A647" s="413">
        <f t="shared" si="10"/>
        <v>647</v>
      </c>
      <c r="B647" s="26">
        <v>105</v>
      </c>
      <c r="C647" s="153" t="s">
        <v>850</v>
      </c>
      <c r="D647" s="211" t="s">
        <v>180</v>
      </c>
      <c r="E647" s="212" t="s">
        <v>854</v>
      </c>
      <c r="F647" s="213" t="s">
        <v>41</v>
      </c>
      <c r="G647" s="214" t="s">
        <v>441</v>
      </c>
      <c r="H647" s="213" t="s">
        <v>44</v>
      </c>
      <c r="I647" s="215">
        <f>(4.2*2.7)*1.3</f>
        <v>14.742000000000003</v>
      </c>
      <c r="J647" s="216"/>
      <c r="K647" s="216"/>
      <c r="L647" s="216"/>
      <c r="M647" s="216"/>
      <c r="N647" s="216">
        <f>(4.2+2.7+4.2+2.7)*3</f>
        <v>41.400000000000006</v>
      </c>
      <c r="O647" s="217"/>
      <c r="P647" s="217">
        <f t="shared" si="11"/>
        <v>14.742000000000003</v>
      </c>
      <c r="Q647" s="217"/>
      <c r="R647" s="217"/>
      <c r="S647" s="218"/>
    </row>
    <row r="648" spans="1:19" ht="15" customHeight="1">
      <c r="A648" s="413">
        <f t="shared" si="10"/>
        <v>648</v>
      </c>
      <c r="B648" s="26">
        <v>105</v>
      </c>
      <c r="C648" s="153" t="s">
        <v>850</v>
      </c>
      <c r="D648" s="211" t="s">
        <v>180</v>
      </c>
      <c r="E648" s="212" t="s">
        <v>854</v>
      </c>
      <c r="F648" s="213" t="s">
        <v>41</v>
      </c>
      <c r="G648" s="214" t="s">
        <v>443</v>
      </c>
      <c r="H648" s="213" t="s">
        <v>44</v>
      </c>
      <c r="I648" s="215">
        <f>((2.15*1.55)-1)*1.3</f>
        <v>3.0322500000000003</v>
      </c>
      <c r="J648" s="216"/>
      <c r="K648" s="216"/>
      <c r="L648" s="216">
        <f>(2.15+1.55+2.15+1.55)*3</f>
        <v>22.2</v>
      </c>
      <c r="M648" s="216"/>
      <c r="N648" s="216"/>
      <c r="O648" s="217"/>
      <c r="P648" s="217">
        <f t="shared" si="11"/>
        <v>3.0322500000000003</v>
      </c>
      <c r="Q648" s="217"/>
      <c r="R648" s="217"/>
      <c r="S648" s="218"/>
    </row>
    <row r="649" spans="1:19" ht="15" customHeight="1">
      <c r="A649" s="413">
        <f t="shared" si="10"/>
        <v>649</v>
      </c>
      <c r="B649" s="26">
        <v>105</v>
      </c>
      <c r="C649" s="153" t="s">
        <v>850</v>
      </c>
      <c r="D649" s="211" t="s">
        <v>180</v>
      </c>
      <c r="E649" s="212" t="s">
        <v>854</v>
      </c>
      <c r="F649" s="213" t="s">
        <v>41</v>
      </c>
      <c r="G649" s="214" t="s">
        <v>442</v>
      </c>
      <c r="H649" s="213" t="s">
        <v>44</v>
      </c>
      <c r="I649" s="215">
        <f>(2.1*1.55)*1.3</f>
        <v>4.2315000000000005</v>
      </c>
      <c r="J649" s="216"/>
      <c r="K649" s="216"/>
      <c r="L649" s="216">
        <f>(2.1+1.55+2.1+1.55)*3</f>
        <v>21.9</v>
      </c>
      <c r="M649" s="216"/>
      <c r="N649" s="216"/>
      <c r="O649" s="217"/>
      <c r="P649" s="217">
        <f t="shared" si="11"/>
        <v>4.2315000000000005</v>
      </c>
      <c r="Q649" s="217"/>
      <c r="R649" s="217"/>
      <c r="S649" s="218"/>
    </row>
    <row r="650" spans="1:19" ht="15" customHeight="1">
      <c r="A650" s="413">
        <f t="shared" si="10"/>
        <v>650</v>
      </c>
      <c r="B650" s="26">
        <v>105</v>
      </c>
      <c r="C650" s="153" t="s">
        <v>850</v>
      </c>
      <c r="D650" s="211" t="s">
        <v>180</v>
      </c>
      <c r="E650" s="212" t="s">
        <v>854</v>
      </c>
      <c r="F650" s="213" t="s">
        <v>41</v>
      </c>
      <c r="G650" s="214" t="s">
        <v>444</v>
      </c>
      <c r="H650" s="213" t="s">
        <v>44</v>
      </c>
      <c r="I650" s="215">
        <f>(2.25*2)*1.3</f>
        <v>5.8500000000000005</v>
      </c>
      <c r="J650" s="216"/>
      <c r="K650" s="216"/>
      <c r="L650" s="216">
        <f>(2.25+2+2.25+2)*3</f>
        <v>25.5</v>
      </c>
      <c r="M650" s="216"/>
      <c r="N650" s="216"/>
      <c r="O650" s="217"/>
      <c r="P650" s="217">
        <f t="shared" si="11"/>
        <v>5.8500000000000005</v>
      </c>
      <c r="Q650" s="217"/>
      <c r="R650" s="217"/>
      <c r="S650" s="218" t="s">
        <v>1022</v>
      </c>
    </row>
    <row r="651" spans="1:19" ht="15" customHeight="1">
      <c r="A651" s="413">
        <f t="shared" si="10"/>
        <v>651</v>
      </c>
      <c r="B651" s="26">
        <v>105</v>
      </c>
      <c r="C651" s="153" t="s">
        <v>850</v>
      </c>
      <c r="D651" s="211" t="s">
        <v>180</v>
      </c>
      <c r="E651" s="212" t="s">
        <v>854</v>
      </c>
      <c r="F651" s="213" t="s">
        <v>446</v>
      </c>
      <c r="G651" s="214" t="s">
        <v>447</v>
      </c>
      <c r="H651" s="213" t="s">
        <v>148</v>
      </c>
      <c r="I651" s="215">
        <f>((3*1.9)+(0.9*1.35))*1.3</f>
        <v>8.9894999999999996</v>
      </c>
      <c r="J651" s="216">
        <f>(4.35+1.9+3+1+1.35+0.9)*2.3</f>
        <v>28.749999999999996</v>
      </c>
      <c r="K651" s="216"/>
      <c r="L651" s="216"/>
      <c r="M651" s="216"/>
      <c r="N651" s="216"/>
      <c r="O651" s="217"/>
      <c r="P651" s="217">
        <f t="shared" si="11"/>
        <v>8.9894999999999996</v>
      </c>
      <c r="Q651" s="217"/>
      <c r="R651" s="217"/>
      <c r="S651" s="218" t="s">
        <v>1025</v>
      </c>
    </row>
    <row r="652" spans="1:19" ht="15" customHeight="1">
      <c r="A652" s="413">
        <f t="shared" si="10"/>
        <v>652</v>
      </c>
      <c r="B652" s="26">
        <v>105</v>
      </c>
      <c r="C652" s="153" t="s">
        <v>850</v>
      </c>
      <c r="D652" s="211" t="s">
        <v>180</v>
      </c>
      <c r="E652" s="212" t="s">
        <v>854</v>
      </c>
      <c r="F652" s="213" t="s">
        <v>446</v>
      </c>
      <c r="G652" s="214" t="s">
        <v>448</v>
      </c>
      <c r="H652" s="213" t="s">
        <v>148</v>
      </c>
      <c r="I652" s="215">
        <f>(0.8*1.4)*1.3</f>
        <v>1.456</v>
      </c>
      <c r="J652" s="216">
        <f>(1.4+0.8+1.4+0.8)*2.45</f>
        <v>10.780000000000001</v>
      </c>
      <c r="K652" s="216"/>
      <c r="L652" s="216"/>
      <c r="M652" s="216"/>
      <c r="N652" s="216"/>
      <c r="O652" s="217"/>
      <c r="P652" s="217">
        <f t="shared" si="11"/>
        <v>1.456</v>
      </c>
      <c r="Q652" s="217"/>
      <c r="R652" s="217"/>
      <c r="S652" s="218" t="s">
        <v>1025</v>
      </c>
    </row>
    <row r="653" spans="1:19" ht="15" customHeight="1">
      <c r="A653" s="413">
        <f t="shared" si="10"/>
        <v>653</v>
      </c>
      <c r="B653" s="26">
        <v>105</v>
      </c>
      <c r="C653" s="153" t="s">
        <v>850</v>
      </c>
      <c r="D653" s="211" t="s">
        <v>180</v>
      </c>
      <c r="E653" s="212" t="s">
        <v>854</v>
      </c>
      <c r="F653" s="213" t="s">
        <v>446</v>
      </c>
      <c r="G653" s="214" t="s">
        <v>449</v>
      </c>
      <c r="H653" s="213" t="s">
        <v>148</v>
      </c>
      <c r="I653" s="215">
        <f>(1.2*1.4)*1.3</f>
        <v>2.1840000000000002</v>
      </c>
      <c r="J653" s="216">
        <f>(1.4+1.2+1.4+1.2)*2.45</f>
        <v>12.739999999999998</v>
      </c>
      <c r="K653" s="216"/>
      <c r="L653" s="216"/>
      <c r="M653" s="216"/>
      <c r="N653" s="216"/>
      <c r="O653" s="217"/>
      <c r="P653" s="217">
        <f t="shared" si="11"/>
        <v>2.1840000000000002</v>
      </c>
      <c r="Q653" s="217"/>
      <c r="R653" s="217"/>
      <c r="S653" s="218" t="s">
        <v>1025</v>
      </c>
    </row>
    <row r="654" spans="1:19" ht="15" customHeight="1">
      <c r="A654" s="413">
        <f t="shared" si="10"/>
        <v>654</v>
      </c>
      <c r="B654" s="26">
        <v>105</v>
      </c>
      <c r="C654" s="153" t="s">
        <v>850</v>
      </c>
      <c r="D654" s="211" t="s">
        <v>180</v>
      </c>
      <c r="E654" s="212" t="s">
        <v>854</v>
      </c>
      <c r="F654" s="213" t="s">
        <v>446</v>
      </c>
      <c r="G654" s="214" t="s">
        <v>450</v>
      </c>
      <c r="H654" s="213" t="s">
        <v>148</v>
      </c>
      <c r="I654" s="215">
        <f>(0.8*1.4)*1.3</f>
        <v>1.456</v>
      </c>
      <c r="J654" s="216">
        <f>(1.4+0.8+1.4+0.8)*2.45</f>
        <v>10.780000000000001</v>
      </c>
      <c r="K654" s="216"/>
      <c r="L654" s="216"/>
      <c r="M654" s="216"/>
      <c r="N654" s="216"/>
      <c r="O654" s="217"/>
      <c r="P654" s="217">
        <f t="shared" si="11"/>
        <v>1.456</v>
      </c>
      <c r="Q654" s="217"/>
      <c r="R654" s="217"/>
      <c r="S654" s="218" t="s">
        <v>1025</v>
      </c>
    </row>
    <row r="655" spans="1:19" ht="15" customHeight="1">
      <c r="A655" s="413">
        <f t="shared" si="10"/>
        <v>655</v>
      </c>
      <c r="B655" s="26">
        <v>105</v>
      </c>
      <c r="C655" s="153" t="s">
        <v>850</v>
      </c>
      <c r="D655" s="211" t="s">
        <v>180</v>
      </c>
      <c r="E655" s="212" t="s">
        <v>854</v>
      </c>
      <c r="F655" s="213" t="s">
        <v>446</v>
      </c>
      <c r="G655" s="214" t="s">
        <v>451</v>
      </c>
      <c r="H655" s="213" t="s">
        <v>148</v>
      </c>
      <c r="I655" s="215">
        <f>(1.2*1.4)*1.3</f>
        <v>2.1840000000000002</v>
      </c>
      <c r="J655" s="216">
        <f>(1.4+1.2+1.4+1.2)*2.45</f>
        <v>12.739999999999998</v>
      </c>
      <c r="K655" s="216"/>
      <c r="L655" s="216"/>
      <c r="M655" s="216"/>
      <c r="N655" s="216"/>
      <c r="O655" s="217"/>
      <c r="P655" s="217">
        <f t="shared" si="11"/>
        <v>2.1840000000000002</v>
      </c>
      <c r="Q655" s="217"/>
      <c r="R655" s="217"/>
      <c r="S655" s="218" t="s">
        <v>1025</v>
      </c>
    </row>
    <row r="656" spans="1:19" ht="15" customHeight="1">
      <c r="A656" s="413">
        <f t="shared" si="10"/>
        <v>656</v>
      </c>
      <c r="B656" s="26">
        <v>105</v>
      </c>
      <c r="C656" s="153" t="s">
        <v>850</v>
      </c>
      <c r="D656" s="211" t="s">
        <v>180</v>
      </c>
      <c r="E656" s="212" t="s">
        <v>854</v>
      </c>
      <c r="F656" s="213" t="s">
        <v>446</v>
      </c>
      <c r="G656" s="214" t="s">
        <v>452</v>
      </c>
      <c r="H656" s="213" t="s">
        <v>148</v>
      </c>
      <c r="I656" s="215">
        <f>((1.95*1.25))*1.3</f>
        <v>3.1687500000000002</v>
      </c>
      <c r="J656" s="216">
        <f>(1.95+1.25+1.95+1.25)*2.15</f>
        <v>13.76</v>
      </c>
      <c r="K656" s="216"/>
      <c r="L656" s="216"/>
      <c r="M656" s="216"/>
      <c r="N656" s="216"/>
      <c r="O656" s="217"/>
      <c r="P656" s="217">
        <f t="shared" si="11"/>
        <v>3.1687500000000002</v>
      </c>
      <c r="Q656" s="217"/>
      <c r="R656" s="217"/>
      <c r="S656" s="218" t="s">
        <v>1025</v>
      </c>
    </row>
    <row r="657" spans="1:19" ht="15" customHeight="1">
      <c r="A657" s="413">
        <f t="shared" si="10"/>
        <v>657</v>
      </c>
      <c r="B657" s="26">
        <v>105</v>
      </c>
      <c r="C657" s="153" t="s">
        <v>850</v>
      </c>
      <c r="D657" s="211" t="s">
        <v>180</v>
      </c>
      <c r="E657" s="212" t="s">
        <v>854</v>
      </c>
      <c r="F657" s="213" t="s">
        <v>446</v>
      </c>
      <c r="G657" s="214" t="s">
        <v>453</v>
      </c>
      <c r="H657" s="213" t="s">
        <v>148</v>
      </c>
      <c r="I657" s="215">
        <f>((1.2*1.25))*1.3</f>
        <v>1.9500000000000002</v>
      </c>
      <c r="J657" s="216">
        <f>(1.25+1.2+1.25+1.2)*2.15</f>
        <v>10.535</v>
      </c>
      <c r="K657" s="216"/>
      <c r="L657" s="216"/>
      <c r="M657" s="216"/>
      <c r="N657" s="216"/>
      <c r="O657" s="217"/>
      <c r="P657" s="217">
        <f t="shared" si="11"/>
        <v>1.9500000000000002</v>
      </c>
      <c r="Q657" s="217"/>
      <c r="R657" s="217"/>
      <c r="S657" s="218" t="s">
        <v>1025</v>
      </c>
    </row>
    <row r="658" spans="1:19" ht="15" customHeight="1">
      <c r="A658" s="413">
        <f t="shared" si="10"/>
        <v>658</v>
      </c>
      <c r="B658" s="26">
        <v>105</v>
      </c>
      <c r="C658" s="153" t="s">
        <v>850</v>
      </c>
      <c r="D658" s="211" t="s">
        <v>180</v>
      </c>
      <c r="E658" s="212" t="s">
        <v>854</v>
      </c>
      <c r="F658" s="213" t="s">
        <v>446</v>
      </c>
      <c r="G658" s="214" t="s">
        <v>454</v>
      </c>
      <c r="H658" s="213" t="s">
        <v>148</v>
      </c>
      <c r="I658" s="215">
        <f>((1.95*1.25))*1.3</f>
        <v>3.1687500000000002</v>
      </c>
      <c r="J658" s="216">
        <f>(1.95+1.25+1.95+1.25)*2.15</f>
        <v>13.76</v>
      </c>
      <c r="K658" s="216"/>
      <c r="L658" s="216"/>
      <c r="M658" s="216"/>
      <c r="N658" s="216"/>
      <c r="O658" s="217"/>
      <c r="P658" s="217">
        <f t="shared" si="11"/>
        <v>3.1687500000000002</v>
      </c>
      <c r="Q658" s="217"/>
      <c r="R658" s="217"/>
      <c r="S658" s="218" t="s">
        <v>1025</v>
      </c>
    </row>
    <row r="659" spans="1:19" ht="15" customHeight="1">
      <c r="A659" s="413">
        <f t="shared" si="10"/>
        <v>659</v>
      </c>
      <c r="B659" s="26">
        <v>105</v>
      </c>
      <c r="C659" s="153" t="s">
        <v>850</v>
      </c>
      <c r="D659" s="211" t="s">
        <v>180</v>
      </c>
      <c r="E659" s="212" t="s">
        <v>854</v>
      </c>
      <c r="F659" s="213" t="s">
        <v>446</v>
      </c>
      <c r="G659" s="214" t="s">
        <v>456</v>
      </c>
      <c r="H659" s="213" t="s">
        <v>148</v>
      </c>
      <c r="I659" s="215">
        <f>((1.2*1.25))*1.3</f>
        <v>1.9500000000000002</v>
      </c>
      <c r="J659" s="216">
        <f>(1.25+1.2+1.25+1.2)*2.15</f>
        <v>10.535</v>
      </c>
      <c r="K659" s="216"/>
      <c r="L659" s="216"/>
      <c r="M659" s="216"/>
      <c r="N659" s="216"/>
      <c r="O659" s="217"/>
      <c r="P659" s="217">
        <f t="shared" si="11"/>
        <v>1.9500000000000002</v>
      </c>
      <c r="Q659" s="217"/>
      <c r="R659" s="217"/>
      <c r="S659" s="218" t="s">
        <v>1025</v>
      </c>
    </row>
    <row r="660" spans="1:19" ht="15" customHeight="1">
      <c r="A660" s="413">
        <f t="shared" si="10"/>
        <v>660</v>
      </c>
      <c r="B660" s="26">
        <v>105</v>
      </c>
      <c r="C660" s="153" t="s">
        <v>850</v>
      </c>
      <c r="D660" s="211" t="s">
        <v>180</v>
      </c>
      <c r="E660" s="212" t="s">
        <v>854</v>
      </c>
      <c r="F660" s="213" t="s">
        <v>331</v>
      </c>
      <c r="G660" s="214" t="s">
        <v>754</v>
      </c>
      <c r="H660" s="213" t="s">
        <v>44</v>
      </c>
      <c r="I660" s="215">
        <f>((1.55*0.8)+(2*5.7))*1.3</f>
        <v>16.432000000000002</v>
      </c>
      <c r="J660" s="216"/>
      <c r="K660" s="216"/>
      <c r="L660" s="216">
        <f>(2.8+5.7+2+4.15+0.8+1.55)*3</f>
        <v>51</v>
      </c>
      <c r="M660" s="216"/>
      <c r="N660" s="216"/>
      <c r="O660" s="217"/>
      <c r="P660" s="217"/>
      <c r="Q660" s="217">
        <f>0.25*I660</f>
        <v>4.1080000000000005</v>
      </c>
      <c r="R660" s="217"/>
      <c r="S660" s="218"/>
    </row>
    <row r="661" spans="1:19" ht="15" customHeight="1">
      <c r="A661" s="413">
        <f t="shared" si="10"/>
        <v>661</v>
      </c>
      <c r="B661" s="26">
        <v>105</v>
      </c>
      <c r="C661" s="153" t="s">
        <v>850</v>
      </c>
      <c r="D661" s="211" t="s">
        <v>180</v>
      </c>
      <c r="E661" s="212" t="s">
        <v>854</v>
      </c>
      <c r="F661" s="213" t="s">
        <v>333</v>
      </c>
      <c r="G661" s="214" t="s">
        <v>755</v>
      </c>
      <c r="H661" s="213" t="s">
        <v>174</v>
      </c>
      <c r="I661" s="215">
        <f>((14.5*8))*1.3</f>
        <v>150.80000000000001</v>
      </c>
      <c r="J661" s="216"/>
      <c r="K661" s="216"/>
      <c r="L661" s="216">
        <f>(14.5+8+14.5+8)*2.8</f>
        <v>125.99999999999999</v>
      </c>
      <c r="M661" s="216"/>
      <c r="N661" s="216"/>
      <c r="O661" s="217"/>
      <c r="P661" s="217">
        <f>I661</f>
        <v>150.80000000000001</v>
      </c>
      <c r="Q661" s="217"/>
      <c r="R661" s="217"/>
      <c r="S661" s="218"/>
    </row>
    <row r="662" spans="1:19" ht="15" customHeight="1">
      <c r="A662" s="413">
        <f t="shared" si="10"/>
        <v>662</v>
      </c>
      <c r="B662" s="26">
        <v>105</v>
      </c>
      <c r="C662" s="153" t="s">
        <v>850</v>
      </c>
      <c r="D662" s="211" t="s">
        <v>180</v>
      </c>
      <c r="E662" s="212" t="s">
        <v>854</v>
      </c>
      <c r="F662" s="213" t="s">
        <v>331</v>
      </c>
      <c r="G662" s="214" t="s">
        <v>982</v>
      </c>
      <c r="H662" s="213" t="s">
        <v>44</v>
      </c>
      <c r="I662" s="215">
        <f>(2.3*6.8)*1.3</f>
        <v>20.332000000000001</v>
      </c>
      <c r="J662" s="216"/>
      <c r="K662" s="216"/>
      <c r="L662" s="216">
        <f>(2.3+6.8+2.3+6.8)*3</f>
        <v>54.599999999999994</v>
      </c>
      <c r="M662" s="216"/>
      <c r="N662" s="216"/>
      <c r="O662" s="217"/>
      <c r="P662" s="217">
        <f>I662</f>
        <v>20.332000000000001</v>
      </c>
      <c r="Q662" s="217"/>
      <c r="R662" s="217"/>
      <c r="S662" s="218" t="s">
        <v>1022</v>
      </c>
    </row>
    <row r="663" spans="1:19" ht="15" customHeight="1">
      <c r="A663" s="413">
        <f t="shared" si="10"/>
        <v>663</v>
      </c>
      <c r="B663" s="26">
        <v>105</v>
      </c>
      <c r="C663" s="153" t="s">
        <v>850</v>
      </c>
      <c r="D663" s="211" t="s">
        <v>180</v>
      </c>
      <c r="E663" s="212" t="s">
        <v>854</v>
      </c>
      <c r="F663" s="213" t="s">
        <v>333</v>
      </c>
      <c r="G663" s="214" t="s">
        <v>983</v>
      </c>
      <c r="H663" s="213" t="s">
        <v>174</v>
      </c>
      <c r="I663" s="215">
        <f>(7.4*15.7)*1.3</f>
        <v>151.03400000000002</v>
      </c>
      <c r="J663" s="216"/>
      <c r="K663" s="216"/>
      <c r="L663" s="216">
        <f>((7.4+15.7+7.4+15.7)*2.8)+((3.3+4.7+3.3+4.7)*8.3)</f>
        <v>262.16000000000003</v>
      </c>
      <c r="M663" s="216"/>
      <c r="N663" s="216"/>
      <c r="O663" s="217"/>
      <c r="P663" s="217">
        <f>I663</f>
        <v>151.03400000000002</v>
      </c>
      <c r="Q663" s="217"/>
      <c r="R663" s="217"/>
      <c r="S663" s="218"/>
    </row>
    <row r="664" spans="1:19" ht="15" customHeight="1">
      <c r="A664" s="413">
        <f t="shared" si="10"/>
        <v>664</v>
      </c>
      <c r="B664" s="26">
        <v>105</v>
      </c>
      <c r="C664" s="153" t="s">
        <v>850</v>
      </c>
      <c r="D664" s="211" t="s">
        <v>180</v>
      </c>
      <c r="E664" s="212" t="s">
        <v>854</v>
      </c>
      <c r="F664" s="213" t="s">
        <v>168</v>
      </c>
      <c r="G664" s="214" t="s">
        <v>757</v>
      </c>
      <c r="H664" s="213" t="s">
        <v>44</v>
      </c>
      <c r="I664" s="215">
        <f>(((8.5+7.7+4.5)*2.1)+(2*1.5))*1.3</f>
        <v>60.411000000000001</v>
      </c>
      <c r="J664" s="216"/>
      <c r="K664" s="216"/>
      <c r="L664" s="216"/>
      <c r="M664" s="216"/>
      <c r="N664" s="216">
        <f>(4.5+7.7+8.5+5.1+8.5+7.7+4.5+5.1+1.5+1.5)*2.3</f>
        <v>125.58</v>
      </c>
      <c r="O664" s="217"/>
      <c r="P664" s="217"/>
      <c r="Q664" s="217">
        <f>0.75*I664</f>
        <v>45.308250000000001</v>
      </c>
      <c r="R664" s="217"/>
      <c r="S664" s="218"/>
    </row>
    <row r="665" spans="1:19" ht="15" customHeight="1">
      <c r="A665" s="413">
        <f t="shared" si="10"/>
        <v>665</v>
      </c>
      <c r="B665" s="26">
        <v>105</v>
      </c>
      <c r="C665" s="153" t="s">
        <v>850</v>
      </c>
      <c r="D665" s="211" t="s">
        <v>180</v>
      </c>
      <c r="E665" s="212" t="s">
        <v>854</v>
      </c>
      <c r="F665" s="213" t="s">
        <v>168</v>
      </c>
      <c r="G665" s="214" t="s">
        <v>468</v>
      </c>
      <c r="H665" s="213" t="s">
        <v>44</v>
      </c>
      <c r="I665" s="215">
        <f>(13.3*5)*1.3</f>
        <v>86.45</v>
      </c>
      <c r="J665" s="216"/>
      <c r="K665" s="216"/>
      <c r="L665" s="216"/>
      <c r="M665" s="216"/>
      <c r="N665" s="216">
        <f>((7.3+5+7.3)*2.3)+((6+5+6)*2)</f>
        <v>79.08</v>
      </c>
      <c r="O665" s="217"/>
      <c r="P665" s="217"/>
      <c r="Q665" s="217">
        <f>0.75*I665</f>
        <v>64.837500000000006</v>
      </c>
      <c r="R665" s="217"/>
      <c r="S665" s="218"/>
    </row>
    <row r="666" spans="1:19" ht="15" customHeight="1">
      <c r="A666" s="413">
        <f t="shared" si="10"/>
        <v>666</v>
      </c>
      <c r="B666" s="26">
        <v>105</v>
      </c>
      <c r="C666" s="153" t="s">
        <v>850</v>
      </c>
      <c r="D666" s="211" t="s">
        <v>180</v>
      </c>
      <c r="E666" s="212" t="s">
        <v>854</v>
      </c>
      <c r="F666" s="213" t="s">
        <v>168</v>
      </c>
      <c r="G666" s="214" t="s">
        <v>886</v>
      </c>
      <c r="H666" s="213" t="s">
        <v>44</v>
      </c>
      <c r="I666" s="215">
        <f>((5*5.15)+(7.3*5.15)+(8.4*5.15))*1.3</f>
        <v>138.5865</v>
      </c>
      <c r="J666" s="216"/>
      <c r="K666" s="216"/>
      <c r="L666" s="216"/>
      <c r="M666" s="216"/>
      <c r="N666" s="216">
        <f>((5+5.15+5)*2)+((7.3+7.3)*2)+((8.4+5.15+8.4)*2.3)</f>
        <v>109.985</v>
      </c>
      <c r="O666" s="217"/>
      <c r="P666" s="217"/>
      <c r="Q666" s="217">
        <f>0.75*I666</f>
        <v>103.939875</v>
      </c>
      <c r="R666" s="217"/>
      <c r="S666" s="218"/>
    </row>
    <row r="667" spans="1:19" ht="15" customHeight="1">
      <c r="A667" s="413">
        <f t="shared" si="10"/>
        <v>667</v>
      </c>
      <c r="B667" s="26">
        <v>105</v>
      </c>
      <c r="C667" s="153" t="s">
        <v>850</v>
      </c>
      <c r="D667" s="211" t="s">
        <v>180</v>
      </c>
      <c r="E667" s="212" t="s">
        <v>854</v>
      </c>
      <c r="F667" s="213" t="s">
        <v>168</v>
      </c>
      <c r="G667" s="214" t="s">
        <v>984</v>
      </c>
      <c r="H667" s="213" t="s">
        <v>44</v>
      </c>
      <c r="I667" s="215">
        <f>((6.5+5.3+5)*4.8)*1.3</f>
        <v>104.83200000000001</v>
      </c>
      <c r="J667" s="216"/>
      <c r="K667" s="216"/>
      <c r="L667" s="216"/>
      <c r="M667" s="216"/>
      <c r="N667" s="216">
        <f>((6.5+4.8+6.5)*2.25)+((5.3+5.3)*2)+((5+4.8+5)*2)</f>
        <v>90.85</v>
      </c>
      <c r="O667" s="217"/>
      <c r="P667" s="217"/>
      <c r="Q667" s="217">
        <f>0.75*I667</f>
        <v>78.624000000000009</v>
      </c>
      <c r="R667" s="217"/>
      <c r="S667" s="218"/>
    </row>
    <row r="668" spans="1:19" ht="15" customHeight="1">
      <c r="A668" s="413">
        <f t="shared" si="10"/>
        <v>668</v>
      </c>
      <c r="B668" s="26">
        <v>105</v>
      </c>
      <c r="C668" s="153" t="s">
        <v>850</v>
      </c>
      <c r="D668" s="211" t="s">
        <v>180</v>
      </c>
      <c r="E668" s="212" t="s">
        <v>854</v>
      </c>
      <c r="F668" s="213" t="s">
        <v>123</v>
      </c>
      <c r="G668" s="214" t="s">
        <v>471</v>
      </c>
      <c r="H668" s="213" t="s">
        <v>109</v>
      </c>
      <c r="I668" s="215">
        <f>(2.7*2)*1.3</f>
        <v>7.0200000000000005</v>
      </c>
      <c r="J668" s="216"/>
      <c r="K668" s="216"/>
      <c r="L668" s="216"/>
      <c r="M668" s="216"/>
      <c r="N668" s="216">
        <f>(2.7+2+2.7+2)*3</f>
        <v>28.200000000000003</v>
      </c>
      <c r="O668" s="217"/>
      <c r="P668" s="217">
        <f>I668</f>
        <v>7.0200000000000005</v>
      </c>
      <c r="Q668" s="217"/>
      <c r="R668" s="217"/>
      <c r="S668" s="218" t="s">
        <v>1022</v>
      </c>
    </row>
    <row r="669" spans="1:19" ht="15" customHeight="1">
      <c r="A669" s="413">
        <f t="shared" si="10"/>
        <v>669</v>
      </c>
      <c r="B669" s="26">
        <v>105</v>
      </c>
      <c r="C669" s="153" t="s">
        <v>850</v>
      </c>
      <c r="D669" s="211" t="s">
        <v>180</v>
      </c>
      <c r="E669" s="212" t="s">
        <v>854</v>
      </c>
      <c r="F669" s="213" t="s">
        <v>123</v>
      </c>
      <c r="G669" s="214" t="s">
        <v>473</v>
      </c>
      <c r="H669" s="213" t="s">
        <v>19</v>
      </c>
      <c r="I669" s="215">
        <f>2.05*2.85</f>
        <v>5.8424999999999994</v>
      </c>
      <c r="J669" s="216"/>
      <c r="K669" s="216"/>
      <c r="L669" s="216">
        <f>2*(2.05+2.85)*3</f>
        <v>29.400000000000002</v>
      </c>
      <c r="M669" s="216"/>
      <c r="N669" s="216"/>
      <c r="O669" s="217"/>
      <c r="P669" s="217"/>
      <c r="Q669" s="217">
        <v>6</v>
      </c>
      <c r="R669" s="217"/>
      <c r="S669" s="218" t="s">
        <v>1022</v>
      </c>
    </row>
    <row r="670" spans="1:19" ht="15" customHeight="1">
      <c r="A670" s="413">
        <f t="shared" si="10"/>
        <v>670</v>
      </c>
      <c r="B670" s="26">
        <v>105</v>
      </c>
      <c r="C670" s="153" t="s">
        <v>850</v>
      </c>
      <c r="D670" s="211" t="s">
        <v>180</v>
      </c>
      <c r="E670" s="212" t="s">
        <v>854</v>
      </c>
      <c r="F670" s="213" t="s">
        <v>758</v>
      </c>
      <c r="G670" s="214" t="s">
        <v>759</v>
      </c>
      <c r="H670" s="213" t="s">
        <v>109</v>
      </c>
      <c r="I670" s="215">
        <f>(3.7*3)*1.3</f>
        <v>14.430000000000001</v>
      </c>
      <c r="J670" s="216"/>
      <c r="K670" s="216"/>
      <c r="L670" s="216"/>
      <c r="M670" s="216"/>
      <c r="N670" s="216">
        <f>(3.7+3+3.7+3)*3</f>
        <v>40.200000000000003</v>
      </c>
      <c r="O670" s="217"/>
      <c r="P670" s="217"/>
      <c r="Q670" s="217"/>
      <c r="R670" s="217"/>
      <c r="S670" s="218"/>
    </row>
    <row r="671" spans="1:19" ht="15" customHeight="1">
      <c r="A671" s="413">
        <f t="shared" si="10"/>
        <v>671</v>
      </c>
      <c r="B671" s="26">
        <v>105</v>
      </c>
      <c r="C671" s="153" t="s">
        <v>850</v>
      </c>
      <c r="D671" s="211" t="s">
        <v>180</v>
      </c>
      <c r="E671" s="212" t="s">
        <v>854</v>
      </c>
      <c r="F671" s="213" t="s">
        <v>890</v>
      </c>
      <c r="G671" s="214" t="s">
        <v>475</v>
      </c>
      <c r="H671" s="213" t="s">
        <v>174</v>
      </c>
      <c r="I671" s="215">
        <f>(1.5*3.1)*1.3</f>
        <v>6.0450000000000008</v>
      </c>
      <c r="J671" s="216"/>
      <c r="K671" s="216"/>
      <c r="L671" s="216">
        <f>(1.5+3.1+1.5+3.1)*3</f>
        <v>27.599999999999998</v>
      </c>
      <c r="M671" s="216"/>
      <c r="N671" s="216"/>
      <c r="O671" s="217"/>
      <c r="P671" s="217">
        <f>I671</f>
        <v>6.0450000000000008</v>
      </c>
      <c r="Q671" s="217"/>
      <c r="R671" s="217"/>
      <c r="S671" s="218" t="s">
        <v>1022</v>
      </c>
    </row>
    <row r="672" spans="1:19" ht="15" customHeight="1">
      <c r="A672" s="413">
        <f t="shared" si="10"/>
        <v>672</v>
      </c>
      <c r="B672" s="26">
        <v>105</v>
      </c>
      <c r="C672" s="153" t="s">
        <v>850</v>
      </c>
      <c r="D672" s="211" t="s">
        <v>180</v>
      </c>
      <c r="E672" s="212" t="s">
        <v>854</v>
      </c>
      <c r="F672" s="213" t="s">
        <v>478</v>
      </c>
      <c r="G672" s="214" t="s">
        <v>763</v>
      </c>
      <c r="H672" s="213"/>
      <c r="I672" s="215">
        <v>0</v>
      </c>
      <c r="J672" s="216"/>
      <c r="K672" s="216"/>
      <c r="L672" s="216"/>
      <c r="M672" s="216"/>
      <c r="N672" s="216"/>
      <c r="O672" s="217"/>
      <c r="P672" s="217"/>
      <c r="Q672" s="217"/>
      <c r="R672" s="217"/>
      <c r="S672" s="218" t="s">
        <v>1318</v>
      </c>
    </row>
    <row r="673" spans="1:19" ht="15" customHeight="1">
      <c r="A673" s="413">
        <f t="shared" si="10"/>
        <v>673</v>
      </c>
      <c r="B673" s="26">
        <v>105</v>
      </c>
      <c r="C673" s="153" t="s">
        <v>850</v>
      </c>
      <c r="D673" s="211" t="s">
        <v>180</v>
      </c>
      <c r="E673" s="212" t="s">
        <v>854</v>
      </c>
      <c r="F673" s="213" t="s">
        <v>478</v>
      </c>
      <c r="G673" s="214" t="s">
        <v>765</v>
      </c>
      <c r="H673" s="213" t="s">
        <v>174</v>
      </c>
      <c r="I673" s="215">
        <v>76.7</v>
      </c>
      <c r="J673" s="216"/>
      <c r="K673" s="216"/>
      <c r="L673" s="216">
        <f>(38+2.2)*3</f>
        <v>120.60000000000001</v>
      </c>
      <c r="M673" s="216"/>
      <c r="N673" s="216"/>
      <c r="O673" s="217"/>
      <c r="P673" s="217"/>
      <c r="Q673" s="217"/>
      <c r="R673" s="217"/>
      <c r="S673" s="218"/>
    </row>
    <row r="674" spans="1:19" ht="15" customHeight="1">
      <c r="A674" s="413">
        <f t="shared" si="10"/>
        <v>674</v>
      </c>
      <c r="B674" s="26">
        <v>105</v>
      </c>
      <c r="C674" s="153" t="s">
        <v>850</v>
      </c>
      <c r="D674" s="211" t="s">
        <v>180</v>
      </c>
      <c r="E674" s="212" t="s">
        <v>854</v>
      </c>
      <c r="F674" s="213" t="s">
        <v>488</v>
      </c>
      <c r="G674" s="214" t="s">
        <v>479</v>
      </c>
      <c r="H674" s="213" t="s">
        <v>19</v>
      </c>
      <c r="I674" s="215">
        <v>1</v>
      </c>
      <c r="J674" s="216"/>
      <c r="K674" s="216"/>
      <c r="L674" s="216">
        <v>12</v>
      </c>
      <c r="M674" s="216"/>
      <c r="N674" s="216"/>
      <c r="O674" s="217"/>
      <c r="P674" s="217">
        <v>1</v>
      </c>
      <c r="Q674" s="217"/>
      <c r="R674" s="217"/>
      <c r="S674" s="218"/>
    </row>
    <row r="675" spans="1:19" ht="15" customHeight="1">
      <c r="A675" s="413">
        <f t="shared" si="10"/>
        <v>675</v>
      </c>
      <c r="B675" s="26">
        <v>105</v>
      </c>
      <c r="C675" s="153" t="s">
        <v>850</v>
      </c>
      <c r="D675" s="211" t="s">
        <v>180</v>
      </c>
      <c r="E675" s="212" t="s">
        <v>854</v>
      </c>
      <c r="F675" s="213" t="s">
        <v>488</v>
      </c>
      <c r="G675" s="214" t="s">
        <v>770</v>
      </c>
      <c r="H675" s="213" t="s">
        <v>19</v>
      </c>
      <c r="I675" s="215">
        <v>2</v>
      </c>
      <c r="J675" s="216"/>
      <c r="K675" s="216"/>
      <c r="L675" s="216">
        <v>18</v>
      </c>
      <c r="M675" s="216"/>
      <c r="N675" s="216"/>
      <c r="O675" s="217"/>
      <c r="P675" s="217">
        <v>2</v>
      </c>
      <c r="Q675" s="217"/>
      <c r="R675" s="217"/>
      <c r="S675" s="218"/>
    </row>
    <row r="676" spans="1:19" ht="15" customHeight="1">
      <c r="A676" s="413">
        <f t="shared" si="10"/>
        <v>676</v>
      </c>
      <c r="B676" s="26">
        <v>105</v>
      </c>
      <c r="C676" s="153" t="s">
        <v>850</v>
      </c>
      <c r="D676" s="211" t="s">
        <v>180</v>
      </c>
      <c r="E676" s="212" t="s">
        <v>854</v>
      </c>
      <c r="F676" s="213" t="s">
        <v>488</v>
      </c>
      <c r="G676" s="214" t="s">
        <v>771</v>
      </c>
      <c r="H676" s="213" t="s">
        <v>44</v>
      </c>
      <c r="I676" s="215">
        <f>(6.15*1.1)*1.3</f>
        <v>8.7945000000000011</v>
      </c>
      <c r="J676" s="216"/>
      <c r="K676" s="216"/>
      <c r="L676" s="216">
        <f>(6.15+1.1+6.15+1.1)*3</f>
        <v>43.5</v>
      </c>
      <c r="M676" s="216"/>
      <c r="N676" s="216"/>
      <c r="O676" s="217"/>
      <c r="P676" s="217">
        <f>I676</f>
        <v>8.7945000000000011</v>
      </c>
      <c r="Q676" s="217"/>
      <c r="R676" s="217"/>
      <c r="S676" s="218" t="s">
        <v>1022</v>
      </c>
    </row>
    <row r="677" spans="1:19" ht="15" customHeight="1">
      <c r="A677" s="413">
        <f t="shared" si="10"/>
        <v>677</v>
      </c>
      <c r="B677" s="26">
        <v>105</v>
      </c>
      <c r="C677" s="153" t="s">
        <v>850</v>
      </c>
      <c r="D677" s="211" t="s">
        <v>180</v>
      </c>
      <c r="E677" s="212" t="s">
        <v>854</v>
      </c>
      <c r="F677" s="213" t="s">
        <v>488</v>
      </c>
      <c r="G677" s="214" t="s">
        <v>512</v>
      </c>
      <c r="H677" s="213" t="s">
        <v>174</v>
      </c>
      <c r="I677" s="215">
        <f>((10.35*6.1)+(2.5*2.15))*1.3</f>
        <v>89.062999999999988</v>
      </c>
      <c r="J677" s="216"/>
      <c r="K677" s="216"/>
      <c r="L677" s="216">
        <f>(6.1+7.65+2.15+2.5+8.25+10.35)*3</f>
        <v>111</v>
      </c>
      <c r="M677" s="216"/>
      <c r="N677" s="216"/>
      <c r="O677" s="217"/>
      <c r="P677" s="217">
        <f>I677</f>
        <v>89.062999999999988</v>
      </c>
      <c r="Q677" s="217"/>
      <c r="R677" s="217"/>
      <c r="S677" s="218" t="s">
        <v>1022</v>
      </c>
    </row>
    <row r="678" spans="1:19" ht="15" customHeight="1">
      <c r="A678" s="413">
        <f t="shared" si="10"/>
        <v>678</v>
      </c>
      <c r="B678" s="26">
        <v>105</v>
      </c>
      <c r="C678" s="153" t="s">
        <v>850</v>
      </c>
      <c r="D678" s="211" t="s">
        <v>180</v>
      </c>
      <c r="E678" s="212" t="s">
        <v>854</v>
      </c>
      <c r="F678" s="213" t="s">
        <v>488</v>
      </c>
      <c r="G678" s="214" t="s">
        <v>489</v>
      </c>
      <c r="H678" s="213" t="s">
        <v>44</v>
      </c>
      <c r="I678" s="215">
        <f>((9.7*6.35)-(3*1.25))*1.3</f>
        <v>75.198499999999996</v>
      </c>
      <c r="J678" s="216"/>
      <c r="K678" s="216"/>
      <c r="L678" s="216">
        <f>(9.7+6.35+9.7+6.35+1.25)*3.5</f>
        <v>116.72499999999998</v>
      </c>
      <c r="M678" s="216"/>
      <c r="N678" s="216"/>
      <c r="O678" s="217"/>
      <c r="P678" s="217">
        <f>I678</f>
        <v>75.198499999999996</v>
      </c>
      <c r="Q678" s="217"/>
      <c r="R678" s="217"/>
      <c r="S678" s="218" t="s">
        <v>1022</v>
      </c>
    </row>
    <row r="679" spans="1:19" ht="15" customHeight="1">
      <c r="A679" s="413">
        <f t="shared" si="10"/>
        <v>679</v>
      </c>
      <c r="B679" s="26">
        <v>105</v>
      </c>
      <c r="C679" s="153" t="s">
        <v>850</v>
      </c>
      <c r="D679" s="211" t="s">
        <v>180</v>
      </c>
      <c r="E679" s="212" t="s">
        <v>854</v>
      </c>
      <c r="F679" s="213" t="s">
        <v>488</v>
      </c>
      <c r="G679" s="214" t="s">
        <v>491</v>
      </c>
      <c r="H679" s="213" t="s">
        <v>44</v>
      </c>
      <c r="I679" s="215">
        <v>16</v>
      </c>
      <c r="J679" s="216"/>
      <c r="K679" s="216"/>
      <c r="L679" s="216"/>
      <c r="M679" s="216"/>
      <c r="N679" s="216">
        <v>55</v>
      </c>
      <c r="O679" s="217"/>
      <c r="P679" s="217"/>
      <c r="Q679" s="217">
        <v>16</v>
      </c>
      <c r="R679" s="217"/>
      <c r="S679" s="218"/>
    </row>
    <row r="680" spans="1:19" ht="15" customHeight="1">
      <c r="A680" s="413">
        <f t="shared" si="10"/>
        <v>680</v>
      </c>
      <c r="B680" s="26">
        <v>105</v>
      </c>
      <c r="C680" s="153" t="s">
        <v>850</v>
      </c>
      <c r="D680" s="211" t="s">
        <v>180</v>
      </c>
      <c r="E680" s="212" t="s">
        <v>854</v>
      </c>
      <c r="F680" s="213" t="s">
        <v>488</v>
      </c>
      <c r="G680" s="214" t="s">
        <v>492</v>
      </c>
      <c r="H680" s="213" t="s">
        <v>44</v>
      </c>
      <c r="I680" s="215">
        <f>((4.8*4.7)+(2*2.9))*1.3</f>
        <v>36.868000000000002</v>
      </c>
      <c r="J680" s="216"/>
      <c r="K680" s="216"/>
      <c r="L680" s="216">
        <f>(4.7+1.9+2+2.9+6.7+4.8)*3</f>
        <v>69</v>
      </c>
      <c r="M680" s="216"/>
      <c r="N680" s="216"/>
      <c r="O680" s="217"/>
      <c r="P680" s="217">
        <f>I680</f>
        <v>36.868000000000002</v>
      </c>
      <c r="Q680" s="217"/>
      <c r="R680" s="217"/>
      <c r="S680" s="218"/>
    </row>
    <row r="681" spans="1:19" ht="15" customHeight="1">
      <c r="A681" s="413">
        <f t="shared" si="10"/>
        <v>681</v>
      </c>
      <c r="B681" s="26">
        <v>105</v>
      </c>
      <c r="C681" s="153" t="s">
        <v>850</v>
      </c>
      <c r="D681" s="211" t="s">
        <v>180</v>
      </c>
      <c r="E681" s="212" t="s">
        <v>854</v>
      </c>
      <c r="F681" s="213" t="s">
        <v>488</v>
      </c>
      <c r="G681" s="214" t="s">
        <v>401</v>
      </c>
      <c r="H681" s="213" t="s">
        <v>174</v>
      </c>
      <c r="I681" s="215">
        <f>(2*3)*1.3</f>
        <v>7.8000000000000007</v>
      </c>
      <c r="J681" s="216"/>
      <c r="K681" s="216"/>
      <c r="L681" s="216">
        <f>(2+3+2+3)*3</f>
        <v>30</v>
      </c>
      <c r="M681" s="216"/>
      <c r="N681" s="216"/>
      <c r="O681" s="217"/>
      <c r="P681" s="217">
        <f>I681</f>
        <v>7.8000000000000007</v>
      </c>
      <c r="Q681" s="217"/>
      <c r="R681" s="217"/>
      <c r="S681" s="218" t="s">
        <v>1022</v>
      </c>
    </row>
    <row r="682" spans="1:19" ht="15" customHeight="1">
      <c r="A682" s="413">
        <f t="shared" si="10"/>
        <v>682</v>
      </c>
      <c r="B682" s="26">
        <v>105</v>
      </c>
      <c r="C682" s="153" t="s">
        <v>850</v>
      </c>
      <c r="D682" s="211" t="s">
        <v>180</v>
      </c>
      <c r="E682" s="212" t="s">
        <v>854</v>
      </c>
      <c r="F682" s="213" t="s">
        <v>488</v>
      </c>
      <c r="G682" s="214" t="s">
        <v>494</v>
      </c>
      <c r="H682" s="213" t="s">
        <v>19</v>
      </c>
      <c r="I682" s="215">
        <v>1</v>
      </c>
      <c r="J682" s="216"/>
      <c r="K682" s="216"/>
      <c r="L682" s="216">
        <v>12</v>
      </c>
      <c r="M682" s="216"/>
      <c r="N682" s="216"/>
      <c r="O682" s="217"/>
      <c r="P682" s="217">
        <v>1</v>
      </c>
      <c r="Q682" s="217"/>
      <c r="R682" s="217"/>
      <c r="S682" s="218"/>
    </row>
    <row r="683" spans="1:19" ht="15" customHeight="1">
      <c r="A683" s="413">
        <f t="shared" si="10"/>
        <v>683</v>
      </c>
      <c r="B683" s="26">
        <v>105</v>
      </c>
      <c r="C683" s="153" t="s">
        <v>850</v>
      </c>
      <c r="D683" s="211" t="s">
        <v>180</v>
      </c>
      <c r="E683" s="212" t="s">
        <v>854</v>
      </c>
      <c r="F683" s="213" t="s">
        <v>488</v>
      </c>
      <c r="G683" s="214" t="s">
        <v>495</v>
      </c>
      <c r="H683" s="213" t="s">
        <v>174</v>
      </c>
      <c r="I683" s="215">
        <f>((1*4.4)+(0.8*0.4)+(1.7*0.85)+(1.1*3.1))*1.3</f>
        <v>12.447500000000002</v>
      </c>
      <c r="J683" s="216"/>
      <c r="K683" s="216"/>
      <c r="L683" s="216">
        <f>(1+1.6+0.85+1.7+0.85+1.35+1+4+0.8+0.4+0.8+3.1+3.1)*3</f>
        <v>61.650000000000013</v>
      </c>
      <c r="M683" s="216"/>
      <c r="N683" s="216"/>
      <c r="O683" s="217"/>
      <c r="P683" s="217">
        <f>I683</f>
        <v>12.447500000000002</v>
      </c>
      <c r="Q683" s="217"/>
      <c r="R683" s="217"/>
      <c r="S683" s="218" t="s">
        <v>1022</v>
      </c>
    </row>
    <row r="684" spans="1:19" ht="15" customHeight="1">
      <c r="A684" s="413">
        <f t="shared" si="10"/>
        <v>684</v>
      </c>
      <c r="B684" s="26">
        <v>105</v>
      </c>
      <c r="C684" s="153" t="s">
        <v>850</v>
      </c>
      <c r="D684" s="211" t="s">
        <v>180</v>
      </c>
      <c r="E684" s="212" t="s">
        <v>854</v>
      </c>
      <c r="F684" s="213" t="s">
        <v>488</v>
      </c>
      <c r="G684" s="214" t="s">
        <v>496</v>
      </c>
      <c r="H684" s="213" t="s">
        <v>44</v>
      </c>
      <c r="I684" s="215">
        <f>(2*2.75)*1.3</f>
        <v>7.15</v>
      </c>
      <c r="J684" s="216"/>
      <c r="K684" s="216"/>
      <c r="L684" s="216">
        <f>(2+2.75+2+2.75)*3</f>
        <v>28.5</v>
      </c>
      <c r="M684" s="216"/>
      <c r="N684" s="216"/>
      <c r="O684" s="217"/>
      <c r="P684" s="217">
        <f>I684</f>
        <v>7.15</v>
      </c>
      <c r="Q684" s="217"/>
      <c r="R684" s="217"/>
      <c r="S684" s="218" t="s">
        <v>1022</v>
      </c>
    </row>
    <row r="685" spans="1:19" ht="15" customHeight="1">
      <c r="A685" s="413">
        <f t="shared" si="10"/>
        <v>685</v>
      </c>
      <c r="B685" s="26">
        <v>105</v>
      </c>
      <c r="C685" s="153" t="s">
        <v>850</v>
      </c>
      <c r="D685" s="211" t="s">
        <v>180</v>
      </c>
      <c r="E685" s="212" t="s">
        <v>854</v>
      </c>
      <c r="F685" s="213" t="s">
        <v>488</v>
      </c>
      <c r="G685" s="214" t="s">
        <v>497</v>
      </c>
      <c r="H685" s="213" t="s">
        <v>109</v>
      </c>
      <c r="I685" s="215">
        <f>((1.7*3.7)+(2.3*1.9))*1.3</f>
        <v>13.858000000000001</v>
      </c>
      <c r="J685" s="216"/>
      <c r="K685" s="216"/>
      <c r="L685" s="216"/>
      <c r="M685" s="216"/>
      <c r="N685" s="216">
        <f>((2.2+1.9+1.5+1.7+3.7+3.7)*2.45)+(3.2*1.8)</f>
        <v>41.774999999999999</v>
      </c>
      <c r="O685" s="217"/>
      <c r="P685" s="217">
        <f>I685</f>
        <v>13.858000000000001</v>
      </c>
      <c r="Q685" s="217"/>
      <c r="R685" s="217"/>
      <c r="S685" s="218" t="s">
        <v>1022</v>
      </c>
    </row>
    <row r="686" spans="1:19" ht="15" customHeight="1">
      <c r="A686" s="413">
        <f t="shared" si="10"/>
        <v>686</v>
      </c>
      <c r="B686" s="26">
        <v>105</v>
      </c>
      <c r="C686" s="153" t="s">
        <v>850</v>
      </c>
      <c r="D686" s="211" t="s">
        <v>180</v>
      </c>
      <c r="E686" s="212" t="s">
        <v>854</v>
      </c>
      <c r="F686" s="213" t="s">
        <v>488</v>
      </c>
      <c r="G686" s="214" t="s">
        <v>508</v>
      </c>
      <c r="H686" s="213" t="s">
        <v>44</v>
      </c>
      <c r="I686" s="215">
        <f>(1.9*1.15)*1.3</f>
        <v>2.8404999999999996</v>
      </c>
      <c r="J686" s="216"/>
      <c r="K686" s="216"/>
      <c r="L686" s="216">
        <f>(1.9+1.15+1.9+1.15)*3</f>
        <v>18.299999999999997</v>
      </c>
      <c r="M686" s="216"/>
      <c r="N686" s="216"/>
      <c r="O686" s="217"/>
      <c r="P686" s="217">
        <f>I686</f>
        <v>2.8404999999999996</v>
      </c>
      <c r="Q686" s="217"/>
      <c r="R686" s="217"/>
      <c r="S686" s="218" t="s">
        <v>1022</v>
      </c>
    </row>
    <row r="687" spans="1:19" ht="15" customHeight="1">
      <c r="A687" s="413">
        <f t="shared" si="10"/>
        <v>687</v>
      </c>
      <c r="B687" s="26">
        <v>105</v>
      </c>
      <c r="C687" s="153" t="s">
        <v>850</v>
      </c>
      <c r="D687" s="211" t="s">
        <v>180</v>
      </c>
      <c r="E687" s="212" t="s">
        <v>854</v>
      </c>
      <c r="F687" s="213" t="s">
        <v>488</v>
      </c>
      <c r="G687" s="214" t="s">
        <v>509</v>
      </c>
      <c r="H687" s="213" t="s">
        <v>44</v>
      </c>
      <c r="I687" s="215">
        <f>(2.2*1.3)*1.3</f>
        <v>3.7180000000000004</v>
      </c>
      <c r="J687" s="216"/>
      <c r="K687" s="216"/>
      <c r="L687" s="216">
        <f>(2.2+1.3+2.2+1.3)*3</f>
        <v>21</v>
      </c>
      <c r="M687" s="216"/>
      <c r="N687" s="216"/>
      <c r="O687" s="217"/>
      <c r="P687" s="217">
        <f>I687</f>
        <v>3.7180000000000004</v>
      </c>
      <c r="Q687" s="217"/>
      <c r="R687" s="217"/>
      <c r="S687" s="218" t="s">
        <v>1022</v>
      </c>
    </row>
    <row r="688" spans="1:19" ht="15" customHeight="1">
      <c r="A688" s="413">
        <f t="shared" si="10"/>
        <v>688</v>
      </c>
      <c r="B688" s="26">
        <v>105</v>
      </c>
      <c r="C688" s="153" t="s">
        <v>850</v>
      </c>
      <c r="D688" s="211" t="s">
        <v>180</v>
      </c>
      <c r="E688" s="212" t="s">
        <v>854</v>
      </c>
      <c r="F688" s="213" t="s">
        <v>488</v>
      </c>
      <c r="G688" s="214" t="s">
        <v>510</v>
      </c>
      <c r="H688" s="213" t="s">
        <v>44</v>
      </c>
      <c r="I688" s="215">
        <f>(6*1.1)*1.3</f>
        <v>8.5800000000000018</v>
      </c>
      <c r="J688" s="216"/>
      <c r="K688" s="216"/>
      <c r="L688" s="216">
        <f>(6+1.1+6+1.1)*3</f>
        <v>42.599999999999994</v>
      </c>
      <c r="M688" s="216"/>
      <c r="N688" s="216"/>
      <c r="O688" s="217"/>
      <c r="P688" s="217"/>
      <c r="Q688" s="217"/>
      <c r="R688" s="217"/>
      <c r="S688" s="218" t="s">
        <v>1022</v>
      </c>
    </row>
    <row r="689" spans="1:19" ht="15" customHeight="1">
      <c r="A689" s="413">
        <f t="shared" si="10"/>
        <v>689</v>
      </c>
      <c r="B689" s="26">
        <v>105</v>
      </c>
      <c r="C689" s="153" t="s">
        <v>850</v>
      </c>
      <c r="D689" s="211" t="s">
        <v>180</v>
      </c>
      <c r="E689" s="212" t="s">
        <v>854</v>
      </c>
      <c r="F689" s="213" t="s">
        <v>488</v>
      </c>
      <c r="G689" s="214" t="s">
        <v>511</v>
      </c>
      <c r="H689" s="213" t="s">
        <v>44</v>
      </c>
      <c r="I689" s="215">
        <v>119.60000000000001</v>
      </c>
      <c r="J689" s="216"/>
      <c r="K689" s="216"/>
      <c r="L689" s="216">
        <f>(42.8*3)+(((0.8+0.3+0.8+0.3)*3)*3)</f>
        <v>148.19999999999999</v>
      </c>
      <c r="M689" s="216"/>
      <c r="N689" s="216"/>
      <c r="O689" s="217"/>
      <c r="P689" s="217">
        <f>I689</f>
        <v>119.60000000000001</v>
      </c>
      <c r="Q689" s="217"/>
      <c r="R689" s="217"/>
      <c r="S689" s="218" t="s">
        <v>1022</v>
      </c>
    </row>
    <row r="690" spans="1:19" ht="15" customHeight="1">
      <c r="A690" s="413">
        <f t="shared" si="10"/>
        <v>690</v>
      </c>
      <c r="B690" s="26">
        <v>105</v>
      </c>
      <c r="C690" s="153" t="s">
        <v>850</v>
      </c>
      <c r="D690" s="211" t="s">
        <v>180</v>
      </c>
      <c r="E690" s="212" t="s">
        <v>854</v>
      </c>
      <c r="F690" s="213" t="s">
        <v>488</v>
      </c>
      <c r="G690" s="214" t="s">
        <v>513</v>
      </c>
      <c r="H690" s="213" t="s">
        <v>19</v>
      </c>
      <c r="I690" s="215">
        <v>1.5</v>
      </c>
      <c r="J690" s="216"/>
      <c r="K690" s="216"/>
      <c r="L690" s="216">
        <v>15</v>
      </c>
      <c r="M690" s="216"/>
      <c r="N690" s="216"/>
      <c r="O690" s="217"/>
      <c r="P690" s="217">
        <v>2</v>
      </c>
      <c r="Q690" s="217"/>
      <c r="R690" s="217"/>
      <c r="S690" s="218"/>
    </row>
    <row r="691" spans="1:19" ht="15" customHeight="1">
      <c r="A691" s="413">
        <f t="shared" si="10"/>
        <v>691</v>
      </c>
      <c r="B691" s="26">
        <v>105</v>
      </c>
      <c r="C691" s="153" t="s">
        <v>850</v>
      </c>
      <c r="D691" s="211" t="s">
        <v>180</v>
      </c>
      <c r="E691" s="212" t="s">
        <v>854</v>
      </c>
      <c r="F691" s="213" t="s">
        <v>488</v>
      </c>
      <c r="G691" s="214" t="s">
        <v>514</v>
      </c>
      <c r="H691" s="213" t="s">
        <v>19</v>
      </c>
      <c r="I691" s="215">
        <v>3</v>
      </c>
      <c r="J691" s="216"/>
      <c r="K691" s="216"/>
      <c r="L691" s="216">
        <v>24</v>
      </c>
      <c r="M691" s="216"/>
      <c r="N691" s="216"/>
      <c r="O691" s="217"/>
      <c r="P691" s="217">
        <v>3</v>
      </c>
      <c r="Q691" s="217"/>
      <c r="R691" s="217"/>
      <c r="S691" s="218"/>
    </row>
    <row r="692" spans="1:19" ht="15" customHeight="1">
      <c r="A692" s="413">
        <f t="shared" si="10"/>
        <v>692</v>
      </c>
      <c r="B692" s="26">
        <v>105</v>
      </c>
      <c r="C692" s="153" t="s">
        <v>850</v>
      </c>
      <c r="D692" s="211" t="s">
        <v>180</v>
      </c>
      <c r="E692" s="212" t="s">
        <v>854</v>
      </c>
      <c r="F692" s="213" t="s">
        <v>488</v>
      </c>
      <c r="G692" s="214" t="s">
        <v>985</v>
      </c>
      <c r="H692" s="213" t="s">
        <v>44</v>
      </c>
      <c r="I692" s="215">
        <f>((3*1.1)+(2.8*1.8))*1.3</f>
        <v>10.842000000000001</v>
      </c>
      <c r="J692" s="216"/>
      <c r="K692" s="216"/>
      <c r="L692" s="216">
        <f>(3+2.8+1.8+2.8+0.7+3+1.1)*3</f>
        <v>45.599999999999994</v>
      </c>
      <c r="M692" s="216"/>
      <c r="N692" s="216"/>
      <c r="O692" s="217"/>
      <c r="P692" s="217">
        <f>I692</f>
        <v>10.842000000000001</v>
      </c>
      <c r="Q692" s="217"/>
      <c r="R692" s="217"/>
      <c r="S692" s="218" t="s">
        <v>1022</v>
      </c>
    </row>
    <row r="693" spans="1:19" ht="15" customHeight="1">
      <c r="A693" s="413">
        <f t="shared" si="10"/>
        <v>693</v>
      </c>
      <c r="B693" s="26">
        <v>105</v>
      </c>
      <c r="C693" s="153" t="s">
        <v>850</v>
      </c>
      <c r="D693" s="211" t="s">
        <v>180</v>
      </c>
      <c r="E693" s="212" t="s">
        <v>854</v>
      </c>
      <c r="F693" s="213" t="s">
        <v>488</v>
      </c>
      <c r="G693" s="214" t="s">
        <v>986</v>
      </c>
      <c r="H693" s="213" t="s">
        <v>44</v>
      </c>
      <c r="I693" s="215">
        <f>((2.2*1)+(4*1)+(7.5*5.5))*1.3</f>
        <v>61.685000000000002</v>
      </c>
      <c r="J693" s="216"/>
      <c r="K693" s="216"/>
      <c r="L693" s="216">
        <f>(2.2+1+1.3+1+4+6.5+7.5+6.5)*3</f>
        <v>90</v>
      </c>
      <c r="M693" s="216"/>
      <c r="N693" s="216"/>
      <c r="O693" s="217"/>
      <c r="P693" s="217">
        <f>I693</f>
        <v>61.685000000000002</v>
      </c>
      <c r="Q693" s="217"/>
      <c r="R693" s="217"/>
      <c r="S693" s="218"/>
    </row>
    <row r="694" spans="1:19" ht="15" customHeight="1">
      <c r="A694" s="413">
        <f t="shared" si="10"/>
        <v>694</v>
      </c>
      <c r="B694" s="26">
        <v>105</v>
      </c>
      <c r="C694" s="153" t="s">
        <v>850</v>
      </c>
      <c r="D694" s="211" t="s">
        <v>180</v>
      </c>
      <c r="E694" s="212" t="s">
        <v>327</v>
      </c>
      <c r="F694" s="213" t="s">
        <v>892</v>
      </c>
      <c r="G694" s="214" t="s">
        <v>548</v>
      </c>
      <c r="H694" s="213" t="s">
        <v>166</v>
      </c>
      <c r="I694" s="215">
        <v>6</v>
      </c>
      <c r="J694" s="216"/>
      <c r="K694" s="216"/>
      <c r="L694" s="216"/>
      <c r="M694" s="216"/>
      <c r="N694" s="216"/>
      <c r="O694" s="217"/>
      <c r="P694" s="217"/>
      <c r="Q694" s="217"/>
      <c r="R694" s="217"/>
      <c r="S694" s="218"/>
    </row>
    <row r="695" spans="1:19" ht="15" customHeight="1">
      <c r="A695" s="413">
        <f t="shared" si="10"/>
        <v>695</v>
      </c>
      <c r="B695" s="26">
        <v>105</v>
      </c>
      <c r="C695" s="153" t="s">
        <v>850</v>
      </c>
      <c r="D695" s="211" t="s">
        <v>180</v>
      </c>
      <c r="E695" s="212" t="s">
        <v>327</v>
      </c>
      <c r="F695" s="213" t="s">
        <v>175</v>
      </c>
      <c r="G695" s="214" t="s">
        <v>987</v>
      </c>
      <c r="H695" s="213" t="s">
        <v>19</v>
      </c>
      <c r="I695" s="215">
        <v>25</v>
      </c>
      <c r="J695" s="216"/>
      <c r="K695" s="216"/>
      <c r="L695" s="216">
        <f>+(2.5+2.6+4.9+2.45+2.5+2.5+2.8+2.2+2.1)*2.75</f>
        <v>67.512500000000003</v>
      </c>
      <c r="M695" s="216"/>
      <c r="N695" s="216"/>
      <c r="O695" s="217"/>
      <c r="P695" s="217"/>
      <c r="Q695" s="217">
        <v>25</v>
      </c>
      <c r="R695" s="217"/>
      <c r="S695" s="218" t="s">
        <v>521</v>
      </c>
    </row>
    <row r="696" spans="1:19" ht="15" customHeight="1">
      <c r="A696" s="413">
        <f t="shared" si="10"/>
        <v>696</v>
      </c>
      <c r="B696" s="26">
        <v>105</v>
      </c>
      <c r="C696" s="153" t="s">
        <v>850</v>
      </c>
      <c r="D696" s="211" t="s">
        <v>180</v>
      </c>
      <c r="E696" s="212" t="s">
        <v>327</v>
      </c>
      <c r="F696" s="213" t="s">
        <v>333</v>
      </c>
      <c r="G696" s="214" t="s">
        <v>896</v>
      </c>
      <c r="H696" s="213" t="s">
        <v>19</v>
      </c>
      <c r="I696" s="215">
        <v>34</v>
      </c>
      <c r="J696" s="216"/>
      <c r="K696" s="216"/>
      <c r="L696" s="216">
        <f>+(4+4.65+4.8+2.9+4.6+2.6+2.1)*2.7</f>
        <v>69.254999999999995</v>
      </c>
      <c r="M696" s="216"/>
      <c r="N696" s="216"/>
      <c r="O696" s="217"/>
      <c r="P696" s="217"/>
      <c r="Q696" s="217">
        <v>34</v>
      </c>
      <c r="R696" s="217"/>
      <c r="S696" s="218" t="s">
        <v>521</v>
      </c>
    </row>
    <row r="697" spans="1:19" ht="15" customHeight="1">
      <c r="A697" s="413">
        <f t="shared" si="10"/>
        <v>697</v>
      </c>
      <c r="B697" s="26">
        <v>105</v>
      </c>
      <c r="C697" s="153" t="s">
        <v>850</v>
      </c>
      <c r="D697" s="211" t="s">
        <v>180</v>
      </c>
      <c r="E697" s="212" t="s">
        <v>327</v>
      </c>
      <c r="F697" s="213" t="s">
        <v>333</v>
      </c>
      <c r="G697" s="214" t="s">
        <v>783</v>
      </c>
      <c r="H697" s="213" t="s">
        <v>19</v>
      </c>
      <c r="I697" s="215">
        <v>34</v>
      </c>
      <c r="J697" s="216"/>
      <c r="K697" s="216"/>
      <c r="L697" s="216">
        <f>+(2.4+5.4+4.45+3.75+2.5+7.3*2+1.8*2)*2.75</f>
        <v>100.92500000000001</v>
      </c>
      <c r="M697" s="216"/>
      <c r="N697" s="216"/>
      <c r="O697" s="217"/>
      <c r="P697" s="217"/>
      <c r="Q697" s="217">
        <v>34</v>
      </c>
      <c r="R697" s="217"/>
      <c r="S697" s="218" t="s">
        <v>521</v>
      </c>
    </row>
    <row r="698" spans="1:19" ht="15" customHeight="1">
      <c r="A698" s="413">
        <f t="shared" si="10"/>
        <v>698</v>
      </c>
      <c r="B698" s="26">
        <v>105</v>
      </c>
      <c r="C698" s="153" t="s">
        <v>850</v>
      </c>
      <c r="D698" s="211" t="s">
        <v>180</v>
      </c>
      <c r="E698" s="212" t="s">
        <v>327</v>
      </c>
      <c r="F698" s="213" t="s">
        <v>331</v>
      </c>
      <c r="G698" s="214" t="s">
        <v>784</v>
      </c>
      <c r="H698" s="213" t="s">
        <v>19</v>
      </c>
      <c r="I698" s="215">
        <f>3.3*7.6</f>
        <v>25.08</v>
      </c>
      <c r="J698" s="216"/>
      <c r="K698" s="216"/>
      <c r="L698" s="216">
        <f>2*(7.6+3.3)*2.7</f>
        <v>58.86</v>
      </c>
      <c r="M698" s="216"/>
      <c r="N698" s="216"/>
      <c r="O698" s="217"/>
      <c r="P698" s="217"/>
      <c r="Q698" s="217">
        <v>25</v>
      </c>
      <c r="R698" s="217"/>
      <c r="S698" s="218" t="s">
        <v>521</v>
      </c>
    </row>
    <row r="699" spans="1:19" ht="15" customHeight="1">
      <c r="A699" s="413">
        <f t="shared" si="10"/>
        <v>699</v>
      </c>
      <c r="B699" s="26">
        <v>105</v>
      </c>
      <c r="C699" s="153" t="s">
        <v>850</v>
      </c>
      <c r="D699" s="211" t="s">
        <v>180</v>
      </c>
      <c r="E699" s="212" t="s">
        <v>327</v>
      </c>
      <c r="F699" s="213" t="s">
        <v>333</v>
      </c>
      <c r="G699" s="214" t="s">
        <v>785</v>
      </c>
      <c r="H699" s="213" t="s">
        <v>19</v>
      </c>
      <c r="I699" s="215">
        <v>24</v>
      </c>
      <c r="J699" s="216"/>
      <c r="K699" s="216"/>
      <c r="L699" s="216">
        <v>26</v>
      </c>
      <c r="M699" s="216"/>
      <c r="N699" s="216"/>
      <c r="O699" s="217"/>
      <c r="P699" s="217"/>
      <c r="Q699" s="217">
        <v>24</v>
      </c>
      <c r="R699" s="217"/>
      <c r="S699" s="218" t="s">
        <v>521</v>
      </c>
    </row>
    <row r="700" spans="1:19" ht="15" customHeight="1">
      <c r="A700" s="413">
        <f t="shared" si="10"/>
        <v>700</v>
      </c>
      <c r="B700" s="26">
        <v>105</v>
      </c>
      <c r="C700" s="153" t="s">
        <v>850</v>
      </c>
      <c r="D700" s="211" t="s">
        <v>180</v>
      </c>
      <c r="E700" s="212" t="s">
        <v>327</v>
      </c>
      <c r="F700" s="213" t="s">
        <v>333</v>
      </c>
      <c r="G700" s="214" t="s">
        <v>898</v>
      </c>
      <c r="H700" s="213" t="s">
        <v>19</v>
      </c>
      <c r="I700" s="215">
        <v>24</v>
      </c>
      <c r="J700" s="216"/>
      <c r="K700" s="216"/>
      <c r="L700" s="216">
        <v>26</v>
      </c>
      <c r="M700" s="216"/>
      <c r="N700" s="216"/>
      <c r="O700" s="217"/>
      <c r="P700" s="217"/>
      <c r="Q700" s="217">
        <v>24</v>
      </c>
      <c r="R700" s="217"/>
      <c r="S700" s="218" t="s">
        <v>521</v>
      </c>
    </row>
    <row r="701" spans="1:19" ht="15" customHeight="1">
      <c r="A701" s="413">
        <f t="shared" si="10"/>
        <v>701</v>
      </c>
      <c r="B701" s="26">
        <v>105</v>
      </c>
      <c r="C701" s="153" t="s">
        <v>850</v>
      </c>
      <c r="D701" s="211" t="s">
        <v>180</v>
      </c>
      <c r="E701" s="212" t="s">
        <v>327</v>
      </c>
      <c r="F701" s="213" t="s">
        <v>488</v>
      </c>
      <c r="G701" s="214" t="s">
        <v>605</v>
      </c>
      <c r="H701" s="213" t="s">
        <v>19</v>
      </c>
      <c r="I701" s="215">
        <v>24</v>
      </c>
      <c r="J701" s="216"/>
      <c r="K701" s="216"/>
      <c r="L701" s="216">
        <v>66</v>
      </c>
      <c r="M701" s="216"/>
      <c r="N701" s="216"/>
      <c r="O701" s="217"/>
      <c r="P701" s="217">
        <v>21</v>
      </c>
      <c r="Q701" s="217"/>
      <c r="R701" s="217"/>
      <c r="S701" s="218"/>
    </row>
    <row r="702" spans="1:19" ht="15" customHeight="1">
      <c r="A702" s="413">
        <f t="shared" si="10"/>
        <v>702</v>
      </c>
      <c r="B702" s="26">
        <v>105</v>
      </c>
      <c r="C702" s="153" t="s">
        <v>850</v>
      </c>
      <c r="D702" s="211" t="s">
        <v>180</v>
      </c>
      <c r="E702" s="212" t="s">
        <v>327</v>
      </c>
      <c r="F702" s="213" t="s">
        <v>488</v>
      </c>
      <c r="G702" s="214" t="s">
        <v>603</v>
      </c>
      <c r="H702" s="213" t="s">
        <v>19</v>
      </c>
      <c r="I702" s="215">
        <v>24</v>
      </c>
      <c r="J702" s="216"/>
      <c r="K702" s="216"/>
      <c r="L702" s="216">
        <v>66</v>
      </c>
      <c r="M702" s="216"/>
      <c r="N702" s="216"/>
      <c r="O702" s="217"/>
      <c r="P702" s="217">
        <v>21</v>
      </c>
      <c r="Q702" s="217"/>
      <c r="R702" s="217"/>
      <c r="S702" s="218"/>
    </row>
    <row r="703" spans="1:19" ht="15" customHeight="1">
      <c r="A703" s="413">
        <f t="shared" si="10"/>
        <v>703</v>
      </c>
      <c r="B703" s="26">
        <v>105</v>
      </c>
      <c r="C703" s="153" t="s">
        <v>850</v>
      </c>
      <c r="D703" s="211" t="s">
        <v>180</v>
      </c>
      <c r="E703" s="212" t="s">
        <v>327</v>
      </c>
      <c r="F703" s="213" t="s">
        <v>488</v>
      </c>
      <c r="G703" s="214" t="s">
        <v>903</v>
      </c>
      <c r="H703" s="213" t="s">
        <v>19</v>
      </c>
      <c r="I703" s="215">
        <v>24</v>
      </c>
      <c r="J703" s="216"/>
      <c r="K703" s="216"/>
      <c r="L703" s="216">
        <v>66</v>
      </c>
      <c r="M703" s="216"/>
      <c r="N703" s="216"/>
      <c r="O703" s="217"/>
      <c r="P703" s="217">
        <v>21</v>
      </c>
      <c r="Q703" s="217"/>
      <c r="R703" s="217"/>
      <c r="S703" s="218"/>
    </row>
    <row r="704" spans="1:19" ht="15" customHeight="1">
      <c r="A704" s="413">
        <f t="shared" si="10"/>
        <v>704</v>
      </c>
      <c r="B704" s="26">
        <v>105</v>
      </c>
      <c r="C704" s="153" t="s">
        <v>850</v>
      </c>
      <c r="D704" s="211" t="s">
        <v>180</v>
      </c>
      <c r="E704" s="212" t="s">
        <v>327</v>
      </c>
      <c r="F704" s="213" t="s">
        <v>488</v>
      </c>
      <c r="G704" s="214" t="s">
        <v>930</v>
      </c>
      <c r="H704" s="213" t="s">
        <v>19</v>
      </c>
      <c r="I704" s="215">
        <v>24</v>
      </c>
      <c r="J704" s="216"/>
      <c r="K704" s="216"/>
      <c r="L704" s="216">
        <v>66</v>
      </c>
      <c r="M704" s="216"/>
      <c r="N704" s="216"/>
      <c r="O704" s="217"/>
      <c r="P704" s="217">
        <v>21</v>
      </c>
      <c r="Q704" s="217"/>
      <c r="R704" s="217"/>
      <c r="S704" s="218"/>
    </row>
    <row r="705" spans="1:19" ht="15" customHeight="1">
      <c r="A705" s="413">
        <f t="shared" si="10"/>
        <v>705</v>
      </c>
      <c r="B705" s="26">
        <v>105</v>
      </c>
      <c r="C705" s="153" t="s">
        <v>850</v>
      </c>
      <c r="D705" s="211" t="s">
        <v>180</v>
      </c>
      <c r="E705" s="212" t="s">
        <v>327</v>
      </c>
      <c r="F705" s="213" t="s">
        <v>488</v>
      </c>
      <c r="G705" s="214" t="s">
        <v>988</v>
      </c>
      <c r="H705" s="213" t="s">
        <v>19</v>
      </c>
      <c r="I705" s="215">
        <f>7.3*2.8</f>
        <v>20.439999999999998</v>
      </c>
      <c r="J705" s="216"/>
      <c r="K705" s="216"/>
      <c r="L705" s="216">
        <f>2*(7.3+2.8)*2.75</f>
        <v>55.55</v>
      </c>
      <c r="M705" s="216"/>
      <c r="N705" s="216"/>
      <c r="O705" s="217"/>
      <c r="P705" s="217"/>
      <c r="Q705" s="217">
        <v>20</v>
      </c>
      <c r="R705" s="217"/>
      <c r="S705" s="218" t="s">
        <v>521</v>
      </c>
    </row>
    <row r="706" spans="1:19" ht="15" customHeight="1">
      <c r="A706" s="413">
        <f t="shared" si="10"/>
        <v>706</v>
      </c>
      <c r="B706" s="26">
        <v>105</v>
      </c>
      <c r="C706" s="153" t="s">
        <v>850</v>
      </c>
      <c r="D706" s="211" t="s">
        <v>180</v>
      </c>
      <c r="E706" s="212" t="s">
        <v>327</v>
      </c>
      <c r="F706" s="213" t="s">
        <v>488</v>
      </c>
      <c r="G706" s="214" t="s">
        <v>989</v>
      </c>
      <c r="H706" s="213" t="s">
        <v>19</v>
      </c>
      <c r="I706" s="215">
        <v>14</v>
      </c>
      <c r="J706" s="216"/>
      <c r="K706" s="216"/>
      <c r="L706" s="216">
        <v>43</v>
      </c>
      <c r="M706" s="216"/>
      <c r="N706" s="216"/>
      <c r="O706" s="217"/>
      <c r="P706" s="217">
        <v>14</v>
      </c>
      <c r="Q706" s="217"/>
      <c r="R706" s="217"/>
      <c r="S706" s="218"/>
    </row>
    <row r="707" spans="1:19" ht="15" customHeight="1">
      <c r="A707" s="413">
        <f t="shared" ref="A707:A770" si="12">1+A706</f>
        <v>707</v>
      </c>
      <c r="B707" s="26">
        <v>105</v>
      </c>
      <c r="C707" s="153" t="s">
        <v>850</v>
      </c>
      <c r="D707" s="211" t="s">
        <v>180</v>
      </c>
      <c r="E707" s="212" t="s">
        <v>327</v>
      </c>
      <c r="F707" s="213" t="s">
        <v>488</v>
      </c>
      <c r="G707" s="214" t="s">
        <v>990</v>
      </c>
      <c r="H707" s="213" t="s">
        <v>19</v>
      </c>
      <c r="I707" s="215">
        <v>14</v>
      </c>
      <c r="J707" s="216"/>
      <c r="K707" s="216"/>
      <c r="L707" s="216">
        <v>43</v>
      </c>
      <c r="M707" s="216"/>
      <c r="N707" s="216"/>
      <c r="O707" s="217"/>
      <c r="P707" s="217">
        <v>14</v>
      </c>
      <c r="Q707" s="217"/>
      <c r="R707" s="217"/>
      <c r="S707" s="218"/>
    </row>
    <row r="708" spans="1:19" ht="15" customHeight="1">
      <c r="A708" s="413">
        <f t="shared" si="12"/>
        <v>708</v>
      </c>
      <c r="B708" s="26">
        <v>105</v>
      </c>
      <c r="C708" s="153" t="s">
        <v>850</v>
      </c>
      <c r="D708" s="211" t="s">
        <v>180</v>
      </c>
      <c r="E708" s="212" t="s">
        <v>327</v>
      </c>
      <c r="F708" s="213" t="s">
        <v>488</v>
      </c>
      <c r="G708" s="214" t="s">
        <v>827</v>
      </c>
      <c r="H708" s="213" t="s">
        <v>19</v>
      </c>
      <c r="I708" s="215">
        <f>7.4*6.95</f>
        <v>51.430000000000007</v>
      </c>
      <c r="J708" s="216"/>
      <c r="K708" s="216"/>
      <c r="L708" s="216">
        <f>2*(6.95+7.4)*2.75</f>
        <v>78.925000000000011</v>
      </c>
      <c r="M708" s="216"/>
      <c r="N708" s="216"/>
      <c r="O708" s="217"/>
      <c r="P708" s="217"/>
      <c r="Q708" s="217">
        <v>51</v>
      </c>
      <c r="R708" s="217"/>
      <c r="S708" s="218" t="s">
        <v>521</v>
      </c>
    </row>
    <row r="709" spans="1:19" ht="15" customHeight="1">
      <c r="A709" s="413">
        <f t="shared" si="12"/>
        <v>709</v>
      </c>
      <c r="B709" s="26">
        <v>105</v>
      </c>
      <c r="C709" s="153" t="s">
        <v>850</v>
      </c>
      <c r="D709" s="211" t="s">
        <v>180</v>
      </c>
      <c r="E709" s="212" t="s">
        <v>327</v>
      </c>
      <c r="F709" s="213" t="s">
        <v>488</v>
      </c>
      <c r="G709" s="214" t="s">
        <v>991</v>
      </c>
      <c r="H709" s="213" t="s">
        <v>19</v>
      </c>
      <c r="I709" s="215">
        <f>2*7.5</f>
        <v>15</v>
      </c>
      <c r="J709" s="216"/>
      <c r="K709" s="216"/>
      <c r="L709" s="216">
        <f>2*(7.5+2)*2.8</f>
        <v>53.199999999999996</v>
      </c>
      <c r="M709" s="216"/>
      <c r="N709" s="216"/>
      <c r="O709" s="217"/>
      <c r="P709" s="217">
        <v>15</v>
      </c>
      <c r="Q709" s="217"/>
      <c r="R709" s="217"/>
      <c r="S709" s="218"/>
    </row>
    <row r="710" spans="1:19" ht="15" customHeight="1">
      <c r="A710" s="413">
        <f t="shared" si="12"/>
        <v>710</v>
      </c>
      <c r="B710" s="26">
        <v>105</v>
      </c>
      <c r="C710" s="153" t="s">
        <v>850</v>
      </c>
      <c r="D710" s="211" t="s">
        <v>180</v>
      </c>
      <c r="E710" s="212" t="s">
        <v>54</v>
      </c>
      <c r="F710" s="213" t="s">
        <v>978</v>
      </c>
      <c r="G710" s="214" t="s">
        <v>384</v>
      </c>
      <c r="H710" s="213" t="s">
        <v>298</v>
      </c>
      <c r="I710" s="215">
        <v>0</v>
      </c>
      <c r="J710" s="216"/>
      <c r="K710" s="216"/>
      <c r="L710" s="216"/>
      <c r="M710" s="216"/>
      <c r="N710" s="216"/>
      <c r="O710" s="217"/>
      <c r="P710" s="217"/>
      <c r="Q710" s="217"/>
      <c r="R710" s="217"/>
      <c r="S710" s="218"/>
    </row>
    <row r="711" spans="1:19" ht="15" customHeight="1">
      <c r="A711" s="413">
        <f t="shared" si="12"/>
        <v>711</v>
      </c>
      <c r="B711" s="26">
        <v>105</v>
      </c>
      <c r="C711" s="153" t="s">
        <v>850</v>
      </c>
      <c r="D711" s="211" t="s">
        <v>180</v>
      </c>
      <c r="E711" s="212" t="s">
        <v>54</v>
      </c>
      <c r="F711" s="213" t="s">
        <v>373</v>
      </c>
      <c r="G711" s="214" t="s">
        <v>789</v>
      </c>
      <c r="H711" s="213"/>
      <c r="I711" s="215"/>
      <c r="J711" s="216"/>
      <c r="K711" s="216"/>
      <c r="L711" s="216"/>
      <c r="M711" s="216"/>
      <c r="N711" s="216"/>
      <c r="O711" s="217"/>
      <c r="P711" s="217"/>
      <c r="Q711" s="217"/>
      <c r="R711" s="217"/>
      <c r="S711" s="218" t="s">
        <v>1031</v>
      </c>
    </row>
    <row r="712" spans="1:19" ht="15" customHeight="1">
      <c r="A712" s="413">
        <f t="shared" si="12"/>
        <v>712</v>
      </c>
      <c r="B712" s="26">
        <v>105</v>
      </c>
      <c r="C712" s="153" t="s">
        <v>850</v>
      </c>
      <c r="D712" s="211" t="s">
        <v>180</v>
      </c>
      <c r="E712" s="212" t="s">
        <v>54</v>
      </c>
      <c r="F712" s="213" t="s">
        <v>375</v>
      </c>
      <c r="G712" s="214" t="s">
        <v>790</v>
      </c>
      <c r="H712" s="213"/>
      <c r="I712" s="215">
        <v>0</v>
      </c>
      <c r="J712" s="216"/>
      <c r="K712" s="216"/>
      <c r="L712" s="216"/>
      <c r="M712" s="216"/>
      <c r="N712" s="216"/>
      <c r="O712" s="217"/>
      <c r="P712" s="217"/>
      <c r="Q712" s="217"/>
      <c r="R712" s="217"/>
      <c r="S712" s="218" t="s">
        <v>1026</v>
      </c>
    </row>
    <row r="713" spans="1:19" ht="15" customHeight="1">
      <c r="A713" s="413">
        <f t="shared" si="12"/>
        <v>713</v>
      </c>
      <c r="B713" s="26">
        <v>105</v>
      </c>
      <c r="C713" s="153" t="s">
        <v>850</v>
      </c>
      <c r="D713" s="211" t="s">
        <v>180</v>
      </c>
      <c r="E713" s="212" t="s">
        <v>54</v>
      </c>
      <c r="F713" s="213" t="s">
        <v>54</v>
      </c>
      <c r="G713" s="214" t="s">
        <v>791</v>
      </c>
      <c r="H713" s="213" t="s">
        <v>109</v>
      </c>
      <c r="I713" s="215">
        <f>((36+28+27+10+14+40.6)*8)*1.3</f>
        <v>1618.24</v>
      </c>
      <c r="J713" s="216"/>
      <c r="K713" s="216"/>
      <c r="L713" s="216"/>
      <c r="M713" s="216">
        <f>(0.5*42)+(((1.7+0.6+1.7+0.6)*1.35)*2)</f>
        <v>33.42</v>
      </c>
      <c r="N713" s="216">
        <f>((3.3+3.3+2.3)*8.2)+18+18+((2.1*6.5)*2)+(((36+28+27+10+14+40.6)*3.5)*2)+(2.5*18)+(((1.5+0.3+1.5+0.3)*2.5)*2)</f>
        <v>1288.48</v>
      </c>
      <c r="O713" s="217"/>
      <c r="P713" s="217"/>
      <c r="Q713" s="217">
        <f>(36+28+27+10+14+40.6)*15</f>
        <v>2334</v>
      </c>
      <c r="R713" s="217"/>
      <c r="S713" s="218" t="s">
        <v>1022</v>
      </c>
    </row>
    <row r="714" spans="1:19" ht="15" customHeight="1">
      <c r="A714" s="413">
        <f t="shared" si="12"/>
        <v>714</v>
      </c>
      <c r="B714" s="26">
        <v>105</v>
      </c>
      <c r="C714" s="153" t="s">
        <v>850</v>
      </c>
      <c r="D714" s="211" t="s">
        <v>180</v>
      </c>
      <c r="E714" s="212" t="s">
        <v>54</v>
      </c>
      <c r="F714" s="213" t="s">
        <v>375</v>
      </c>
      <c r="G714" s="214" t="s">
        <v>792</v>
      </c>
      <c r="H714" s="213"/>
      <c r="I714" s="215">
        <v>0</v>
      </c>
      <c r="J714" s="216"/>
      <c r="K714" s="216"/>
      <c r="L714" s="216"/>
      <c r="M714" s="216"/>
      <c r="N714" s="216"/>
      <c r="O714" s="217"/>
      <c r="P714" s="217"/>
      <c r="Q714" s="217"/>
      <c r="R714" s="217"/>
      <c r="S714" s="218" t="s">
        <v>1027</v>
      </c>
    </row>
    <row r="715" spans="1:19" ht="15" customHeight="1">
      <c r="A715" s="413">
        <f t="shared" si="12"/>
        <v>715</v>
      </c>
      <c r="B715" s="26">
        <v>105</v>
      </c>
      <c r="C715" s="153" t="s">
        <v>850</v>
      </c>
      <c r="D715" s="211" t="s">
        <v>180</v>
      </c>
      <c r="E715" s="212" t="s">
        <v>54</v>
      </c>
      <c r="F715" s="213" t="s">
        <v>373</v>
      </c>
      <c r="G715" s="214" t="s">
        <v>793</v>
      </c>
      <c r="H715" s="213"/>
      <c r="I715" s="215"/>
      <c r="J715" s="216"/>
      <c r="K715" s="216"/>
      <c r="L715" s="216"/>
      <c r="M715" s="216"/>
      <c r="N715" s="216"/>
      <c r="O715" s="217"/>
      <c r="P715" s="217"/>
      <c r="Q715" s="217"/>
      <c r="R715" s="217"/>
      <c r="S715" s="218" t="s">
        <v>1033</v>
      </c>
    </row>
    <row r="716" spans="1:19" ht="15" customHeight="1">
      <c r="A716" s="413">
        <f t="shared" si="12"/>
        <v>716</v>
      </c>
      <c r="B716" s="26">
        <v>105</v>
      </c>
      <c r="C716" s="153" t="s">
        <v>850</v>
      </c>
      <c r="D716" s="211" t="s">
        <v>180</v>
      </c>
      <c r="E716" s="212" t="s">
        <v>54</v>
      </c>
      <c r="F716" s="213" t="s">
        <v>175</v>
      </c>
      <c r="G716" s="214" t="s">
        <v>992</v>
      </c>
      <c r="H716" s="213" t="s">
        <v>174</v>
      </c>
      <c r="I716" s="215">
        <f>((7.8*1.35)+(7.3*2)+(0.9*4.7)+(30*0.95)+(30*0.75)+(2.5*5.9)+(15*0.95)+(15*0.75))*1.3</f>
        <v>156.79300000000001</v>
      </c>
      <c r="J716" s="216"/>
      <c r="K716" s="216"/>
      <c r="L716" s="216">
        <f>(7.8+1.35+7.8+2.85+1.9+5.6+27+27+15+15)*3.3</f>
        <v>367.28999999999996</v>
      </c>
      <c r="M716" s="216"/>
      <c r="N716" s="216"/>
      <c r="O716" s="217"/>
      <c r="P716" s="217">
        <f>I716</f>
        <v>156.79300000000001</v>
      </c>
      <c r="Q716" s="217"/>
      <c r="R716" s="217"/>
      <c r="S716" s="218" t="s">
        <v>1028</v>
      </c>
    </row>
    <row r="717" spans="1:19" ht="15" customHeight="1">
      <c r="A717" s="413">
        <f t="shared" si="12"/>
        <v>717</v>
      </c>
      <c r="B717" s="26">
        <v>105</v>
      </c>
      <c r="C717" s="153" t="s">
        <v>850</v>
      </c>
      <c r="D717" s="211" t="s">
        <v>180</v>
      </c>
      <c r="E717" s="212" t="s">
        <v>54</v>
      </c>
      <c r="F717" s="213" t="s">
        <v>175</v>
      </c>
      <c r="G717" s="214" t="s">
        <v>993</v>
      </c>
      <c r="H717" s="213" t="s">
        <v>174</v>
      </c>
      <c r="I717" s="215">
        <v>0</v>
      </c>
      <c r="J717" s="216"/>
      <c r="K717" s="216"/>
      <c r="L717" s="216"/>
      <c r="M717" s="216"/>
      <c r="N717" s="216"/>
      <c r="O717" s="217"/>
      <c r="P717" s="217"/>
      <c r="Q717" s="217"/>
      <c r="R717" s="217"/>
      <c r="S717" s="218" t="s">
        <v>1155</v>
      </c>
    </row>
    <row r="718" spans="1:19" ht="15" customHeight="1">
      <c r="A718" s="413">
        <f t="shared" si="12"/>
        <v>718</v>
      </c>
      <c r="B718" s="26">
        <v>105</v>
      </c>
      <c r="C718" s="153" t="s">
        <v>850</v>
      </c>
      <c r="D718" s="211" t="s">
        <v>180</v>
      </c>
      <c r="E718" s="212" t="s">
        <v>54</v>
      </c>
      <c r="F718" s="213" t="s">
        <v>175</v>
      </c>
      <c r="G718" s="214" t="s">
        <v>994</v>
      </c>
      <c r="H718" s="213" t="s">
        <v>174</v>
      </c>
      <c r="I718" s="215">
        <f>((3.6*2.4)-3.5)*1.3</f>
        <v>6.6820000000000013</v>
      </c>
      <c r="J718" s="216"/>
      <c r="K718" s="216"/>
      <c r="L718" s="216">
        <f>(3.6+2.4+3.6+2.4)*3.3</f>
        <v>39.599999999999994</v>
      </c>
      <c r="M718" s="216"/>
      <c r="N718" s="216"/>
      <c r="O718" s="217"/>
      <c r="P718" s="217">
        <f>(3.6*2.4)</f>
        <v>8.64</v>
      </c>
      <c r="Q718" s="217"/>
      <c r="R718" s="217"/>
      <c r="S718" s="218"/>
    </row>
    <row r="719" spans="1:19" ht="15" customHeight="1">
      <c r="A719" s="413">
        <f t="shared" si="12"/>
        <v>719</v>
      </c>
      <c r="B719" s="26">
        <v>105</v>
      </c>
      <c r="C719" s="153" t="s">
        <v>850</v>
      </c>
      <c r="D719" s="211" t="s">
        <v>180</v>
      </c>
      <c r="E719" s="212" t="s">
        <v>54</v>
      </c>
      <c r="F719" s="213" t="s">
        <v>546</v>
      </c>
      <c r="G719" s="214" t="s">
        <v>995</v>
      </c>
      <c r="H719" s="213" t="s">
        <v>166</v>
      </c>
      <c r="I719" s="215">
        <f>(2.5)*1.3</f>
        <v>3.25</v>
      </c>
      <c r="J719" s="216"/>
      <c r="K719" s="216"/>
      <c r="L719" s="216"/>
      <c r="M719" s="216"/>
      <c r="N719" s="216"/>
      <c r="O719" s="217"/>
      <c r="P719" s="217"/>
      <c r="Q719" s="217"/>
      <c r="R719" s="217"/>
      <c r="S719" s="218"/>
    </row>
    <row r="720" spans="1:19" ht="15" customHeight="1">
      <c r="A720" s="413">
        <f t="shared" si="12"/>
        <v>720</v>
      </c>
      <c r="B720" s="26">
        <v>105</v>
      </c>
      <c r="C720" s="153" t="s">
        <v>850</v>
      </c>
      <c r="D720" s="211" t="s">
        <v>180</v>
      </c>
      <c r="E720" s="212" t="s">
        <v>54</v>
      </c>
      <c r="F720" s="213" t="s">
        <v>175</v>
      </c>
      <c r="G720" s="214" t="s">
        <v>626</v>
      </c>
      <c r="H720" s="213" t="s">
        <v>174</v>
      </c>
      <c r="I720" s="215">
        <f>(5.4*1.2)*1.3</f>
        <v>8.4240000000000013</v>
      </c>
      <c r="J720" s="216"/>
      <c r="K720" s="216"/>
      <c r="L720" s="216">
        <f>(5.4+1.2+5.4+1.2)*3.3</f>
        <v>43.559999999999995</v>
      </c>
      <c r="M720" s="216"/>
      <c r="N720" s="216"/>
      <c r="O720" s="217"/>
      <c r="P720" s="217"/>
      <c r="Q720" s="217"/>
      <c r="R720" s="217"/>
      <c r="S720" s="218"/>
    </row>
    <row r="721" spans="1:19" ht="15" customHeight="1">
      <c r="A721" s="413">
        <f t="shared" si="12"/>
        <v>721</v>
      </c>
      <c r="B721" s="26">
        <v>105</v>
      </c>
      <c r="C721" s="153" t="s">
        <v>850</v>
      </c>
      <c r="D721" s="211" t="s">
        <v>180</v>
      </c>
      <c r="E721" s="212" t="s">
        <v>54</v>
      </c>
      <c r="F721" s="213" t="s">
        <v>175</v>
      </c>
      <c r="G721" s="214" t="s">
        <v>796</v>
      </c>
      <c r="H721" s="213" t="s">
        <v>19</v>
      </c>
      <c r="I721" s="215">
        <f>1.7*4.4</f>
        <v>7.48</v>
      </c>
      <c r="J721" s="216"/>
      <c r="K721" s="216"/>
      <c r="L721" s="216">
        <f>2*(1.7+4.4)*2.8</f>
        <v>34.160000000000004</v>
      </c>
      <c r="M721" s="216"/>
      <c r="N721" s="216"/>
      <c r="O721" s="217"/>
      <c r="P721" s="217">
        <v>7</v>
      </c>
      <c r="Q721" s="217"/>
      <c r="R721" s="217"/>
      <c r="S721" s="218"/>
    </row>
    <row r="722" spans="1:19" ht="15" customHeight="1">
      <c r="A722" s="413">
        <f t="shared" si="12"/>
        <v>722</v>
      </c>
      <c r="B722" s="26">
        <v>105</v>
      </c>
      <c r="C722" s="153" t="s">
        <v>850</v>
      </c>
      <c r="D722" s="211" t="s">
        <v>180</v>
      </c>
      <c r="E722" s="212" t="s">
        <v>54</v>
      </c>
      <c r="F722" s="213" t="s">
        <v>892</v>
      </c>
      <c r="G722" s="214" t="s">
        <v>798</v>
      </c>
      <c r="H722" s="213" t="s">
        <v>174</v>
      </c>
      <c r="I722" s="215">
        <v>0</v>
      </c>
      <c r="J722" s="216"/>
      <c r="K722" s="216"/>
      <c r="L722" s="216"/>
      <c r="M722" s="216"/>
      <c r="N722" s="216"/>
      <c r="O722" s="217"/>
      <c r="P722" s="217"/>
      <c r="Q722" s="217"/>
      <c r="R722" s="217"/>
      <c r="S722" s="218" t="s">
        <v>1156</v>
      </c>
    </row>
    <row r="723" spans="1:19" ht="15" customHeight="1">
      <c r="A723" s="413">
        <f t="shared" si="12"/>
        <v>723</v>
      </c>
      <c r="B723" s="26">
        <v>105</v>
      </c>
      <c r="C723" s="153" t="s">
        <v>850</v>
      </c>
      <c r="D723" s="211" t="s">
        <v>180</v>
      </c>
      <c r="E723" s="212" t="s">
        <v>54</v>
      </c>
      <c r="F723" s="213" t="s">
        <v>175</v>
      </c>
      <c r="G723" s="214" t="s">
        <v>996</v>
      </c>
      <c r="H723" s="213" t="s">
        <v>169</v>
      </c>
      <c r="I723" s="215">
        <f>((40*1.35)+(40*0.6)+(7*0.9))*1.3</f>
        <v>109.59</v>
      </c>
      <c r="J723" s="216"/>
      <c r="K723" s="216"/>
      <c r="L723" s="216">
        <f>(40+40+7)*3.6</f>
        <v>313.2</v>
      </c>
      <c r="M723" s="216">
        <f>41*0.5</f>
        <v>20.5</v>
      </c>
      <c r="N723" s="216"/>
      <c r="O723" s="217"/>
      <c r="P723" s="217"/>
      <c r="Q723" s="217"/>
      <c r="R723" s="217"/>
      <c r="S723" s="218"/>
    </row>
    <row r="724" spans="1:19" ht="15" customHeight="1">
      <c r="A724" s="413">
        <f t="shared" si="12"/>
        <v>724</v>
      </c>
      <c r="B724" s="26">
        <v>105</v>
      </c>
      <c r="C724" s="153" t="s">
        <v>850</v>
      </c>
      <c r="D724" s="211" t="s">
        <v>180</v>
      </c>
      <c r="E724" s="212" t="s">
        <v>54</v>
      </c>
      <c r="F724" s="213" t="s">
        <v>175</v>
      </c>
      <c r="G724" s="214" t="s">
        <v>997</v>
      </c>
      <c r="H724" s="213" t="s">
        <v>44</v>
      </c>
      <c r="I724" s="215">
        <f>(2.8*5.4)*1.3</f>
        <v>19.655999999999999</v>
      </c>
      <c r="J724" s="216"/>
      <c r="K724" s="216"/>
      <c r="L724" s="216">
        <f>(2.8+5.4+2.8+5.4)*3.3</f>
        <v>54.11999999999999</v>
      </c>
      <c r="M724" s="216"/>
      <c r="N724" s="216"/>
      <c r="O724" s="217"/>
      <c r="P724" s="217">
        <f>I724</f>
        <v>19.655999999999999</v>
      </c>
      <c r="Q724" s="217"/>
      <c r="R724" s="217"/>
      <c r="S724" s="218"/>
    </row>
    <row r="725" spans="1:19" ht="15" customHeight="1">
      <c r="A725" s="413">
        <f t="shared" si="12"/>
        <v>725</v>
      </c>
      <c r="B725" s="26">
        <v>105</v>
      </c>
      <c r="C725" s="153" t="s">
        <v>850</v>
      </c>
      <c r="D725" s="211" t="s">
        <v>180</v>
      </c>
      <c r="E725" s="212" t="s">
        <v>54</v>
      </c>
      <c r="F725" s="213" t="s">
        <v>175</v>
      </c>
      <c r="G725" s="214" t="s">
        <v>998</v>
      </c>
      <c r="H725" s="213" t="s">
        <v>44</v>
      </c>
      <c r="I725" s="215">
        <f>((1*2.55)+(2.5*0.75))*1.3</f>
        <v>5.7525000000000004</v>
      </c>
      <c r="J725" s="216"/>
      <c r="K725" s="216"/>
      <c r="L725" s="216">
        <f>(2.55+3+2.55+3)*3.3</f>
        <v>36.629999999999995</v>
      </c>
      <c r="M725" s="216"/>
      <c r="N725" s="216"/>
      <c r="O725" s="217"/>
      <c r="P725" s="217">
        <f>I725</f>
        <v>5.7525000000000004</v>
      </c>
      <c r="Q725" s="217"/>
      <c r="R725" s="217"/>
      <c r="S725" s="218"/>
    </row>
    <row r="726" spans="1:19" ht="15" customHeight="1">
      <c r="A726" s="413">
        <f t="shared" si="12"/>
        <v>726</v>
      </c>
      <c r="B726" s="26">
        <v>105</v>
      </c>
      <c r="C726" s="153" t="s">
        <v>850</v>
      </c>
      <c r="D726" s="211" t="s">
        <v>180</v>
      </c>
      <c r="E726" s="212" t="s">
        <v>54</v>
      </c>
      <c r="F726" s="213" t="s">
        <v>546</v>
      </c>
      <c r="G726" s="214" t="s">
        <v>800</v>
      </c>
      <c r="H726" s="213" t="s">
        <v>166</v>
      </c>
      <c r="I726" s="215">
        <v>3.25</v>
      </c>
      <c r="J726" s="216"/>
      <c r="K726" s="216"/>
      <c r="L726" s="216"/>
      <c r="M726" s="216"/>
      <c r="N726" s="216"/>
      <c r="O726" s="217"/>
      <c r="P726" s="217"/>
      <c r="Q726" s="217"/>
      <c r="R726" s="217"/>
      <c r="S726" s="218"/>
    </row>
    <row r="727" spans="1:19" ht="15" customHeight="1">
      <c r="A727" s="413">
        <f t="shared" si="12"/>
        <v>727</v>
      </c>
      <c r="B727" s="26">
        <v>105</v>
      </c>
      <c r="C727" s="153" t="s">
        <v>850</v>
      </c>
      <c r="D727" s="211" t="s">
        <v>180</v>
      </c>
      <c r="E727" s="212" t="s">
        <v>54</v>
      </c>
      <c r="F727" s="213" t="s">
        <v>175</v>
      </c>
      <c r="G727" s="214" t="s">
        <v>803</v>
      </c>
      <c r="H727" s="213" t="s">
        <v>44</v>
      </c>
      <c r="I727" s="215">
        <f>(5.35*1.5)*1.3</f>
        <v>10.432499999999999</v>
      </c>
      <c r="J727" s="216"/>
      <c r="K727" s="216"/>
      <c r="L727" s="216">
        <f>(5.35+1.5+5.35+1.5)*3.3</f>
        <v>45.209999999999994</v>
      </c>
      <c r="M727" s="216"/>
      <c r="N727" s="216"/>
      <c r="O727" s="217"/>
      <c r="P727" s="217">
        <f>I727</f>
        <v>10.432499999999999</v>
      </c>
      <c r="Q727" s="217"/>
      <c r="R727" s="217"/>
      <c r="S727" s="218"/>
    </row>
    <row r="728" spans="1:19" ht="15" customHeight="1">
      <c r="A728" s="413">
        <f t="shared" si="12"/>
        <v>728</v>
      </c>
      <c r="B728" s="26">
        <v>105</v>
      </c>
      <c r="C728" s="153" t="s">
        <v>850</v>
      </c>
      <c r="D728" s="211" t="s">
        <v>180</v>
      </c>
      <c r="E728" s="212" t="s">
        <v>54</v>
      </c>
      <c r="F728" s="213" t="s">
        <v>175</v>
      </c>
      <c r="G728" s="214" t="s">
        <v>999</v>
      </c>
      <c r="H728" s="213" t="s">
        <v>44</v>
      </c>
      <c r="I728" s="215">
        <f>((2.4*1.45)+(2.7*2.45))*1.3</f>
        <v>13.123500000000002</v>
      </c>
      <c r="J728" s="216"/>
      <c r="K728" s="216"/>
      <c r="L728" s="216"/>
      <c r="M728" s="216"/>
      <c r="N728" s="216">
        <f>(2.7+2.45+5.1+1.45+2.4+1)*3.6</f>
        <v>54.36</v>
      </c>
      <c r="O728" s="217"/>
      <c r="P728" s="217"/>
      <c r="Q728" s="217">
        <f>I728</f>
        <v>13.123500000000002</v>
      </c>
      <c r="R728" s="217"/>
      <c r="S728" s="218"/>
    </row>
    <row r="729" spans="1:19" ht="15" customHeight="1">
      <c r="A729" s="413">
        <f t="shared" si="12"/>
        <v>729</v>
      </c>
      <c r="B729" s="26">
        <v>105</v>
      </c>
      <c r="C729" s="153" t="s">
        <v>850</v>
      </c>
      <c r="D729" s="211" t="s">
        <v>180</v>
      </c>
      <c r="E729" s="212" t="s">
        <v>54</v>
      </c>
      <c r="F729" s="213" t="s">
        <v>422</v>
      </c>
      <c r="G729" s="214" t="s">
        <v>1000</v>
      </c>
      <c r="H729" s="213" t="s">
        <v>176</v>
      </c>
      <c r="I729" s="215">
        <f>(3.15*4)*1.3</f>
        <v>16.38</v>
      </c>
      <c r="J729" s="216"/>
      <c r="K729" s="216"/>
      <c r="L729" s="216"/>
      <c r="M729" s="216"/>
      <c r="N729" s="216">
        <f>(3.15+4+3.15+4)*3.3</f>
        <v>47.19</v>
      </c>
      <c r="O729" s="217"/>
      <c r="P729" s="217"/>
      <c r="Q729" s="217">
        <f>I729</f>
        <v>16.38</v>
      </c>
      <c r="R729" s="217"/>
      <c r="S729" s="218"/>
    </row>
    <row r="730" spans="1:19" ht="15" customHeight="1">
      <c r="A730" s="413">
        <f t="shared" si="12"/>
        <v>730</v>
      </c>
      <c r="B730" s="26">
        <v>105</v>
      </c>
      <c r="C730" s="153" t="s">
        <v>850</v>
      </c>
      <c r="D730" s="211" t="s">
        <v>180</v>
      </c>
      <c r="E730" s="212" t="s">
        <v>54</v>
      </c>
      <c r="F730" s="213" t="s">
        <v>1001</v>
      </c>
      <c r="G730" s="214" t="s">
        <v>805</v>
      </c>
      <c r="H730" s="213" t="s">
        <v>174</v>
      </c>
      <c r="I730" s="215">
        <f>(14*1.95)*1.3</f>
        <v>35.49</v>
      </c>
      <c r="J730" s="216"/>
      <c r="K730" s="216"/>
      <c r="L730" s="216">
        <f>(14+1.95+14+1.95)*3.3</f>
        <v>105.27</v>
      </c>
      <c r="M730" s="216"/>
      <c r="N730" s="216"/>
      <c r="O730" s="217"/>
      <c r="P730" s="217">
        <f>I730</f>
        <v>35.49</v>
      </c>
      <c r="Q730" s="217"/>
      <c r="R730" s="217"/>
      <c r="S730" s="218"/>
    </row>
    <row r="731" spans="1:19" ht="15" customHeight="1">
      <c r="A731" s="413">
        <f t="shared" si="12"/>
        <v>731</v>
      </c>
      <c r="B731" s="26">
        <v>105</v>
      </c>
      <c r="C731" s="153" t="s">
        <v>850</v>
      </c>
      <c r="D731" s="211" t="s">
        <v>180</v>
      </c>
      <c r="E731" s="212" t="s">
        <v>54</v>
      </c>
      <c r="F731" s="213" t="s">
        <v>1001</v>
      </c>
      <c r="G731" s="214" t="s">
        <v>806</v>
      </c>
      <c r="H731" s="213" t="s">
        <v>44</v>
      </c>
      <c r="I731" s="215">
        <f>(5.05*2.7)*1.3</f>
        <v>17.7255</v>
      </c>
      <c r="J731" s="216"/>
      <c r="K731" s="216"/>
      <c r="L731" s="216">
        <f>(5.05+2.7+5.05+2.7)*3.3</f>
        <v>51.15</v>
      </c>
      <c r="M731" s="216"/>
      <c r="N731" s="216"/>
      <c r="O731" s="217"/>
      <c r="P731" s="217">
        <f>I731</f>
        <v>17.7255</v>
      </c>
      <c r="Q731" s="217"/>
      <c r="R731" s="217"/>
      <c r="S731" s="218"/>
    </row>
    <row r="732" spans="1:19" ht="15" customHeight="1">
      <c r="A732" s="413">
        <f t="shared" si="12"/>
        <v>732</v>
      </c>
      <c r="B732" s="26">
        <v>105</v>
      </c>
      <c r="C732" s="153" t="s">
        <v>850</v>
      </c>
      <c r="D732" s="211" t="s">
        <v>180</v>
      </c>
      <c r="E732" s="212" t="s">
        <v>54</v>
      </c>
      <c r="F732" s="213" t="s">
        <v>427</v>
      </c>
      <c r="G732" s="214" t="s">
        <v>1002</v>
      </c>
      <c r="H732" s="213" t="s">
        <v>44</v>
      </c>
      <c r="I732" s="215">
        <f>(2.4*1.6)*1.3</f>
        <v>4.992</v>
      </c>
      <c r="J732" s="216"/>
      <c r="K732" s="216"/>
      <c r="L732" s="216"/>
      <c r="M732" s="216"/>
      <c r="N732" s="216">
        <f>(2.4+1.6+2.4+1.6)*3.6</f>
        <v>28.8</v>
      </c>
      <c r="O732" s="217"/>
      <c r="P732" s="217"/>
      <c r="Q732" s="217">
        <f>I732</f>
        <v>4.992</v>
      </c>
      <c r="R732" s="217"/>
      <c r="S732" s="218"/>
    </row>
    <row r="733" spans="1:19" ht="15" customHeight="1">
      <c r="A733" s="413">
        <f t="shared" si="12"/>
        <v>733</v>
      </c>
      <c r="B733" s="26">
        <v>105</v>
      </c>
      <c r="C733" s="153" t="s">
        <v>850</v>
      </c>
      <c r="D733" s="211" t="s">
        <v>180</v>
      </c>
      <c r="E733" s="212" t="s">
        <v>54</v>
      </c>
      <c r="F733" s="213" t="s">
        <v>427</v>
      </c>
      <c r="G733" s="214" t="s">
        <v>1003</v>
      </c>
      <c r="H733" s="213" t="s">
        <v>44</v>
      </c>
      <c r="I733" s="215">
        <f>(1.8*1)*1.3</f>
        <v>2.3400000000000003</v>
      </c>
      <c r="J733" s="216"/>
      <c r="K733" s="216"/>
      <c r="L733" s="216"/>
      <c r="M733" s="216"/>
      <c r="N733" s="216">
        <f>(1.8+1+1.8+1)*3.6</f>
        <v>20.16</v>
      </c>
      <c r="O733" s="217"/>
      <c r="P733" s="217"/>
      <c r="Q733" s="217">
        <f>I733</f>
        <v>2.3400000000000003</v>
      </c>
      <c r="R733" s="217"/>
      <c r="S733" s="218"/>
    </row>
    <row r="734" spans="1:19" ht="15" customHeight="1">
      <c r="A734" s="413">
        <f t="shared" si="12"/>
        <v>734</v>
      </c>
      <c r="B734" s="26">
        <v>105</v>
      </c>
      <c r="C734" s="153" t="s">
        <v>850</v>
      </c>
      <c r="D734" s="211" t="s">
        <v>180</v>
      </c>
      <c r="E734" s="212" t="s">
        <v>54</v>
      </c>
      <c r="F734" s="213" t="s">
        <v>427</v>
      </c>
      <c r="G734" s="214" t="s">
        <v>1004</v>
      </c>
      <c r="H734" s="213" t="s">
        <v>44</v>
      </c>
      <c r="I734" s="215">
        <f>(2.6*1.6)*1.3</f>
        <v>5.4080000000000004</v>
      </c>
      <c r="J734" s="216"/>
      <c r="K734" s="216"/>
      <c r="L734" s="216"/>
      <c r="M734" s="216"/>
      <c r="N734" s="216">
        <f>(2.6+1.66+2.6+1.6)*3.6</f>
        <v>30.455999999999996</v>
      </c>
      <c r="O734" s="217"/>
      <c r="P734" s="217"/>
      <c r="Q734" s="217">
        <f>I734</f>
        <v>5.4080000000000004</v>
      </c>
      <c r="R734" s="217"/>
      <c r="S734" s="218"/>
    </row>
    <row r="735" spans="1:19" ht="15" customHeight="1">
      <c r="A735" s="413">
        <f t="shared" si="12"/>
        <v>735</v>
      </c>
      <c r="B735" s="26">
        <v>105</v>
      </c>
      <c r="C735" s="153" t="s">
        <v>850</v>
      </c>
      <c r="D735" s="211" t="s">
        <v>180</v>
      </c>
      <c r="E735" s="212" t="s">
        <v>54</v>
      </c>
      <c r="F735" s="213" t="s">
        <v>427</v>
      </c>
      <c r="G735" s="214" t="s">
        <v>1005</v>
      </c>
      <c r="H735" s="213" t="s">
        <v>44</v>
      </c>
      <c r="I735" s="215">
        <f>(2.6*1.05)*1.3</f>
        <v>3.5490000000000008</v>
      </c>
      <c r="J735" s="216"/>
      <c r="K735" s="216"/>
      <c r="L735" s="216"/>
      <c r="M735" s="216"/>
      <c r="N735" s="216">
        <f>(2.6+1.05+2.6+1.05)*3.6</f>
        <v>26.28</v>
      </c>
      <c r="O735" s="217"/>
      <c r="P735" s="217"/>
      <c r="Q735" s="217">
        <f>I735</f>
        <v>3.5490000000000008</v>
      </c>
      <c r="R735" s="217"/>
      <c r="S735" s="218"/>
    </row>
    <row r="736" spans="1:19" ht="15" customHeight="1">
      <c r="A736" s="413">
        <f t="shared" si="12"/>
        <v>736</v>
      </c>
      <c r="B736" s="26">
        <v>105</v>
      </c>
      <c r="C736" s="153" t="s">
        <v>850</v>
      </c>
      <c r="D736" s="211" t="s">
        <v>180</v>
      </c>
      <c r="E736" s="212" t="s">
        <v>54</v>
      </c>
      <c r="F736" s="213" t="s">
        <v>437</v>
      </c>
      <c r="G736" s="214" t="s">
        <v>807</v>
      </c>
      <c r="H736" s="213" t="s">
        <v>174</v>
      </c>
      <c r="I736" s="215">
        <f>(3.1*2.7)*1.3</f>
        <v>10.881000000000002</v>
      </c>
      <c r="J736" s="216"/>
      <c r="K736" s="216"/>
      <c r="L736" s="216">
        <f>(3.1+2.7+3.1+2.7)*3.3</f>
        <v>38.28</v>
      </c>
      <c r="M736" s="216"/>
      <c r="N736" s="216"/>
      <c r="O736" s="217"/>
      <c r="P736" s="217"/>
      <c r="Q736" s="217">
        <f>I736</f>
        <v>10.881000000000002</v>
      </c>
      <c r="R736" s="217"/>
      <c r="S736" s="218"/>
    </row>
    <row r="737" spans="1:19" ht="15" customHeight="1">
      <c r="A737" s="413">
        <f t="shared" si="12"/>
        <v>737</v>
      </c>
      <c r="B737" s="26">
        <v>105</v>
      </c>
      <c r="C737" s="153" t="s">
        <v>850</v>
      </c>
      <c r="D737" s="211" t="s">
        <v>180</v>
      </c>
      <c r="E737" s="212" t="s">
        <v>54</v>
      </c>
      <c r="F737" s="213" t="s">
        <v>435</v>
      </c>
      <c r="G737" s="214" t="s">
        <v>808</v>
      </c>
      <c r="H737" s="213" t="s">
        <v>174</v>
      </c>
      <c r="I737" s="215">
        <f>(6.5*2.7)*1.3</f>
        <v>22.815000000000001</v>
      </c>
      <c r="J737" s="216"/>
      <c r="K737" s="216"/>
      <c r="L737" s="216">
        <f>(6.5+2.7+6.5+2.7)*3.3</f>
        <v>60.719999999999992</v>
      </c>
      <c r="M737" s="216"/>
      <c r="N737" s="216"/>
      <c r="O737" s="217"/>
      <c r="P737" s="217">
        <f>I737</f>
        <v>22.815000000000001</v>
      </c>
      <c r="Q737" s="217"/>
      <c r="R737" s="217"/>
      <c r="S737" s="218"/>
    </row>
    <row r="738" spans="1:19" ht="15" customHeight="1">
      <c r="A738" s="413">
        <f t="shared" si="12"/>
        <v>738</v>
      </c>
      <c r="B738" s="26">
        <v>105</v>
      </c>
      <c r="C738" s="153" t="s">
        <v>850</v>
      </c>
      <c r="D738" s="211" t="s">
        <v>180</v>
      </c>
      <c r="E738" s="212" t="s">
        <v>54</v>
      </c>
      <c r="F738" s="213" t="s">
        <v>439</v>
      </c>
      <c r="G738" s="214" t="s">
        <v>810</v>
      </c>
      <c r="H738" s="213" t="s">
        <v>176</v>
      </c>
      <c r="I738" s="215">
        <f>((2.85*3.6)-(0.6*0.5))*1.3</f>
        <v>12.947999999999999</v>
      </c>
      <c r="J738" s="216"/>
      <c r="K738" s="216"/>
      <c r="L738" s="216"/>
      <c r="M738" s="216"/>
      <c r="N738" s="216">
        <f>(0.6+0.5+2.25+3.6+2.85+3.1)*3.3</f>
        <v>42.57</v>
      </c>
      <c r="O738" s="217"/>
      <c r="P738" s="217"/>
      <c r="Q738" s="217">
        <f>I738</f>
        <v>12.947999999999999</v>
      </c>
      <c r="R738" s="217"/>
      <c r="S738" s="218"/>
    </row>
    <row r="739" spans="1:19" ht="15" customHeight="1">
      <c r="A739" s="413">
        <f t="shared" si="12"/>
        <v>739</v>
      </c>
      <c r="B739" s="26">
        <v>105</v>
      </c>
      <c r="C739" s="153" t="s">
        <v>850</v>
      </c>
      <c r="D739" s="211" t="s">
        <v>180</v>
      </c>
      <c r="E739" s="212" t="s">
        <v>54</v>
      </c>
      <c r="F739" s="213" t="s">
        <v>439</v>
      </c>
      <c r="G739" s="214" t="s">
        <v>811</v>
      </c>
      <c r="H739" s="213" t="s">
        <v>176</v>
      </c>
      <c r="I739" s="215">
        <f>((5.25*6.4)-(0.5*0.7))*1.3</f>
        <v>43.225000000000001</v>
      </c>
      <c r="J739" s="216"/>
      <c r="K739" s="216"/>
      <c r="L739" s="216"/>
      <c r="M739" s="216"/>
      <c r="N739" s="216">
        <f>(5.25+6.4+5.25+6.4+0.5+0.5)*3.3</f>
        <v>80.189999999999984</v>
      </c>
      <c r="O739" s="217"/>
      <c r="P739" s="217"/>
      <c r="Q739" s="217">
        <f>I739</f>
        <v>43.225000000000001</v>
      </c>
      <c r="R739" s="217"/>
      <c r="S739" s="218"/>
    </row>
    <row r="740" spans="1:19" ht="15" customHeight="1">
      <c r="A740" s="413">
        <f t="shared" si="12"/>
        <v>740</v>
      </c>
      <c r="B740" s="26">
        <v>105</v>
      </c>
      <c r="C740" s="153" t="s">
        <v>850</v>
      </c>
      <c r="D740" s="211" t="s">
        <v>180</v>
      </c>
      <c r="E740" s="212" t="s">
        <v>54</v>
      </c>
      <c r="F740" s="213" t="s">
        <v>41</v>
      </c>
      <c r="G740" s="214" t="s">
        <v>1006</v>
      </c>
      <c r="H740" s="213" t="s">
        <v>174</v>
      </c>
      <c r="I740" s="215">
        <f>((0.75*2.2)+(1.95*3.25))*1.3</f>
        <v>10.383750000000001</v>
      </c>
      <c r="J740" s="216"/>
      <c r="K740" s="216"/>
      <c r="L740" s="216">
        <f>(0.75+1.05+1.95+3.25+2.7+2.2)*3.3</f>
        <v>39.269999999999996</v>
      </c>
      <c r="M740" s="216"/>
      <c r="N740" s="216"/>
      <c r="O740" s="217"/>
      <c r="P740" s="217">
        <f>I740</f>
        <v>10.383750000000001</v>
      </c>
      <c r="Q740" s="217"/>
      <c r="R740" s="217"/>
      <c r="S740" s="218"/>
    </row>
    <row r="741" spans="1:19" ht="15" customHeight="1">
      <c r="A741" s="413">
        <f t="shared" si="12"/>
        <v>741</v>
      </c>
      <c r="B741" s="26">
        <v>105</v>
      </c>
      <c r="C741" s="153" t="s">
        <v>850</v>
      </c>
      <c r="D741" s="211" t="s">
        <v>180</v>
      </c>
      <c r="E741" s="212" t="s">
        <v>54</v>
      </c>
      <c r="F741" s="213" t="s">
        <v>461</v>
      </c>
      <c r="G741" s="214" t="s">
        <v>813</v>
      </c>
      <c r="H741" s="213" t="s">
        <v>174</v>
      </c>
      <c r="I741" s="215">
        <f>((4.3*4))*1.3</f>
        <v>22.36</v>
      </c>
      <c r="J741" s="216"/>
      <c r="K741" s="216"/>
      <c r="L741" s="216">
        <f>(4.3+4+4.3+4)*3.3</f>
        <v>54.78</v>
      </c>
      <c r="M741" s="216"/>
      <c r="N741" s="216"/>
      <c r="O741" s="217"/>
      <c r="P741" s="217">
        <f>I741</f>
        <v>22.36</v>
      </c>
      <c r="Q741" s="217"/>
      <c r="R741" s="217"/>
      <c r="S741" s="218"/>
    </row>
    <row r="742" spans="1:19" ht="15" customHeight="1">
      <c r="A742" s="413">
        <f t="shared" si="12"/>
        <v>742</v>
      </c>
      <c r="B742" s="26">
        <v>105</v>
      </c>
      <c r="C742" s="153" t="s">
        <v>850</v>
      </c>
      <c r="D742" s="211" t="s">
        <v>180</v>
      </c>
      <c r="E742" s="212" t="s">
        <v>54</v>
      </c>
      <c r="F742" s="213" t="s">
        <v>461</v>
      </c>
      <c r="G742" s="214" t="s">
        <v>814</v>
      </c>
      <c r="H742" s="213" t="s">
        <v>174</v>
      </c>
      <c r="I742" s="215">
        <v>0</v>
      </c>
      <c r="J742" s="216"/>
      <c r="K742" s="216"/>
      <c r="L742" s="216">
        <v>30</v>
      </c>
      <c r="M742" s="216"/>
      <c r="N742" s="216"/>
      <c r="O742" s="217"/>
      <c r="P742" s="217"/>
      <c r="Q742" s="217"/>
      <c r="R742" s="217"/>
      <c r="S742" s="218" t="s">
        <v>1157</v>
      </c>
    </row>
    <row r="743" spans="1:19" ht="15" customHeight="1">
      <c r="A743" s="413">
        <f t="shared" si="12"/>
        <v>743</v>
      </c>
      <c r="B743" s="26">
        <v>105</v>
      </c>
      <c r="C743" s="153" t="s">
        <v>850</v>
      </c>
      <c r="D743" s="211" t="s">
        <v>180</v>
      </c>
      <c r="E743" s="212" t="s">
        <v>54</v>
      </c>
      <c r="F743" s="213" t="s">
        <v>461</v>
      </c>
      <c r="G743" s="214" t="s">
        <v>649</v>
      </c>
      <c r="H743" s="213" t="s">
        <v>44</v>
      </c>
      <c r="I743" s="215">
        <f>(2.5*1.9)*1.3</f>
        <v>6.1749999999999998</v>
      </c>
      <c r="J743" s="216"/>
      <c r="K743" s="216"/>
      <c r="L743" s="216">
        <f>(2.5+1.9+2.5+1.9)*3.3</f>
        <v>29.04</v>
      </c>
      <c r="M743" s="216"/>
      <c r="N743" s="216"/>
      <c r="O743" s="217"/>
      <c r="P743" s="217">
        <f>I743</f>
        <v>6.1749999999999998</v>
      </c>
      <c r="Q743" s="217"/>
      <c r="R743" s="217"/>
      <c r="S743" s="218"/>
    </row>
    <row r="744" spans="1:19" ht="15" customHeight="1">
      <c r="A744" s="413">
        <f t="shared" si="12"/>
        <v>744</v>
      </c>
      <c r="B744" s="26">
        <v>105</v>
      </c>
      <c r="C744" s="153" t="s">
        <v>850</v>
      </c>
      <c r="D744" s="211" t="s">
        <v>180</v>
      </c>
      <c r="E744" s="212" t="s">
        <v>54</v>
      </c>
      <c r="F744" s="213" t="s">
        <v>168</v>
      </c>
      <c r="G744" s="214" t="s">
        <v>815</v>
      </c>
      <c r="H744" s="213" t="s">
        <v>44</v>
      </c>
      <c r="I744" s="215">
        <f>((5.3+3.2+6.7)*2.6)*1.3</f>
        <v>51.375999999999998</v>
      </c>
      <c r="J744" s="216"/>
      <c r="K744" s="216"/>
      <c r="L744" s="216"/>
      <c r="M744" s="216"/>
      <c r="N744" s="216">
        <f>(5.3*2.4)+(3.2*2.2)+(6.7*2.2)</f>
        <v>34.5</v>
      </c>
      <c r="O744" s="217"/>
      <c r="P744" s="217"/>
      <c r="Q744" s="217">
        <f>0.5*I744</f>
        <v>25.687999999999999</v>
      </c>
      <c r="R744" s="217"/>
      <c r="S744" s="218"/>
    </row>
    <row r="745" spans="1:19" ht="15" customHeight="1">
      <c r="A745" s="413">
        <f t="shared" si="12"/>
        <v>745</v>
      </c>
      <c r="B745" s="26">
        <v>105</v>
      </c>
      <c r="C745" s="153" t="s">
        <v>850</v>
      </c>
      <c r="D745" s="211" t="s">
        <v>180</v>
      </c>
      <c r="E745" s="212" t="s">
        <v>54</v>
      </c>
      <c r="F745" s="213" t="s">
        <v>168</v>
      </c>
      <c r="G745" s="214" t="s">
        <v>1007</v>
      </c>
      <c r="H745" s="213" t="s">
        <v>44</v>
      </c>
      <c r="I745" s="215">
        <f>((3.35*2.6)+(3.2*4)+(3.2*2.65)+(6.7*2.65))*1.3</f>
        <v>62.068500000000007</v>
      </c>
      <c r="J745" s="216"/>
      <c r="K745" s="216"/>
      <c r="L745" s="216">
        <f>((5.6+3.35+2.6+3.35+1.35+3.2+1.35+3.2)*2.2)+((6.7+2.65+6.7)*2.15)</f>
        <v>87.307500000000005</v>
      </c>
      <c r="M745" s="216"/>
      <c r="N745" s="216"/>
      <c r="O745" s="217"/>
      <c r="P745" s="217"/>
      <c r="Q745" s="217">
        <f>0.5*I745</f>
        <v>31.034250000000004</v>
      </c>
      <c r="R745" s="217"/>
      <c r="S745" s="218"/>
    </row>
    <row r="746" spans="1:19" ht="15" customHeight="1">
      <c r="A746" s="413">
        <f t="shared" si="12"/>
        <v>746</v>
      </c>
      <c r="B746" s="26">
        <v>105</v>
      </c>
      <c r="C746" s="153" t="s">
        <v>850</v>
      </c>
      <c r="D746" s="211" t="s">
        <v>180</v>
      </c>
      <c r="E746" s="212" t="s">
        <v>54</v>
      </c>
      <c r="F746" s="213" t="s">
        <v>123</v>
      </c>
      <c r="G746" s="214" t="s">
        <v>1008</v>
      </c>
      <c r="H746" s="213" t="s">
        <v>109</v>
      </c>
      <c r="I746" s="215">
        <f>((3.1*1.7)+(0.3*1.3))*1.3</f>
        <v>7.3579999999999997</v>
      </c>
      <c r="J746" s="216"/>
      <c r="K746" s="216"/>
      <c r="L746" s="216"/>
      <c r="M746" s="216"/>
      <c r="N746" s="216">
        <f>(3.1+1.7+1.8+0.3+1.3+2)*3.3</f>
        <v>33.659999999999997</v>
      </c>
      <c r="O746" s="217"/>
      <c r="P746" s="217"/>
      <c r="Q746" s="217">
        <f>I746</f>
        <v>7.3579999999999997</v>
      </c>
      <c r="R746" s="217"/>
      <c r="S746" s="218"/>
    </row>
    <row r="747" spans="1:19" ht="15" customHeight="1">
      <c r="A747" s="413">
        <f t="shared" si="12"/>
        <v>747</v>
      </c>
      <c r="B747" s="26">
        <v>105</v>
      </c>
      <c r="C747" s="153" t="s">
        <v>850</v>
      </c>
      <c r="D747" s="211" t="s">
        <v>180</v>
      </c>
      <c r="E747" s="212" t="s">
        <v>54</v>
      </c>
      <c r="F747" s="213" t="s">
        <v>488</v>
      </c>
      <c r="G747" s="214" t="s">
        <v>1009</v>
      </c>
      <c r="H747" s="213" t="s">
        <v>176</v>
      </c>
      <c r="I747" s="215">
        <f>(4*2.6)*1.3</f>
        <v>13.520000000000001</v>
      </c>
      <c r="J747" s="216"/>
      <c r="K747" s="216"/>
      <c r="L747" s="216"/>
      <c r="M747" s="216"/>
      <c r="N747" s="216">
        <f>(4+2.6+4+2.6)*3.3</f>
        <v>43.559999999999995</v>
      </c>
      <c r="O747" s="217"/>
      <c r="P747" s="217"/>
      <c r="Q747" s="217">
        <f>I747</f>
        <v>13.520000000000001</v>
      </c>
      <c r="R747" s="217"/>
      <c r="S747" s="218"/>
    </row>
    <row r="748" spans="1:19" ht="15" customHeight="1">
      <c r="A748" s="413">
        <f t="shared" si="12"/>
        <v>748</v>
      </c>
      <c r="B748" s="26">
        <v>105</v>
      </c>
      <c r="C748" s="153" t="s">
        <v>850</v>
      </c>
      <c r="D748" s="211" t="s">
        <v>180</v>
      </c>
      <c r="E748" s="212" t="s">
        <v>54</v>
      </c>
      <c r="F748" s="213" t="s">
        <v>488</v>
      </c>
      <c r="G748" s="214" t="s">
        <v>1010</v>
      </c>
      <c r="H748" s="213" t="s">
        <v>44</v>
      </c>
      <c r="I748" s="215">
        <f>((1.35*2.5)+(1.3*3.8))*1.3</f>
        <v>10.8095</v>
      </c>
      <c r="J748" s="216"/>
      <c r="K748" s="216"/>
      <c r="L748" s="216">
        <f>(1.3+3.8+2.7+2.5+1.35+1.3)*2.15</f>
        <v>27.842500000000001</v>
      </c>
      <c r="M748" s="216"/>
      <c r="N748" s="216"/>
      <c r="O748" s="217"/>
      <c r="P748" s="217"/>
      <c r="Q748" s="217"/>
      <c r="R748" s="217"/>
      <c r="S748" s="218"/>
    </row>
    <row r="749" spans="1:19" ht="15" customHeight="1">
      <c r="A749" s="413">
        <f t="shared" si="12"/>
        <v>749</v>
      </c>
      <c r="B749" s="26">
        <v>105</v>
      </c>
      <c r="C749" s="153" t="s">
        <v>850</v>
      </c>
      <c r="D749" s="211" t="s">
        <v>180</v>
      </c>
      <c r="E749" s="212" t="s">
        <v>621</v>
      </c>
      <c r="F749" s="213" t="s">
        <v>776</v>
      </c>
      <c r="G749" s="214" t="s">
        <v>384</v>
      </c>
      <c r="H749" s="213"/>
      <c r="I749" s="215">
        <v>0</v>
      </c>
      <c r="J749" s="216"/>
      <c r="K749" s="216"/>
      <c r="L749" s="216"/>
      <c r="M749" s="216"/>
      <c r="N749" s="216"/>
      <c r="O749" s="217"/>
      <c r="P749" s="217"/>
      <c r="Q749" s="217"/>
      <c r="R749" s="217"/>
      <c r="S749" s="218"/>
    </row>
    <row r="750" spans="1:19" ht="15" customHeight="1">
      <c r="A750" s="413">
        <f t="shared" si="12"/>
        <v>750</v>
      </c>
      <c r="B750" s="26">
        <v>105</v>
      </c>
      <c r="C750" s="153" t="s">
        <v>850</v>
      </c>
      <c r="D750" s="211" t="s">
        <v>180</v>
      </c>
      <c r="E750" s="212" t="s">
        <v>621</v>
      </c>
      <c r="F750" s="213" t="s">
        <v>546</v>
      </c>
      <c r="G750" s="214" t="s">
        <v>1011</v>
      </c>
      <c r="H750" s="213"/>
      <c r="I750" s="215">
        <v>0</v>
      </c>
      <c r="J750" s="216"/>
      <c r="K750" s="216"/>
      <c r="L750" s="216"/>
      <c r="M750" s="216"/>
      <c r="N750" s="216"/>
      <c r="O750" s="217"/>
      <c r="P750" s="217"/>
      <c r="Q750" s="217"/>
      <c r="R750" s="217"/>
      <c r="S750" s="218" t="s">
        <v>1029</v>
      </c>
    </row>
    <row r="751" spans="1:19" ht="15" customHeight="1">
      <c r="A751" s="413">
        <f t="shared" si="12"/>
        <v>751</v>
      </c>
      <c r="B751" s="26">
        <v>105</v>
      </c>
      <c r="C751" s="153" t="s">
        <v>850</v>
      </c>
      <c r="D751" s="211" t="s">
        <v>180</v>
      </c>
      <c r="E751" s="212" t="s">
        <v>621</v>
      </c>
      <c r="F751" s="213" t="s">
        <v>175</v>
      </c>
      <c r="G751" s="214" t="s">
        <v>1012</v>
      </c>
      <c r="H751" s="213" t="s">
        <v>174</v>
      </c>
      <c r="I751" s="215">
        <f>(1)*1.3</f>
        <v>1.3</v>
      </c>
      <c r="J751" s="216"/>
      <c r="K751" s="216"/>
      <c r="L751" s="216">
        <f>(1+3.6+1+3.6)*2.6</f>
        <v>23.919999999999998</v>
      </c>
      <c r="M751" s="216"/>
      <c r="N751" s="216"/>
      <c r="O751" s="217"/>
      <c r="P751" s="217"/>
      <c r="Q751" s="217"/>
      <c r="R751" s="217"/>
      <c r="S751" s="218"/>
    </row>
    <row r="752" spans="1:19" ht="15" customHeight="1">
      <c r="A752" s="413">
        <f t="shared" si="12"/>
        <v>752</v>
      </c>
      <c r="B752" s="26">
        <v>105</v>
      </c>
      <c r="C752" s="153" t="s">
        <v>850</v>
      </c>
      <c r="D752" s="211" t="s">
        <v>180</v>
      </c>
      <c r="E752" s="212" t="s">
        <v>621</v>
      </c>
      <c r="F752" s="213" t="s">
        <v>630</v>
      </c>
      <c r="G752" s="214" t="s">
        <v>1013</v>
      </c>
      <c r="H752" s="213" t="s">
        <v>19</v>
      </c>
      <c r="I752" s="215">
        <v>361</v>
      </c>
      <c r="J752" s="216"/>
      <c r="K752" s="216"/>
      <c r="L752" s="216">
        <v>488</v>
      </c>
      <c r="M752" s="216"/>
      <c r="N752" s="216"/>
      <c r="O752" s="217"/>
      <c r="P752" s="217">
        <f>I752</f>
        <v>361</v>
      </c>
      <c r="Q752" s="217"/>
      <c r="R752" s="217"/>
      <c r="S752" s="218"/>
    </row>
    <row r="753" spans="1:19" ht="15" customHeight="1">
      <c r="A753" s="413">
        <f t="shared" si="12"/>
        <v>753</v>
      </c>
      <c r="B753" s="26">
        <v>105</v>
      </c>
      <c r="C753" s="153" t="s">
        <v>850</v>
      </c>
      <c r="D753" s="211" t="s">
        <v>180</v>
      </c>
      <c r="E753" s="212" t="s">
        <v>621</v>
      </c>
      <c r="F753" s="213" t="s">
        <v>627</v>
      </c>
      <c r="G753" s="214" t="s">
        <v>1014</v>
      </c>
      <c r="H753" s="213" t="s">
        <v>19</v>
      </c>
      <c r="I753" s="215">
        <v>465</v>
      </c>
      <c r="J753" s="216"/>
      <c r="K753" s="216"/>
      <c r="L753" s="216">
        <v>532</v>
      </c>
      <c r="M753" s="216"/>
      <c r="N753" s="216"/>
      <c r="O753" s="217"/>
      <c r="P753" s="217">
        <v>465</v>
      </c>
      <c r="Q753" s="217"/>
      <c r="R753" s="217"/>
      <c r="S753" s="218"/>
    </row>
    <row r="754" spans="1:19" ht="15" customHeight="1">
      <c r="A754" s="413">
        <f t="shared" si="12"/>
        <v>754</v>
      </c>
      <c r="B754" s="26">
        <v>105</v>
      </c>
      <c r="C754" s="153" t="s">
        <v>850</v>
      </c>
      <c r="D754" s="211" t="s">
        <v>180</v>
      </c>
      <c r="E754" s="212" t="s">
        <v>621</v>
      </c>
      <c r="F754" s="213" t="s">
        <v>627</v>
      </c>
      <c r="G754" s="214" t="s">
        <v>1015</v>
      </c>
      <c r="H754" s="213" t="s">
        <v>19</v>
      </c>
      <c r="I754" s="215">
        <v>436</v>
      </c>
      <c r="J754" s="216"/>
      <c r="K754" s="216"/>
      <c r="L754" s="216">
        <v>531</v>
      </c>
      <c r="M754" s="216"/>
      <c r="N754" s="216"/>
      <c r="O754" s="217"/>
      <c r="P754" s="217">
        <v>436</v>
      </c>
      <c r="Q754" s="217"/>
      <c r="R754" s="217"/>
      <c r="S754" s="218"/>
    </row>
    <row r="755" spans="1:19" ht="15" customHeight="1">
      <c r="A755" s="413">
        <f t="shared" si="12"/>
        <v>755</v>
      </c>
      <c r="B755" s="26">
        <v>105</v>
      </c>
      <c r="C755" s="153" t="s">
        <v>850</v>
      </c>
      <c r="D755" s="211" t="s">
        <v>180</v>
      </c>
      <c r="E755" s="212" t="s">
        <v>621</v>
      </c>
      <c r="F755" s="213" t="s">
        <v>546</v>
      </c>
      <c r="G755" s="214" t="s">
        <v>929</v>
      </c>
      <c r="H755" s="213"/>
      <c r="I755" s="215">
        <v>0</v>
      </c>
      <c r="J755" s="216"/>
      <c r="K755" s="216"/>
      <c r="L755" s="216"/>
      <c r="M755" s="216"/>
      <c r="N755" s="216"/>
      <c r="O755" s="217"/>
      <c r="P755" s="217"/>
      <c r="Q755" s="217"/>
      <c r="R755" s="217"/>
      <c r="S755" s="218" t="s">
        <v>1030</v>
      </c>
    </row>
    <row r="756" spans="1:19" ht="15" customHeight="1">
      <c r="A756" s="413">
        <f t="shared" si="12"/>
        <v>756</v>
      </c>
      <c r="B756" s="26">
        <v>105</v>
      </c>
      <c r="C756" s="153" t="s">
        <v>850</v>
      </c>
      <c r="D756" s="211" t="s">
        <v>180</v>
      </c>
      <c r="E756" s="212" t="s">
        <v>621</v>
      </c>
      <c r="F756" s="213" t="s">
        <v>175</v>
      </c>
      <c r="G756" s="214" t="s">
        <v>1016</v>
      </c>
      <c r="H756" s="213" t="s">
        <v>44</v>
      </c>
      <c r="I756" s="215">
        <f>(1.75*5.1)*1.3</f>
        <v>11.602499999999999</v>
      </c>
      <c r="J756" s="216"/>
      <c r="K756" s="216"/>
      <c r="L756" s="216">
        <f>(1.75+5.1+1.75+5.1)*2.3</f>
        <v>31.509999999999994</v>
      </c>
      <c r="M756" s="216"/>
      <c r="N756" s="216"/>
      <c r="O756" s="217"/>
      <c r="P756" s="217">
        <f>I756</f>
        <v>11.602499999999999</v>
      </c>
      <c r="Q756" s="217"/>
      <c r="R756" s="217"/>
      <c r="S756" s="218"/>
    </row>
    <row r="757" spans="1:19" ht="15" customHeight="1">
      <c r="A757" s="413">
        <f t="shared" si="12"/>
        <v>757</v>
      </c>
      <c r="B757" s="26">
        <v>105</v>
      </c>
      <c r="C757" s="153" t="s">
        <v>850</v>
      </c>
      <c r="D757" s="211" t="s">
        <v>180</v>
      </c>
      <c r="E757" s="212" t="s">
        <v>621</v>
      </c>
      <c r="F757" s="213" t="s">
        <v>630</v>
      </c>
      <c r="G757" s="214" t="s">
        <v>1017</v>
      </c>
      <c r="H757" s="213" t="s">
        <v>174</v>
      </c>
      <c r="I757" s="215">
        <v>85.410000000000011</v>
      </c>
      <c r="J757" s="216"/>
      <c r="K757" s="216"/>
      <c r="L757" s="216">
        <f>81.5*2.25</f>
        <v>183.375</v>
      </c>
      <c r="M757" s="216"/>
      <c r="N757" s="216"/>
      <c r="O757" s="217"/>
      <c r="P757" s="217">
        <f>I757</f>
        <v>85.410000000000011</v>
      </c>
      <c r="Q757" s="217"/>
      <c r="R757" s="217"/>
      <c r="S757" s="218"/>
    </row>
    <row r="758" spans="1:19" ht="15" customHeight="1">
      <c r="A758" s="413">
        <f t="shared" si="12"/>
        <v>758</v>
      </c>
      <c r="B758" s="26">
        <v>105</v>
      </c>
      <c r="C758" s="153" t="s">
        <v>850</v>
      </c>
      <c r="D758" s="211" t="s">
        <v>180</v>
      </c>
      <c r="E758" s="212" t="s">
        <v>621</v>
      </c>
      <c r="F758" s="213" t="s">
        <v>833</v>
      </c>
      <c r="G758" s="214" t="s">
        <v>1018</v>
      </c>
      <c r="H758" s="213" t="s">
        <v>19</v>
      </c>
      <c r="I758" s="215">
        <v>13</v>
      </c>
      <c r="J758" s="216"/>
      <c r="K758" s="216"/>
      <c r="L758" s="216">
        <v>22</v>
      </c>
      <c r="M758" s="216"/>
      <c r="N758" s="216"/>
      <c r="O758" s="217"/>
      <c r="P758" s="217">
        <v>13</v>
      </c>
      <c r="Q758" s="217"/>
      <c r="R758" s="217"/>
      <c r="S758" s="218"/>
    </row>
    <row r="759" spans="1:19" ht="15" customHeight="1">
      <c r="A759" s="413">
        <f t="shared" si="12"/>
        <v>759</v>
      </c>
      <c r="B759" s="26">
        <v>105</v>
      </c>
      <c r="C759" s="153" t="s">
        <v>850</v>
      </c>
      <c r="D759" s="211" t="s">
        <v>180</v>
      </c>
      <c r="E759" s="212" t="s">
        <v>621</v>
      </c>
      <c r="F759" s="213" t="s">
        <v>1019</v>
      </c>
      <c r="G759" s="214" t="s">
        <v>1020</v>
      </c>
      <c r="H759" s="213"/>
      <c r="I759" s="215">
        <v>0</v>
      </c>
      <c r="J759" s="216"/>
      <c r="K759" s="216"/>
      <c r="L759" s="216"/>
      <c r="M759" s="216"/>
      <c r="N759" s="216"/>
      <c r="O759" s="217"/>
      <c r="P759" s="217"/>
      <c r="Q759" s="217"/>
      <c r="R759" s="217"/>
      <c r="S759" s="218" t="s">
        <v>1320</v>
      </c>
    </row>
    <row r="760" spans="1:19" ht="15" customHeight="1">
      <c r="A760" s="413">
        <f t="shared" si="12"/>
        <v>760</v>
      </c>
      <c r="B760" s="26">
        <v>105</v>
      </c>
      <c r="C760" s="153" t="s">
        <v>850</v>
      </c>
      <c r="D760" s="211" t="s">
        <v>180</v>
      </c>
      <c r="E760" s="212" t="s">
        <v>621</v>
      </c>
      <c r="F760" s="213" t="s">
        <v>837</v>
      </c>
      <c r="G760" s="214" t="s">
        <v>838</v>
      </c>
      <c r="H760" s="213" t="s">
        <v>19</v>
      </c>
      <c r="I760" s="215">
        <v>25</v>
      </c>
      <c r="J760" s="216"/>
      <c r="K760" s="216"/>
      <c r="L760" s="216">
        <f>2*(2.5+10)*1.8</f>
        <v>45</v>
      </c>
      <c r="M760" s="216"/>
      <c r="N760" s="216"/>
      <c r="O760" s="217"/>
      <c r="P760" s="217">
        <v>25</v>
      </c>
      <c r="Q760" s="217"/>
      <c r="R760" s="217"/>
      <c r="S760" s="218"/>
    </row>
    <row r="761" spans="1:19" ht="15" customHeight="1">
      <c r="A761" s="413">
        <f t="shared" si="12"/>
        <v>761</v>
      </c>
      <c r="B761" s="26">
        <v>105</v>
      </c>
      <c r="C761" s="153" t="s">
        <v>850</v>
      </c>
      <c r="D761" s="211" t="s">
        <v>180</v>
      </c>
      <c r="E761" s="212" t="s">
        <v>621</v>
      </c>
      <c r="F761" s="213" t="s">
        <v>940</v>
      </c>
      <c r="G761" s="214" t="s">
        <v>941</v>
      </c>
      <c r="H761" s="213" t="s">
        <v>19</v>
      </c>
      <c r="I761" s="215">
        <v>17</v>
      </c>
      <c r="J761" s="216"/>
      <c r="K761" s="216"/>
      <c r="L761" s="216">
        <f>2*(2.7+6.4)*2.3</f>
        <v>41.860000000000007</v>
      </c>
      <c r="M761" s="216"/>
      <c r="N761" s="216"/>
      <c r="O761" s="217"/>
      <c r="P761" s="217">
        <v>17</v>
      </c>
      <c r="Q761" s="217"/>
      <c r="R761" s="217"/>
      <c r="S761" s="218"/>
    </row>
    <row r="762" spans="1:19" ht="15" customHeight="1">
      <c r="A762" s="413">
        <f t="shared" si="12"/>
        <v>762</v>
      </c>
      <c r="B762" s="26">
        <v>105</v>
      </c>
      <c r="C762" s="153" t="s">
        <v>850</v>
      </c>
      <c r="D762" s="211" t="s">
        <v>180</v>
      </c>
      <c r="E762" s="212" t="s">
        <v>621</v>
      </c>
      <c r="F762" s="213" t="s">
        <v>597</v>
      </c>
      <c r="G762" s="214" t="s">
        <v>839</v>
      </c>
      <c r="H762" s="213" t="s">
        <v>44</v>
      </c>
      <c r="I762" s="215">
        <f>((5.15*2.6)+(2.8*4.4))*1.3</f>
        <v>33.423000000000002</v>
      </c>
      <c r="J762" s="216"/>
      <c r="K762" s="216"/>
      <c r="L762" s="216"/>
      <c r="M762" s="216"/>
      <c r="N762" s="216">
        <f>(5.15+1.8+2.8+4.4+2.8+5.15+2.6)*2.25</f>
        <v>55.575000000000003</v>
      </c>
      <c r="O762" s="217"/>
      <c r="P762" s="217"/>
      <c r="Q762" s="217">
        <f>I762</f>
        <v>33.423000000000002</v>
      </c>
      <c r="R762" s="217"/>
      <c r="S762" s="218"/>
    </row>
    <row r="763" spans="1:19" ht="15" customHeight="1">
      <c r="A763" s="413">
        <f t="shared" si="12"/>
        <v>763</v>
      </c>
      <c r="B763" s="26">
        <v>105</v>
      </c>
      <c r="C763" s="153" t="s">
        <v>850</v>
      </c>
      <c r="D763" s="211" t="s">
        <v>180</v>
      </c>
      <c r="E763" s="212" t="s">
        <v>621</v>
      </c>
      <c r="F763" s="213" t="s">
        <v>647</v>
      </c>
      <c r="G763" s="214" t="s">
        <v>840</v>
      </c>
      <c r="H763" s="213" t="s">
        <v>1158</v>
      </c>
      <c r="I763" s="215">
        <v>27</v>
      </c>
      <c r="J763" s="216"/>
      <c r="K763" s="216"/>
      <c r="L763" s="216">
        <v>43</v>
      </c>
      <c r="M763" s="216"/>
      <c r="N763" s="216"/>
      <c r="O763" s="217"/>
      <c r="P763" s="217"/>
      <c r="Q763" s="217">
        <v>27</v>
      </c>
      <c r="R763" s="217"/>
      <c r="S763" s="218"/>
    </row>
    <row r="764" spans="1:19" ht="15" customHeight="1">
      <c r="A764" s="413">
        <f t="shared" si="12"/>
        <v>764</v>
      </c>
      <c r="B764" s="26">
        <v>105</v>
      </c>
      <c r="C764" s="153" t="s">
        <v>850</v>
      </c>
      <c r="D764" s="211" t="s">
        <v>180</v>
      </c>
      <c r="E764" s="212" t="s">
        <v>621</v>
      </c>
      <c r="F764" s="213" t="s">
        <v>597</v>
      </c>
      <c r="G764" s="214" t="s">
        <v>680</v>
      </c>
      <c r="H764" s="213" t="s">
        <v>44</v>
      </c>
      <c r="I764" s="215">
        <f>(4.7*3)*1.3</f>
        <v>18.330000000000002</v>
      </c>
      <c r="J764" s="216"/>
      <c r="K764" s="216"/>
      <c r="L764" s="216"/>
      <c r="M764" s="216"/>
      <c r="N764" s="216">
        <f>(4.7+3+4.7+3)*2.55</f>
        <v>39.269999999999996</v>
      </c>
      <c r="O764" s="217"/>
      <c r="P764" s="217"/>
      <c r="Q764" s="217">
        <f>I764</f>
        <v>18.330000000000002</v>
      </c>
      <c r="R764" s="217"/>
      <c r="S764" s="218"/>
    </row>
    <row r="765" spans="1:19" ht="15" customHeight="1">
      <c r="A765" s="413">
        <f t="shared" si="12"/>
        <v>765</v>
      </c>
      <c r="B765" s="26">
        <v>105</v>
      </c>
      <c r="C765" s="153" t="s">
        <v>850</v>
      </c>
      <c r="D765" s="211" t="s">
        <v>180</v>
      </c>
      <c r="E765" s="212" t="s">
        <v>621</v>
      </c>
      <c r="F765" s="213" t="s">
        <v>647</v>
      </c>
      <c r="G765" s="214" t="s">
        <v>681</v>
      </c>
      <c r="H765" s="213" t="s">
        <v>19</v>
      </c>
      <c r="I765" s="215">
        <v>40</v>
      </c>
      <c r="J765" s="216"/>
      <c r="K765" s="216"/>
      <c r="L765" s="216">
        <v>47</v>
      </c>
      <c r="M765" s="216"/>
      <c r="N765" s="216"/>
      <c r="O765" s="217"/>
      <c r="P765" s="217"/>
      <c r="Q765" s="217">
        <v>40</v>
      </c>
      <c r="R765" s="217"/>
      <c r="S765" s="218"/>
    </row>
    <row r="766" spans="1:19" ht="15" customHeight="1">
      <c r="A766" s="413">
        <f t="shared" si="12"/>
        <v>766</v>
      </c>
      <c r="B766" s="26">
        <v>105</v>
      </c>
      <c r="C766" s="153" t="s">
        <v>850</v>
      </c>
      <c r="D766" s="211" t="s">
        <v>180</v>
      </c>
      <c r="E766" s="212" t="s">
        <v>621</v>
      </c>
      <c r="F766" s="213" t="s">
        <v>168</v>
      </c>
      <c r="G766" s="214" t="s">
        <v>843</v>
      </c>
      <c r="H766" s="213"/>
      <c r="I766" s="215">
        <v>0</v>
      </c>
      <c r="J766" s="216"/>
      <c r="K766" s="216"/>
      <c r="L766" s="216"/>
      <c r="M766" s="216"/>
      <c r="N766" s="216"/>
      <c r="O766" s="217"/>
      <c r="P766" s="217"/>
      <c r="Q766" s="217"/>
      <c r="R766" s="217"/>
      <c r="S766" s="218" t="s">
        <v>1320</v>
      </c>
    </row>
    <row r="767" spans="1:19" ht="15" customHeight="1">
      <c r="A767" s="413">
        <f t="shared" si="12"/>
        <v>767</v>
      </c>
      <c r="B767" s="26">
        <v>105</v>
      </c>
      <c r="C767" s="153" t="s">
        <v>850</v>
      </c>
      <c r="D767" s="211" t="s">
        <v>180</v>
      </c>
      <c r="E767" s="212" t="s">
        <v>621</v>
      </c>
      <c r="F767" s="213" t="s">
        <v>168</v>
      </c>
      <c r="G767" s="214" t="s">
        <v>1021</v>
      </c>
      <c r="H767" s="213"/>
      <c r="I767" s="215">
        <v>0</v>
      </c>
      <c r="J767" s="216"/>
      <c r="K767" s="216"/>
      <c r="L767" s="216"/>
      <c r="M767" s="216"/>
      <c r="N767" s="216"/>
      <c r="O767" s="217"/>
      <c r="P767" s="217"/>
      <c r="Q767" s="217"/>
      <c r="R767" s="217"/>
      <c r="S767" s="218" t="s">
        <v>1320</v>
      </c>
    </row>
    <row r="768" spans="1:19" ht="15" customHeight="1">
      <c r="A768" s="413">
        <f t="shared" si="12"/>
        <v>768</v>
      </c>
      <c r="B768" s="26">
        <v>106</v>
      </c>
      <c r="C768" s="153" t="s">
        <v>1034</v>
      </c>
      <c r="D768" s="211" t="s">
        <v>22</v>
      </c>
      <c r="E768" s="212"/>
      <c r="F768" s="213" t="s">
        <v>291</v>
      </c>
      <c r="G768" s="214" t="s">
        <v>16</v>
      </c>
      <c r="H768" s="213" t="s">
        <v>109</v>
      </c>
      <c r="I768" s="215">
        <v>39</v>
      </c>
      <c r="J768" s="216"/>
      <c r="K768" s="216"/>
      <c r="L768" s="216"/>
      <c r="M768" s="216"/>
      <c r="N768" s="216">
        <v>140</v>
      </c>
      <c r="O768" s="217"/>
      <c r="P768" s="217"/>
      <c r="Q768" s="217">
        <v>20</v>
      </c>
      <c r="R768" s="217">
        <v>3</v>
      </c>
      <c r="S768" s="218"/>
    </row>
    <row r="769" spans="1:19" ht="15" customHeight="1">
      <c r="A769" s="413">
        <f t="shared" si="12"/>
        <v>769</v>
      </c>
      <c r="B769" s="26">
        <v>106</v>
      </c>
      <c r="C769" s="153" t="s">
        <v>1034</v>
      </c>
      <c r="D769" s="211" t="s">
        <v>22</v>
      </c>
      <c r="E769" s="212"/>
      <c r="F769" s="213" t="s">
        <v>292</v>
      </c>
      <c r="G769" s="214" t="s">
        <v>1693</v>
      </c>
      <c r="H769" s="213" t="s">
        <v>176</v>
      </c>
      <c r="I769" s="215">
        <v>15</v>
      </c>
      <c r="J769" s="216"/>
      <c r="K769" s="216"/>
      <c r="L769" s="216"/>
      <c r="M769" s="216"/>
      <c r="N769" s="216">
        <v>43</v>
      </c>
      <c r="O769" s="217"/>
      <c r="P769" s="217"/>
      <c r="Q769" s="217">
        <v>15</v>
      </c>
      <c r="R769" s="217"/>
      <c r="S769" s="218"/>
    </row>
    <row r="770" spans="1:19" ht="15" customHeight="1">
      <c r="A770" s="413">
        <f t="shared" si="12"/>
        <v>770</v>
      </c>
      <c r="B770" s="26">
        <v>106</v>
      </c>
      <c r="C770" s="153" t="s">
        <v>1034</v>
      </c>
      <c r="D770" s="211" t="s">
        <v>22</v>
      </c>
      <c r="E770" s="212"/>
      <c r="F770" s="213" t="s">
        <v>1035</v>
      </c>
      <c r="G770" s="214" t="s">
        <v>1694</v>
      </c>
      <c r="H770" s="213" t="s">
        <v>1035</v>
      </c>
      <c r="I770" s="215">
        <v>22</v>
      </c>
      <c r="J770" s="216"/>
      <c r="K770" s="216"/>
      <c r="L770" s="216"/>
      <c r="M770" s="216"/>
      <c r="N770" s="216">
        <v>58</v>
      </c>
      <c r="O770" s="217"/>
      <c r="P770" s="217"/>
      <c r="Q770" s="217">
        <v>22</v>
      </c>
      <c r="R770" s="217"/>
      <c r="S770" s="218"/>
    </row>
    <row r="771" spans="1:19" ht="15" customHeight="1">
      <c r="A771" s="413">
        <f t="shared" ref="A771:A834" si="13">1+A770</f>
        <v>771</v>
      </c>
      <c r="B771" s="26">
        <v>106</v>
      </c>
      <c r="C771" s="153" t="s">
        <v>1034</v>
      </c>
      <c r="D771" s="211" t="s">
        <v>22</v>
      </c>
      <c r="E771" s="212"/>
      <c r="F771" s="213" t="s">
        <v>1036</v>
      </c>
      <c r="G771" s="214" t="s">
        <v>14</v>
      </c>
      <c r="H771" s="213" t="s">
        <v>1036</v>
      </c>
      <c r="I771" s="215">
        <v>4</v>
      </c>
      <c r="J771" s="216"/>
      <c r="K771" s="216"/>
      <c r="L771" s="216"/>
      <c r="M771" s="216"/>
      <c r="N771" s="216">
        <v>24</v>
      </c>
      <c r="O771" s="217"/>
      <c r="P771" s="217"/>
      <c r="Q771" s="217">
        <v>4</v>
      </c>
      <c r="R771" s="217"/>
      <c r="S771" s="218"/>
    </row>
    <row r="772" spans="1:19" ht="15" customHeight="1">
      <c r="A772" s="413">
        <f t="shared" si="13"/>
        <v>772</v>
      </c>
      <c r="B772" s="26">
        <v>106</v>
      </c>
      <c r="C772" s="153" t="s">
        <v>1034</v>
      </c>
      <c r="D772" s="211" t="s">
        <v>22</v>
      </c>
      <c r="E772" s="212"/>
      <c r="F772" s="213" t="s">
        <v>1037</v>
      </c>
      <c r="G772" s="214" t="s">
        <v>1695</v>
      </c>
      <c r="H772" s="213" t="s">
        <v>1037</v>
      </c>
      <c r="I772" s="215">
        <v>16</v>
      </c>
      <c r="J772" s="216"/>
      <c r="K772" s="216"/>
      <c r="L772" s="216"/>
      <c r="M772" s="216"/>
      <c r="N772" s="216">
        <v>70</v>
      </c>
      <c r="O772" s="217"/>
      <c r="P772" s="217">
        <v>15</v>
      </c>
      <c r="Q772" s="217"/>
      <c r="R772" s="217"/>
      <c r="S772" s="218"/>
    </row>
    <row r="773" spans="1:19" ht="15" customHeight="1">
      <c r="A773" s="413">
        <f t="shared" si="13"/>
        <v>773</v>
      </c>
      <c r="B773" s="26">
        <v>107</v>
      </c>
      <c r="C773" s="153" t="s">
        <v>288</v>
      </c>
      <c r="D773" s="211" t="s">
        <v>22</v>
      </c>
      <c r="E773" s="212"/>
      <c r="F773" s="213" t="s">
        <v>279</v>
      </c>
      <c r="G773" s="214" t="s">
        <v>1696</v>
      </c>
      <c r="H773" s="213" t="s">
        <v>160</v>
      </c>
      <c r="I773" s="215">
        <v>1200.48</v>
      </c>
      <c r="J773" s="216"/>
      <c r="K773" s="216"/>
      <c r="L773" s="216"/>
      <c r="M773" s="216"/>
      <c r="N773" s="216"/>
      <c r="O773" s="509">
        <f>(34.84*10.13)+600</f>
        <v>952.92920000000004</v>
      </c>
      <c r="P773" s="217"/>
      <c r="Q773" s="217"/>
      <c r="R773" s="217"/>
      <c r="S773" s="218"/>
    </row>
    <row r="774" spans="1:19" ht="15" customHeight="1">
      <c r="A774" s="413">
        <f t="shared" si="13"/>
        <v>774</v>
      </c>
      <c r="B774" s="26">
        <v>107</v>
      </c>
      <c r="C774" s="153" t="s">
        <v>288</v>
      </c>
      <c r="D774" s="211" t="s">
        <v>22</v>
      </c>
      <c r="E774" s="212"/>
      <c r="F774" s="213" t="s">
        <v>280</v>
      </c>
      <c r="G774" s="214" t="s">
        <v>1697</v>
      </c>
      <c r="H774" s="213" t="s">
        <v>160</v>
      </c>
      <c r="I774" s="215">
        <v>1345.42</v>
      </c>
      <c r="J774" s="216"/>
      <c r="K774" s="216"/>
      <c r="L774" s="216"/>
      <c r="M774" s="216"/>
      <c r="N774" s="216"/>
      <c r="O774" s="509">
        <f>(34.84*10.13)+600</f>
        <v>952.92920000000004</v>
      </c>
      <c r="P774" s="217"/>
      <c r="Q774" s="217"/>
      <c r="R774" s="217"/>
      <c r="S774" s="218"/>
    </row>
    <row r="775" spans="1:19" ht="15" customHeight="1">
      <c r="A775" s="413">
        <f t="shared" si="13"/>
        <v>775</v>
      </c>
      <c r="B775" s="26">
        <v>107</v>
      </c>
      <c r="C775" s="153" t="s">
        <v>288</v>
      </c>
      <c r="D775" s="211" t="s">
        <v>22</v>
      </c>
      <c r="E775" s="212"/>
      <c r="F775" s="213" t="s">
        <v>259</v>
      </c>
      <c r="G775" s="214" t="s">
        <v>1698</v>
      </c>
      <c r="H775" s="213" t="s">
        <v>1312</v>
      </c>
      <c r="I775" s="215">
        <v>27.6</v>
      </c>
      <c r="J775" s="216"/>
      <c r="K775" s="216"/>
      <c r="L775" s="216"/>
      <c r="M775" s="216"/>
      <c r="N775" s="216"/>
      <c r="O775" s="217"/>
      <c r="P775" s="217"/>
      <c r="Q775" s="217"/>
      <c r="R775" s="217"/>
      <c r="S775" s="218"/>
    </row>
    <row r="776" spans="1:19" ht="15" customHeight="1">
      <c r="A776" s="413">
        <f t="shared" si="13"/>
        <v>776</v>
      </c>
      <c r="B776" s="26">
        <v>107</v>
      </c>
      <c r="C776" s="153" t="s">
        <v>288</v>
      </c>
      <c r="D776" s="211" t="s">
        <v>22</v>
      </c>
      <c r="E776" s="212"/>
      <c r="F776" s="213" t="s">
        <v>260</v>
      </c>
      <c r="G776" s="214" t="s">
        <v>1698</v>
      </c>
      <c r="H776" s="213" t="s">
        <v>1312</v>
      </c>
      <c r="I776" s="215">
        <v>27.68</v>
      </c>
      <c r="J776" s="216"/>
      <c r="K776" s="216"/>
      <c r="L776" s="216"/>
      <c r="M776" s="216"/>
      <c r="N776" s="216"/>
      <c r="O776" s="217"/>
      <c r="P776" s="217"/>
      <c r="Q776" s="217"/>
      <c r="R776" s="217"/>
      <c r="S776" s="218"/>
    </row>
    <row r="777" spans="1:19" ht="15" customHeight="1">
      <c r="A777" s="413">
        <f t="shared" si="13"/>
        <v>777</v>
      </c>
      <c r="B777" s="26">
        <v>107</v>
      </c>
      <c r="C777" s="153" t="s">
        <v>288</v>
      </c>
      <c r="D777" s="211" t="s">
        <v>22</v>
      </c>
      <c r="E777" s="212"/>
      <c r="F777" s="213" t="s">
        <v>64</v>
      </c>
      <c r="G777" s="214" t="s">
        <v>1699</v>
      </c>
      <c r="H777" s="213" t="s">
        <v>68</v>
      </c>
      <c r="I777" s="215">
        <v>61.9</v>
      </c>
      <c r="J777" s="216" t="s">
        <v>1055</v>
      </c>
      <c r="K777" s="216"/>
      <c r="L777" s="216"/>
      <c r="M777" s="216"/>
      <c r="N777" s="216"/>
      <c r="O777" s="217"/>
      <c r="P777" s="217"/>
      <c r="Q777" s="217"/>
      <c r="R777" s="217"/>
      <c r="S777" s="218"/>
    </row>
    <row r="778" spans="1:19" ht="15" customHeight="1">
      <c r="A778" s="413">
        <f t="shared" si="13"/>
        <v>778</v>
      </c>
      <c r="B778" s="26">
        <v>107</v>
      </c>
      <c r="C778" s="153" t="s">
        <v>288</v>
      </c>
      <c r="D778" s="211" t="s">
        <v>22</v>
      </c>
      <c r="E778" s="212"/>
      <c r="F778" s="213" t="s">
        <v>64</v>
      </c>
      <c r="G778" s="214" t="s">
        <v>1700</v>
      </c>
      <c r="H778" s="213" t="s">
        <v>68</v>
      </c>
      <c r="I778" s="215">
        <v>61.9</v>
      </c>
      <c r="J778" s="216" t="s">
        <v>1055</v>
      </c>
      <c r="K778" s="216"/>
      <c r="L778" s="216"/>
      <c r="M778" s="216"/>
      <c r="N778" s="216"/>
      <c r="O778" s="217"/>
      <c r="P778" s="217"/>
      <c r="Q778" s="217"/>
      <c r="R778" s="217"/>
      <c r="S778" s="218"/>
    </row>
    <row r="779" spans="1:19" ht="15" customHeight="1">
      <c r="A779" s="413">
        <f t="shared" si="13"/>
        <v>779</v>
      </c>
      <c r="B779" s="26">
        <v>107</v>
      </c>
      <c r="C779" s="153" t="s">
        <v>288</v>
      </c>
      <c r="D779" s="211" t="s">
        <v>22</v>
      </c>
      <c r="E779" s="212"/>
      <c r="F779" s="213" t="s">
        <v>123</v>
      </c>
      <c r="G779" s="214" t="s">
        <v>1701</v>
      </c>
      <c r="H779" s="213" t="s">
        <v>68</v>
      </c>
      <c r="I779" s="215">
        <v>5.51</v>
      </c>
      <c r="J779" s="216"/>
      <c r="K779" s="216"/>
      <c r="L779" s="216"/>
      <c r="M779" s="216"/>
      <c r="N779" s="216"/>
      <c r="O779" s="217"/>
      <c r="P779" s="217"/>
      <c r="Q779" s="217"/>
      <c r="R779" s="217"/>
      <c r="S779" s="218" t="s">
        <v>285</v>
      </c>
    </row>
    <row r="780" spans="1:19" ht="15" customHeight="1">
      <c r="A780" s="413">
        <f t="shared" si="13"/>
        <v>780</v>
      </c>
      <c r="B780" s="26">
        <v>107</v>
      </c>
      <c r="C780" s="153" t="s">
        <v>288</v>
      </c>
      <c r="D780" s="211" t="s">
        <v>22</v>
      </c>
      <c r="E780" s="212"/>
      <c r="F780" s="213" t="s">
        <v>123</v>
      </c>
      <c r="G780" s="214" t="s">
        <v>1702</v>
      </c>
      <c r="H780" s="213" t="s">
        <v>68</v>
      </c>
      <c r="I780" s="215">
        <v>5.51</v>
      </c>
      <c r="J780" s="216"/>
      <c r="K780" s="216"/>
      <c r="L780" s="216"/>
      <c r="M780" s="216"/>
      <c r="N780" s="216"/>
      <c r="O780" s="217"/>
      <c r="P780" s="217"/>
      <c r="Q780" s="217"/>
      <c r="R780" s="217"/>
      <c r="S780" s="218" t="s">
        <v>285</v>
      </c>
    </row>
    <row r="781" spans="1:19" ht="15" customHeight="1">
      <c r="A781" s="413">
        <f t="shared" si="13"/>
        <v>781</v>
      </c>
      <c r="B781" s="26">
        <v>107</v>
      </c>
      <c r="C781" s="153" t="s">
        <v>288</v>
      </c>
      <c r="D781" s="211" t="s">
        <v>22</v>
      </c>
      <c r="E781" s="212"/>
      <c r="F781" s="213" t="s">
        <v>143</v>
      </c>
      <c r="G781" s="214" t="s">
        <v>1703</v>
      </c>
      <c r="H781" s="213" t="s">
        <v>109</v>
      </c>
      <c r="I781" s="215">
        <v>367.11864406779659</v>
      </c>
      <c r="J781" s="216"/>
      <c r="K781" s="216"/>
      <c r="L781" s="216"/>
      <c r="M781" s="216"/>
      <c r="N781" s="216">
        <v>721</v>
      </c>
      <c r="O781" s="217"/>
      <c r="P781" s="217"/>
      <c r="Q781" s="217">
        <v>198.8</v>
      </c>
      <c r="R781" s="217"/>
      <c r="S781" s="218" t="s">
        <v>286</v>
      </c>
    </row>
    <row r="782" spans="1:19" ht="15" customHeight="1">
      <c r="A782" s="413">
        <f t="shared" si="13"/>
        <v>782</v>
      </c>
      <c r="B782" s="26">
        <v>107</v>
      </c>
      <c r="C782" s="153" t="s">
        <v>288</v>
      </c>
      <c r="D782" s="211" t="s">
        <v>22</v>
      </c>
      <c r="E782" s="212"/>
      <c r="F782" s="213" t="s">
        <v>111</v>
      </c>
      <c r="G782" s="214" t="s">
        <v>1704</v>
      </c>
      <c r="H782" s="213" t="s">
        <v>109</v>
      </c>
      <c r="I782" s="215">
        <v>13</v>
      </c>
      <c r="J782" s="216"/>
      <c r="K782" s="216"/>
      <c r="L782" s="216"/>
      <c r="M782" s="216"/>
      <c r="N782" s="216">
        <v>49.9</v>
      </c>
      <c r="O782" s="217"/>
      <c r="P782" s="217"/>
      <c r="Q782" s="217">
        <f>I782</f>
        <v>13</v>
      </c>
      <c r="R782" s="217"/>
      <c r="S782" s="218"/>
    </row>
    <row r="783" spans="1:19" ht="15" customHeight="1">
      <c r="A783" s="413">
        <f t="shared" si="13"/>
        <v>783</v>
      </c>
      <c r="B783" s="26">
        <v>107</v>
      </c>
      <c r="C783" s="153" t="s">
        <v>288</v>
      </c>
      <c r="D783" s="211" t="s">
        <v>22</v>
      </c>
      <c r="E783" s="212"/>
      <c r="F783" s="213" t="s">
        <v>111</v>
      </c>
      <c r="G783" s="214" t="s">
        <v>1705</v>
      </c>
      <c r="H783" s="213" t="s">
        <v>160</v>
      </c>
      <c r="I783" s="215">
        <v>13.1</v>
      </c>
      <c r="J783" s="216"/>
      <c r="K783" s="216"/>
      <c r="L783" s="216">
        <v>54.800000000000004</v>
      </c>
      <c r="M783" s="216"/>
      <c r="N783" s="216">
        <v>54</v>
      </c>
      <c r="O783" s="217"/>
      <c r="P783" s="217">
        <f>I783</f>
        <v>13.1</v>
      </c>
      <c r="Q783" s="217"/>
      <c r="R783" s="217"/>
      <c r="S783" s="218"/>
    </row>
    <row r="784" spans="1:19" ht="15" customHeight="1">
      <c r="A784" s="413">
        <f t="shared" si="13"/>
        <v>784</v>
      </c>
      <c r="B784" s="26">
        <v>107</v>
      </c>
      <c r="C784" s="153" t="s">
        <v>288</v>
      </c>
      <c r="D784" s="211" t="s">
        <v>22</v>
      </c>
      <c r="E784" s="212"/>
      <c r="F784" s="213" t="s">
        <v>145</v>
      </c>
      <c r="G784" s="214" t="s">
        <v>1706</v>
      </c>
      <c r="H784" s="213" t="s">
        <v>109</v>
      </c>
      <c r="I784" s="215">
        <v>3.7</v>
      </c>
      <c r="J784" s="216"/>
      <c r="K784" s="216"/>
      <c r="L784" s="216">
        <v>8</v>
      </c>
      <c r="M784" s="216"/>
      <c r="N784" s="216"/>
      <c r="O784" s="217"/>
      <c r="P784" s="217">
        <f>I784</f>
        <v>3.7</v>
      </c>
      <c r="Q784" s="217"/>
      <c r="R784" s="217"/>
      <c r="S784" s="218"/>
    </row>
    <row r="785" spans="1:19" ht="15" customHeight="1">
      <c r="A785" s="413">
        <f t="shared" si="13"/>
        <v>785</v>
      </c>
      <c r="B785" s="26">
        <v>107</v>
      </c>
      <c r="C785" s="153" t="s">
        <v>288</v>
      </c>
      <c r="D785" s="211" t="s">
        <v>22</v>
      </c>
      <c r="E785" s="212"/>
      <c r="F785" s="213" t="s">
        <v>31</v>
      </c>
      <c r="G785" s="214" t="s">
        <v>1707</v>
      </c>
      <c r="H785" s="213" t="s">
        <v>176</v>
      </c>
      <c r="I785" s="215">
        <v>11.8</v>
      </c>
      <c r="J785" s="216"/>
      <c r="K785" s="216"/>
      <c r="L785" s="216">
        <v>51</v>
      </c>
      <c r="M785" s="216"/>
      <c r="N785" s="216"/>
      <c r="O785" s="217"/>
      <c r="P785" s="217"/>
      <c r="Q785" s="217">
        <f>I785</f>
        <v>11.8</v>
      </c>
      <c r="R785" s="217"/>
      <c r="S785" s="218"/>
    </row>
    <row r="786" spans="1:19" ht="15" customHeight="1">
      <c r="A786" s="413">
        <f t="shared" si="13"/>
        <v>786</v>
      </c>
      <c r="B786" s="26">
        <v>107</v>
      </c>
      <c r="C786" s="153" t="s">
        <v>288</v>
      </c>
      <c r="D786" s="211" t="s">
        <v>22</v>
      </c>
      <c r="E786" s="212"/>
      <c r="F786" s="213" t="s">
        <v>36</v>
      </c>
      <c r="G786" s="214" t="s">
        <v>1708</v>
      </c>
      <c r="H786" s="213" t="s">
        <v>160</v>
      </c>
      <c r="I786" s="215">
        <v>17.5</v>
      </c>
      <c r="J786" s="216"/>
      <c r="K786" s="216"/>
      <c r="L786" s="216">
        <v>62.2</v>
      </c>
      <c r="M786" s="216"/>
      <c r="N786" s="216"/>
      <c r="O786" s="217"/>
      <c r="P786" s="217">
        <f>I786</f>
        <v>17.5</v>
      </c>
      <c r="Q786" s="217"/>
      <c r="R786" s="217"/>
      <c r="S786" s="218"/>
    </row>
    <row r="787" spans="1:19" ht="15" customHeight="1">
      <c r="A787" s="413">
        <f t="shared" si="13"/>
        <v>787</v>
      </c>
      <c r="B787" s="26">
        <v>107</v>
      </c>
      <c r="C787" s="153" t="s">
        <v>288</v>
      </c>
      <c r="D787" s="211" t="s">
        <v>22</v>
      </c>
      <c r="E787" s="212"/>
      <c r="F787" s="213" t="s">
        <v>37</v>
      </c>
      <c r="G787" s="214" t="s">
        <v>1709</v>
      </c>
      <c r="H787" s="213" t="s">
        <v>160</v>
      </c>
      <c r="I787" s="215">
        <v>14</v>
      </c>
      <c r="J787" s="216"/>
      <c r="K787" s="216"/>
      <c r="L787" s="216">
        <v>58.3</v>
      </c>
      <c r="M787" s="216"/>
      <c r="N787" s="216"/>
      <c r="O787" s="217"/>
      <c r="P787" s="217">
        <f>I787</f>
        <v>14</v>
      </c>
      <c r="Q787" s="217"/>
      <c r="R787" s="217"/>
      <c r="S787" s="218"/>
    </row>
    <row r="788" spans="1:19" ht="15" customHeight="1">
      <c r="A788" s="413">
        <f t="shared" si="13"/>
        <v>788</v>
      </c>
      <c r="B788" s="26">
        <v>107</v>
      </c>
      <c r="C788" s="153" t="s">
        <v>288</v>
      </c>
      <c r="D788" s="211" t="s">
        <v>22</v>
      </c>
      <c r="E788" s="212"/>
      <c r="F788" s="213" t="s">
        <v>281</v>
      </c>
      <c r="G788" s="214" t="s">
        <v>1710</v>
      </c>
      <c r="H788" s="213" t="s">
        <v>160</v>
      </c>
      <c r="I788" s="215">
        <v>19.899999999999999</v>
      </c>
      <c r="J788" s="216"/>
      <c r="K788" s="216"/>
      <c r="L788" s="216"/>
      <c r="M788" s="216"/>
      <c r="N788" s="216">
        <v>27.6</v>
      </c>
      <c r="O788" s="217"/>
      <c r="P788" s="217"/>
      <c r="Q788" s="217">
        <f>I788</f>
        <v>19.899999999999999</v>
      </c>
      <c r="R788" s="217"/>
      <c r="S788" s="218"/>
    </row>
    <row r="789" spans="1:19" ht="15" customHeight="1">
      <c r="A789" s="413">
        <f t="shared" si="13"/>
        <v>789</v>
      </c>
      <c r="B789" s="26">
        <v>107</v>
      </c>
      <c r="C789" s="153" t="s">
        <v>288</v>
      </c>
      <c r="D789" s="211" t="s">
        <v>22</v>
      </c>
      <c r="E789" s="212"/>
      <c r="F789" s="213" t="s">
        <v>125</v>
      </c>
      <c r="G789" s="214" t="s">
        <v>1711</v>
      </c>
      <c r="H789" s="213" t="s">
        <v>1053</v>
      </c>
      <c r="I789" s="215">
        <v>2.8</v>
      </c>
      <c r="J789" s="216"/>
      <c r="K789" s="216"/>
      <c r="L789" s="216"/>
      <c r="M789" s="216">
        <v>11.5</v>
      </c>
      <c r="N789" s="216">
        <v>3.5</v>
      </c>
      <c r="O789" s="217"/>
      <c r="P789" s="217"/>
      <c r="Q789" s="217"/>
      <c r="R789" s="217">
        <f>I789</f>
        <v>2.8</v>
      </c>
      <c r="S789" s="218" t="s">
        <v>1054</v>
      </c>
    </row>
    <row r="790" spans="1:19" ht="15" customHeight="1">
      <c r="A790" s="413">
        <f t="shared" si="13"/>
        <v>790</v>
      </c>
      <c r="B790" s="26">
        <v>107</v>
      </c>
      <c r="C790" s="153" t="s">
        <v>288</v>
      </c>
      <c r="D790" s="211" t="s">
        <v>22</v>
      </c>
      <c r="E790" s="212"/>
      <c r="F790" s="213" t="s">
        <v>125</v>
      </c>
      <c r="G790" s="214" t="s">
        <v>1712</v>
      </c>
      <c r="H790" s="213" t="s">
        <v>1053</v>
      </c>
      <c r="I790" s="215">
        <v>2.8</v>
      </c>
      <c r="J790" s="216"/>
      <c r="K790" s="216"/>
      <c r="L790" s="216"/>
      <c r="M790" s="216">
        <v>11.5</v>
      </c>
      <c r="N790" s="216">
        <v>3.5</v>
      </c>
      <c r="O790" s="217"/>
      <c r="P790" s="217"/>
      <c r="Q790" s="217"/>
      <c r="R790" s="217">
        <f>I790</f>
        <v>2.8</v>
      </c>
      <c r="S790" s="218" t="s">
        <v>1054</v>
      </c>
    </row>
    <row r="791" spans="1:19" ht="15" customHeight="1">
      <c r="A791" s="413">
        <f t="shared" si="13"/>
        <v>791</v>
      </c>
      <c r="B791" s="26">
        <v>107</v>
      </c>
      <c r="C791" s="153" t="s">
        <v>288</v>
      </c>
      <c r="D791" s="211" t="s">
        <v>22</v>
      </c>
      <c r="E791" s="212"/>
      <c r="F791" s="213" t="s">
        <v>282</v>
      </c>
      <c r="G791" s="214" t="s">
        <v>1713</v>
      </c>
      <c r="H791" s="213" t="s">
        <v>176</v>
      </c>
      <c r="I791" s="215">
        <v>14.9</v>
      </c>
      <c r="J791" s="216"/>
      <c r="K791" s="216"/>
      <c r="L791" s="216"/>
      <c r="M791" s="216"/>
      <c r="N791" s="216">
        <v>56.800000000000004</v>
      </c>
      <c r="O791" s="217"/>
      <c r="P791" s="217"/>
      <c r="Q791" s="217">
        <f>I791</f>
        <v>14.9</v>
      </c>
      <c r="R791" s="217"/>
      <c r="S791" s="218"/>
    </row>
    <row r="792" spans="1:19" ht="15" customHeight="1">
      <c r="A792" s="413">
        <f t="shared" si="13"/>
        <v>792</v>
      </c>
      <c r="B792" s="26">
        <v>107</v>
      </c>
      <c r="C792" s="153" t="s">
        <v>288</v>
      </c>
      <c r="D792" s="211" t="s">
        <v>22</v>
      </c>
      <c r="E792" s="212"/>
      <c r="F792" s="213" t="s">
        <v>283</v>
      </c>
      <c r="G792" s="214" t="s">
        <v>1714</v>
      </c>
      <c r="H792" s="213" t="s">
        <v>109</v>
      </c>
      <c r="I792" s="215">
        <v>3.7</v>
      </c>
      <c r="J792" s="216"/>
      <c r="K792" s="216"/>
      <c r="L792" s="216">
        <v>27.400000000000002</v>
      </c>
      <c r="M792" s="216"/>
      <c r="N792" s="216"/>
      <c r="O792" s="217"/>
      <c r="P792" s="217">
        <f>I792</f>
        <v>3.7</v>
      </c>
      <c r="Q792" s="217"/>
      <c r="R792" s="217"/>
      <c r="S792" s="218"/>
    </row>
    <row r="793" spans="1:19" ht="15" customHeight="1">
      <c r="A793" s="413">
        <f t="shared" si="13"/>
        <v>793</v>
      </c>
      <c r="B793" s="26">
        <v>107</v>
      </c>
      <c r="C793" s="153" t="s">
        <v>288</v>
      </c>
      <c r="D793" s="211" t="s">
        <v>22</v>
      </c>
      <c r="E793" s="212"/>
      <c r="F793" s="213" t="s">
        <v>128</v>
      </c>
      <c r="G793" s="214" t="s">
        <v>1715</v>
      </c>
      <c r="H793" s="213" t="s">
        <v>12</v>
      </c>
      <c r="I793" s="215">
        <v>9.8000000000000007</v>
      </c>
      <c r="J793" s="216"/>
      <c r="K793" s="216"/>
      <c r="L793" s="216">
        <v>11.2</v>
      </c>
      <c r="M793" s="216"/>
      <c r="N793" s="216">
        <v>23</v>
      </c>
      <c r="O793" s="217"/>
      <c r="P793" s="217">
        <f>I793</f>
        <v>9.8000000000000007</v>
      </c>
      <c r="Q793" s="217"/>
      <c r="R793" s="217"/>
      <c r="S793" s="218"/>
    </row>
    <row r="794" spans="1:19" ht="15" customHeight="1">
      <c r="A794" s="413">
        <f t="shared" si="13"/>
        <v>794</v>
      </c>
      <c r="B794" s="26">
        <v>107</v>
      </c>
      <c r="C794" s="153" t="s">
        <v>288</v>
      </c>
      <c r="D794" s="211" t="s">
        <v>22</v>
      </c>
      <c r="E794" s="212"/>
      <c r="F794" s="213" t="s">
        <v>192</v>
      </c>
      <c r="G794" s="214" t="s">
        <v>1716</v>
      </c>
      <c r="H794" s="213" t="s">
        <v>160</v>
      </c>
      <c r="I794" s="215">
        <v>10.9</v>
      </c>
      <c r="J794" s="216"/>
      <c r="K794" s="216"/>
      <c r="L794" s="216">
        <v>51.800000000000004</v>
      </c>
      <c r="M794" s="216"/>
      <c r="N794" s="216"/>
      <c r="O794" s="217"/>
      <c r="P794" s="217">
        <f>I794</f>
        <v>10.9</v>
      </c>
      <c r="Q794" s="217"/>
      <c r="R794" s="217"/>
      <c r="S794" s="218"/>
    </row>
    <row r="795" spans="1:19" ht="15" customHeight="1">
      <c r="A795" s="413">
        <f t="shared" si="13"/>
        <v>795</v>
      </c>
      <c r="B795" s="26">
        <v>107</v>
      </c>
      <c r="C795" s="153" t="s">
        <v>288</v>
      </c>
      <c r="D795" s="211" t="s">
        <v>22</v>
      </c>
      <c r="E795" s="212"/>
      <c r="F795" s="213" t="s">
        <v>262</v>
      </c>
      <c r="G795" s="214" t="s">
        <v>1717</v>
      </c>
      <c r="H795" s="213" t="s">
        <v>176</v>
      </c>
      <c r="I795" s="215">
        <v>15.7</v>
      </c>
      <c r="J795" s="216">
        <v>9.4</v>
      </c>
      <c r="K795" s="216"/>
      <c r="L795" s="216"/>
      <c r="M795" s="216"/>
      <c r="N795" s="216">
        <v>14.8</v>
      </c>
      <c r="O795" s="217"/>
      <c r="P795" s="217"/>
      <c r="Q795" s="217">
        <f>I795</f>
        <v>15.7</v>
      </c>
      <c r="R795" s="217"/>
      <c r="S795" s="218" t="s">
        <v>287</v>
      </c>
    </row>
    <row r="796" spans="1:19" ht="15" customHeight="1">
      <c r="A796" s="413">
        <f t="shared" si="13"/>
        <v>796</v>
      </c>
      <c r="B796" s="26">
        <v>107</v>
      </c>
      <c r="C796" s="153" t="s">
        <v>288</v>
      </c>
      <c r="D796" s="211" t="s">
        <v>22</v>
      </c>
      <c r="E796" s="212"/>
      <c r="F796" s="213" t="s">
        <v>284</v>
      </c>
      <c r="G796" s="214" t="s">
        <v>1718</v>
      </c>
      <c r="H796" s="213" t="s">
        <v>19</v>
      </c>
      <c r="I796" s="215">
        <v>2.2999999999999998</v>
      </c>
      <c r="J796" s="216"/>
      <c r="K796" s="216"/>
      <c r="L796" s="216">
        <v>15.499999999999998</v>
      </c>
      <c r="M796" s="216"/>
      <c r="N796" s="216"/>
      <c r="O796" s="217"/>
      <c r="P796" s="217">
        <f>I796</f>
        <v>2.2999999999999998</v>
      </c>
      <c r="Q796" s="217"/>
      <c r="R796" s="217"/>
      <c r="S796" s="218"/>
    </row>
    <row r="797" spans="1:19" ht="15" customHeight="1">
      <c r="A797" s="413">
        <f t="shared" si="13"/>
        <v>797</v>
      </c>
      <c r="B797" s="26">
        <v>107</v>
      </c>
      <c r="C797" s="153" t="s">
        <v>288</v>
      </c>
      <c r="D797" s="211" t="s">
        <v>22</v>
      </c>
      <c r="E797" s="212"/>
      <c r="F797" s="213" t="s">
        <v>284</v>
      </c>
      <c r="G797" s="214" t="s">
        <v>1719</v>
      </c>
      <c r="H797" s="213" t="s">
        <v>19</v>
      </c>
      <c r="I797" s="215">
        <v>2.2000000000000002</v>
      </c>
      <c r="J797" s="216"/>
      <c r="K797" s="216"/>
      <c r="L797" s="216">
        <v>14.299999999999999</v>
      </c>
      <c r="M797" s="216"/>
      <c r="N797" s="216"/>
      <c r="O797" s="217"/>
      <c r="P797" s="217">
        <f>I797</f>
        <v>2.2000000000000002</v>
      </c>
      <c r="Q797" s="217"/>
      <c r="R797" s="217"/>
      <c r="S797" s="218"/>
    </row>
    <row r="798" spans="1:19" ht="15" customHeight="1">
      <c r="A798" s="413">
        <f t="shared" si="13"/>
        <v>798</v>
      </c>
      <c r="B798" s="26">
        <v>108</v>
      </c>
      <c r="C798" s="153" t="s">
        <v>254</v>
      </c>
      <c r="D798" s="211" t="s">
        <v>22</v>
      </c>
      <c r="E798" s="212"/>
      <c r="F798" s="213" t="s">
        <v>255</v>
      </c>
      <c r="G798" s="214" t="s">
        <v>1720</v>
      </c>
      <c r="H798" s="213" t="s">
        <v>160</v>
      </c>
      <c r="I798" s="215">
        <v>1452.88</v>
      </c>
      <c r="J798" s="216"/>
      <c r="K798" s="216"/>
      <c r="L798" s="216"/>
      <c r="M798" s="216"/>
      <c r="N798" s="216"/>
      <c r="O798" s="217">
        <f>49.49*10.2</f>
        <v>504.798</v>
      </c>
      <c r="P798" s="217"/>
      <c r="Q798" s="217"/>
      <c r="R798" s="217"/>
      <c r="S798" s="218"/>
    </row>
    <row r="799" spans="1:19" ht="15" customHeight="1">
      <c r="A799" s="413">
        <f t="shared" si="13"/>
        <v>799</v>
      </c>
      <c r="B799" s="26">
        <v>108</v>
      </c>
      <c r="C799" s="153" t="s">
        <v>254</v>
      </c>
      <c r="D799" s="211" t="s">
        <v>22</v>
      </c>
      <c r="E799" s="212"/>
      <c r="F799" s="213" t="s">
        <v>256</v>
      </c>
      <c r="G799" s="214" t="s">
        <v>1721</v>
      </c>
      <c r="H799" s="213" t="s">
        <v>160</v>
      </c>
      <c r="I799" s="215">
        <v>1460.63</v>
      </c>
      <c r="J799" s="216"/>
      <c r="K799" s="216"/>
      <c r="L799" s="216"/>
      <c r="M799" s="216"/>
      <c r="N799" s="216"/>
      <c r="O799" s="217">
        <f>49.49*10.2</f>
        <v>504.798</v>
      </c>
      <c r="P799" s="217"/>
      <c r="Q799" s="217"/>
      <c r="R799" s="217"/>
      <c r="S799" s="218"/>
    </row>
    <row r="800" spans="1:19" ht="15" customHeight="1">
      <c r="A800" s="413">
        <f t="shared" si="13"/>
        <v>800</v>
      </c>
      <c r="B800" s="26">
        <v>108</v>
      </c>
      <c r="C800" s="153" t="s">
        <v>254</v>
      </c>
      <c r="D800" s="211" t="s">
        <v>22</v>
      </c>
      <c r="E800" s="212"/>
      <c r="F800" s="213" t="s">
        <v>257</v>
      </c>
      <c r="G800" s="214" t="s">
        <v>1722</v>
      </c>
      <c r="H800" s="213" t="s">
        <v>68</v>
      </c>
      <c r="I800" s="215">
        <v>45.6</v>
      </c>
      <c r="J800" s="216"/>
      <c r="K800" s="216"/>
      <c r="L800" s="216"/>
      <c r="M800" s="216"/>
      <c r="N800" s="216"/>
      <c r="O800" s="217"/>
      <c r="P800" s="217"/>
      <c r="Q800" s="217"/>
      <c r="R800" s="217"/>
      <c r="S800" s="218"/>
    </row>
    <row r="801" spans="1:19" ht="15" customHeight="1">
      <c r="A801" s="413">
        <f t="shared" si="13"/>
        <v>801</v>
      </c>
      <c r="B801" s="26">
        <v>108</v>
      </c>
      <c r="C801" s="153" t="s">
        <v>254</v>
      </c>
      <c r="D801" s="211" t="s">
        <v>22</v>
      </c>
      <c r="E801" s="212"/>
      <c r="F801" s="213" t="s">
        <v>258</v>
      </c>
      <c r="G801" s="214" t="s">
        <v>1723</v>
      </c>
      <c r="H801" s="213" t="s">
        <v>68</v>
      </c>
      <c r="I801" s="215">
        <v>45.6</v>
      </c>
      <c r="J801" s="216"/>
      <c r="K801" s="216"/>
      <c r="L801" s="216"/>
      <c r="M801" s="216"/>
      <c r="N801" s="216"/>
      <c r="O801" s="217"/>
      <c r="P801" s="217"/>
      <c r="Q801" s="217"/>
      <c r="R801" s="217"/>
      <c r="S801" s="218"/>
    </row>
    <row r="802" spans="1:19" ht="15" customHeight="1">
      <c r="A802" s="413">
        <f t="shared" si="13"/>
        <v>802</v>
      </c>
      <c r="B802" s="26">
        <v>108</v>
      </c>
      <c r="C802" s="153" t="s">
        <v>254</v>
      </c>
      <c r="D802" s="211" t="s">
        <v>22</v>
      </c>
      <c r="E802" s="212"/>
      <c r="F802" s="213" t="s">
        <v>259</v>
      </c>
      <c r="G802" s="214" t="s">
        <v>1724</v>
      </c>
      <c r="H802" s="213" t="s">
        <v>1312</v>
      </c>
      <c r="I802" s="215">
        <v>27.6</v>
      </c>
      <c r="J802" s="216"/>
      <c r="K802" s="216"/>
      <c r="L802" s="216"/>
      <c r="M802" s="216"/>
      <c r="N802" s="216"/>
      <c r="O802" s="217"/>
      <c r="P802" s="217"/>
      <c r="Q802" s="217"/>
      <c r="R802" s="217"/>
      <c r="S802" s="218"/>
    </row>
    <row r="803" spans="1:19" ht="15" customHeight="1">
      <c r="A803" s="413">
        <f t="shared" si="13"/>
        <v>803</v>
      </c>
      <c r="B803" s="26">
        <v>108</v>
      </c>
      <c r="C803" s="153" t="s">
        <v>254</v>
      </c>
      <c r="D803" s="211" t="s">
        <v>22</v>
      </c>
      <c r="E803" s="212"/>
      <c r="F803" s="213" t="s">
        <v>260</v>
      </c>
      <c r="G803" s="214" t="s">
        <v>1725</v>
      </c>
      <c r="H803" s="213" t="s">
        <v>1312</v>
      </c>
      <c r="I803" s="215">
        <v>27.68</v>
      </c>
      <c r="J803" s="216"/>
      <c r="K803" s="216"/>
      <c r="L803" s="216"/>
      <c r="M803" s="216"/>
      <c r="N803" s="216"/>
      <c r="O803" s="217"/>
      <c r="P803" s="217"/>
      <c r="Q803" s="217"/>
      <c r="R803" s="217"/>
      <c r="S803" s="218"/>
    </row>
    <row r="804" spans="1:19" ht="15" customHeight="1">
      <c r="A804" s="413">
        <f t="shared" si="13"/>
        <v>804</v>
      </c>
      <c r="B804" s="26">
        <v>108</v>
      </c>
      <c r="C804" s="153" t="s">
        <v>254</v>
      </c>
      <c r="D804" s="211" t="s">
        <v>22</v>
      </c>
      <c r="E804" s="212"/>
      <c r="F804" s="213" t="s">
        <v>143</v>
      </c>
      <c r="G804" s="214" t="s">
        <v>1726</v>
      </c>
      <c r="H804" s="213" t="s">
        <v>109</v>
      </c>
      <c r="I804" s="215">
        <v>338.83</v>
      </c>
      <c r="J804" s="216"/>
      <c r="K804" s="216"/>
      <c r="L804" s="216"/>
      <c r="M804" s="216"/>
      <c r="N804" s="216">
        <v>975</v>
      </c>
      <c r="O804" s="217"/>
      <c r="P804" s="217"/>
      <c r="Q804" s="217">
        <f>I804</f>
        <v>338.83</v>
      </c>
      <c r="R804" s="217"/>
      <c r="S804" s="218" t="s">
        <v>277</v>
      </c>
    </row>
    <row r="805" spans="1:19" ht="15" customHeight="1">
      <c r="A805" s="413">
        <f t="shared" si="13"/>
        <v>805</v>
      </c>
      <c r="B805" s="26">
        <v>108</v>
      </c>
      <c r="C805" s="153" t="s">
        <v>254</v>
      </c>
      <c r="D805" s="211" t="s">
        <v>22</v>
      </c>
      <c r="E805" s="212"/>
      <c r="F805" s="213" t="s">
        <v>111</v>
      </c>
      <c r="G805" s="214" t="s">
        <v>1727</v>
      </c>
      <c r="H805" s="213" t="s">
        <v>109</v>
      </c>
      <c r="I805" s="215">
        <v>13.88</v>
      </c>
      <c r="J805" s="216"/>
      <c r="K805" s="216"/>
      <c r="L805" s="216">
        <v>8.1999999999999993</v>
      </c>
      <c r="M805" s="216"/>
      <c r="N805" s="216">
        <v>24.7</v>
      </c>
      <c r="O805" s="217"/>
      <c r="P805" s="217"/>
      <c r="Q805" s="217">
        <f>I805</f>
        <v>13.88</v>
      </c>
      <c r="R805" s="217"/>
      <c r="S805" s="218"/>
    </row>
    <row r="806" spans="1:19" ht="15" customHeight="1">
      <c r="A806" s="413">
        <f t="shared" si="13"/>
        <v>806</v>
      </c>
      <c r="B806" s="26">
        <v>108</v>
      </c>
      <c r="C806" s="153" t="s">
        <v>254</v>
      </c>
      <c r="D806" s="211" t="s">
        <v>22</v>
      </c>
      <c r="E806" s="212"/>
      <c r="F806" s="213" t="s">
        <v>41</v>
      </c>
      <c r="G806" s="214" t="s">
        <v>1728</v>
      </c>
      <c r="H806" s="213" t="s">
        <v>160</v>
      </c>
      <c r="I806" s="215">
        <v>7.3</v>
      </c>
      <c r="J806" s="216"/>
      <c r="K806" s="216"/>
      <c r="L806" s="216"/>
      <c r="M806" s="216"/>
      <c r="N806" s="216">
        <v>22.900000000000002</v>
      </c>
      <c r="O806" s="217"/>
      <c r="P806" s="217"/>
      <c r="Q806" s="217">
        <f>I806</f>
        <v>7.3</v>
      </c>
      <c r="R806" s="217"/>
      <c r="S806" s="218"/>
    </row>
    <row r="807" spans="1:19" ht="15" customHeight="1">
      <c r="A807" s="413">
        <f t="shared" si="13"/>
        <v>807</v>
      </c>
      <c r="B807" s="26">
        <v>108</v>
      </c>
      <c r="C807" s="153" t="s">
        <v>254</v>
      </c>
      <c r="D807" s="211" t="s">
        <v>22</v>
      </c>
      <c r="E807" s="212"/>
      <c r="F807" s="213" t="s">
        <v>119</v>
      </c>
      <c r="G807" s="214" t="s">
        <v>1729</v>
      </c>
      <c r="H807" s="213" t="s">
        <v>160</v>
      </c>
      <c r="I807" s="215">
        <v>4.3</v>
      </c>
      <c r="J807" s="216"/>
      <c r="K807" s="216"/>
      <c r="L807" s="216"/>
      <c r="M807" s="216"/>
      <c r="N807" s="216">
        <v>26.3</v>
      </c>
      <c r="O807" s="217"/>
      <c r="P807" s="217"/>
      <c r="Q807" s="217">
        <f>I807</f>
        <v>4.3</v>
      </c>
      <c r="R807" s="217"/>
      <c r="S807" s="218"/>
    </row>
    <row r="808" spans="1:19" ht="15" customHeight="1">
      <c r="A808" s="413">
        <f t="shared" si="13"/>
        <v>808</v>
      </c>
      <c r="B808" s="26">
        <v>108</v>
      </c>
      <c r="C808" s="153" t="s">
        <v>254</v>
      </c>
      <c r="D808" s="211" t="s">
        <v>22</v>
      </c>
      <c r="E808" s="212"/>
      <c r="F808" s="213" t="s">
        <v>261</v>
      </c>
      <c r="G808" s="214" t="s">
        <v>1730</v>
      </c>
      <c r="H808" s="213" t="s">
        <v>176</v>
      </c>
      <c r="I808" s="215">
        <v>26.18</v>
      </c>
      <c r="J808" s="216">
        <v>1.4</v>
      </c>
      <c r="K808" s="216"/>
      <c r="L808" s="216"/>
      <c r="M808" s="216"/>
      <c r="N808" s="216">
        <v>47.5</v>
      </c>
      <c r="O808" s="217"/>
      <c r="P808" s="217"/>
      <c r="Q808" s="217">
        <f>I808</f>
        <v>26.18</v>
      </c>
      <c r="R808" s="217"/>
      <c r="S808" s="218"/>
    </row>
    <row r="809" spans="1:19" ht="15" customHeight="1">
      <c r="A809" s="413">
        <f t="shared" si="13"/>
        <v>809</v>
      </c>
      <c r="B809" s="26">
        <v>108</v>
      </c>
      <c r="C809" s="153" t="s">
        <v>254</v>
      </c>
      <c r="D809" s="211" t="s">
        <v>22</v>
      </c>
      <c r="E809" s="212"/>
      <c r="F809" s="213" t="s">
        <v>121</v>
      </c>
      <c r="G809" s="214" t="s">
        <v>1731</v>
      </c>
      <c r="H809" s="213" t="s">
        <v>148</v>
      </c>
      <c r="I809" s="215">
        <v>3.17</v>
      </c>
      <c r="J809" s="216">
        <v>16.8</v>
      </c>
      <c r="K809" s="216"/>
      <c r="L809" s="216"/>
      <c r="M809" s="216"/>
      <c r="N809" s="216"/>
      <c r="O809" s="217"/>
      <c r="P809" s="217"/>
      <c r="Q809" s="217"/>
      <c r="R809" s="217">
        <f>I809</f>
        <v>3.17</v>
      </c>
      <c r="S809" s="218"/>
    </row>
    <row r="810" spans="1:19" ht="15" customHeight="1">
      <c r="A810" s="413">
        <f t="shared" si="13"/>
        <v>810</v>
      </c>
      <c r="B810" s="26">
        <v>108</v>
      </c>
      <c r="C810" s="153" t="s">
        <v>254</v>
      </c>
      <c r="D810" s="211" t="s">
        <v>22</v>
      </c>
      <c r="E810" s="212"/>
      <c r="F810" s="213" t="s">
        <v>120</v>
      </c>
      <c r="G810" s="214" t="s">
        <v>1732</v>
      </c>
      <c r="H810" s="213" t="s">
        <v>148</v>
      </c>
      <c r="I810" s="215">
        <v>3.17</v>
      </c>
      <c r="J810" s="216">
        <v>16.8</v>
      </c>
      <c r="K810" s="216"/>
      <c r="L810" s="216"/>
      <c r="M810" s="216"/>
      <c r="N810" s="216"/>
      <c r="O810" s="217"/>
      <c r="P810" s="217"/>
      <c r="Q810" s="217"/>
      <c r="R810" s="217">
        <f>I810</f>
        <v>3.17</v>
      </c>
      <c r="S810" s="218"/>
    </row>
    <row r="811" spans="1:19" ht="15" customHeight="1">
      <c r="A811" s="413">
        <f t="shared" si="13"/>
        <v>811</v>
      </c>
      <c r="B811" s="26">
        <v>108</v>
      </c>
      <c r="C811" s="153" t="s">
        <v>254</v>
      </c>
      <c r="D811" s="211" t="s">
        <v>22</v>
      </c>
      <c r="E811" s="212"/>
      <c r="F811" s="213" t="s">
        <v>127</v>
      </c>
      <c r="G811" s="214" t="s">
        <v>1733</v>
      </c>
      <c r="H811" s="213" t="s">
        <v>176</v>
      </c>
      <c r="I811" s="215">
        <v>6.22</v>
      </c>
      <c r="J811" s="216"/>
      <c r="K811" s="216"/>
      <c r="L811" s="216">
        <v>30</v>
      </c>
      <c r="M811" s="216"/>
      <c r="N811" s="216"/>
      <c r="O811" s="217"/>
      <c r="P811" s="217"/>
      <c r="Q811" s="217"/>
      <c r="R811" s="217"/>
      <c r="S811" s="218"/>
    </row>
    <row r="812" spans="1:19" ht="15" customHeight="1">
      <c r="A812" s="413">
        <f t="shared" si="13"/>
        <v>812</v>
      </c>
      <c r="B812" s="26">
        <v>108</v>
      </c>
      <c r="C812" s="153" t="s">
        <v>254</v>
      </c>
      <c r="D812" s="211" t="s">
        <v>22</v>
      </c>
      <c r="E812" s="212"/>
      <c r="F812" s="213" t="s">
        <v>262</v>
      </c>
      <c r="G812" s="214" t="s">
        <v>1734</v>
      </c>
      <c r="H812" s="213" t="s">
        <v>176</v>
      </c>
      <c r="I812" s="215">
        <v>12.81</v>
      </c>
      <c r="J812" s="216"/>
      <c r="K812" s="216"/>
      <c r="L812" s="216"/>
      <c r="M812" s="216"/>
      <c r="N812" s="216">
        <v>19.5</v>
      </c>
      <c r="O812" s="217"/>
      <c r="P812" s="217"/>
      <c r="Q812" s="217">
        <f>I812</f>
        <v>12.81</v>
      </c>
      <c r="R812" s="217"/>
      <c r="S812" s="218"/>
    </row>
    <row r="813" spans="1:19" ht="15" customHeight="1">
      <c r="A813" s="413">
        <f t="shared" si="13"/>
        <v>813</v>
      </c>
      <c r="B813" s="26">
        <v>108</v>
      </c>
      <c r="C813" s="153" t="s">
        <v>254</v>
      </c>
      <c r="D813" s="211" t="s">
        <v>22</v>
      </c>
      <c r="E813" s="212"/>
      <c r="F813" s="213" t="s">
        <v>111</v>
      </c>
      <c r="G813" s="214" t="s">
        <v>1704</v>
      </c>
      <c r="H813" s="213" t="s">
        <v>1315</v>
      </c>
      <c r="I813" s="215">
        <v>51.35</v>
      </c>
      <c r="J813" s="216"/>
      <c r="K813" s="216"/>
      <c r="L813" s="216"/>
      <c r="M813" s="216"/>
      <c r="N813" s="216">
        <v>96.9</v>
      </c>
      <c r="O813" s="217"/>
      <c r="P813" s="217"/>
      <c r="Q813" s="217">
        <f>I813</f>
        <v>51.35</v>
      </c>
      <c r="R813" s="217"/>
      <c r="S813" s="218"/>
    </row>
    <row r="814" spans="1:19" ht="15" customHeight="1">
      <c r="A814" s="413">
        <f t="shared" si="13"/>
        <v>814</v>
      </c>
      <c r="B814" s="26">
        <v>108</v>
      </c>
      <c r="C814" s="153" t="s">
        <v>254</v>
      </c>
      <c r="D814" s="211" t="s">
        <v>22</v>
      </c>
      <c r="E814" s="212"/>
      <c r="F814" s="213" t="s">
        <v>263</v>
      </c>
      <c r="G814" s="214" t="s">
        <v>1735</v>
      </c>
      <c r="H814" s="213" t="s">
        <v>176</v>
      </c>
      <c r="I814" s="215">
        <v>22.2</v>
      </c>
      <c r="J814" s="216"/>
      <c r="K814" s="216"/>
      <c r="L814" s="216"/>
      <c r="M814" s="216"/>
      <c r="N814" s="216">
        <v>63.6</v>
      </c>
      <c r="O814" s="217"/>
      <c r="P814" s="217"/>
      <c r="Q814" s="217">
        <f>I814</f>
        <v>22.2</v>
      </c>
      <c r="R814" s="217"/>
      <c r="S814" s="218"/>
    </row>
    <row r="815" spans="1:19" ht="15" customHeight="1">
      <c r="A815" s="413">
        <f t="shared" si="13"/>
        <v>815</v>
      </c>
      <c r="B815" s="26">
        <v>108</v>
      </c>
      <c r="C815" s="153" t="s">
        <v>254</v>
      </c>
      <c r="D815" s="211" t="s">
        <v>22</v>
      </c>
      <c r="E815" s="212"/>
      <c r="F815" s="213" t="s">
        <v>115</v>
      </c>
      <c r="G815" s="214" t="s">
        <v>1707</v>
      </c>
      <c r="H815" s="213" t="s">
        <v>176</v>
      </c>
      <c r="I815" s="215">
        <v>22.2</v>
      </c>
      <c r="J815" s="216"/>
      <c r="K815" s="216"/>
      <c r="L815" s="216"/>
      <c r="M815" s="216"/>
      <c r="N815" s="216">
        <v>63.6</v>
      </c>
      <c r="O815" s="217"/>
      <c r="P815" s="217"/>
      <c r="Q815" s="217">
        <f>I815</f>
        <v>22.2</v>
      </c>
      <c r="R815" s="217"/>
      <c r="S815" s="218"/>
    </row>
    <row r="816" spans="1:19" ht="15" customHeight="1">
      <c r="A816" s="413">
        <f t="shared" si="13"/>
        <v>816</v>
      </c>
      <c r="B816" s="26">
        <v>108</v>
      </c>
      <c r="C816" s="153" t="s">
        <v>254</v>
      </c>
      <c r="D816" s="211" t="s">
        <v>22</v>
      </c>
      <c r="E816" s="212"/>
      <c r="F816" s="213" t="s">
        <v>36</v>
      </c>
      <c r="G816" s="214" t="s">
        <v>1708</v>
      </c>
      <c r="H816" s="213" t="s">
        <v>160</v>
      </c>
      <c r="I816" s="215">
        <v>32.700000000000003</v>
      </c>
      <c r="J816" s="216"/>
      <c r="K816" s="216"/>
      <c r="L816" s="216">
        <v>47.4</v>
      </c>
      <c r="M816" s="216"/>
      <c r="N816" s="216"/>
      <c r="O816" s="217"/>
      <c r="P816" s="217">
        <f>I816</f>
        <v>32.700000000000003</v>
      </c>
      <c r="Q816" s="217"/>
      <c r="R816" s="217"/>
      <c r="S816" s="218"/>
    </row>
    <row r="817" spans="1:19" ht="15" customHeight="1">
      <c r="A817" s="413">
        <f t="shared" si="13"/>
        <v>817</v>
      </c>
      <c r="B817" s="26">
        <v>108</v>
      </c>
      <c r="C817" s="153" t="s">
        <v>254</v>
      </c>
      <c r="D817" s="211" t="s">
        <v>22</v>
      </c>
      <c r="E817" s="212"/>
      <c r="F817" s="213" t="s">
        <v>37</v>
      </c>
      <c r="G817" s="214" t="s">
        <v>1709</v>
      </c>
      <c r="H817" s="213" t="s">
        <v>160</v>
      </c>
      <c r="I817" s="215">
        <v>17.899999999999999</v>
      </c>
      <c r="J817" s="216"/>
      <c r="K817" s="216"/>
      <c r="L817" s="216"/>
      <c r="M817" s="216"/>
      <c r="N817" s="216"/>
      <c r="O817" s="217"/>
      <c r="P817" s="217">
        <f>I817</f>
        <v>17.899999999999999</v>
      </c>
      <c r="Q817" s="217"/>
      <c r="R817" s="217"/>
      <c r="S817" s="218"/>
    </row>
    <row r="818" spans="1:19" ht="15" customHeight="1">
      <c r="A818" s="413">
        <f t="shared" si="13"/>
        <v>818</v>
      </c>
      <c r="B818" s="26">
        <v>108</v>
      </c>
      <c r="C818" s="153" t="s">
        <v>254</v>
      </c>
      <c r="D818" s="211" t="s">
        <v>22</v>
      </c>
      <c r="E818" s="212"/>
      <c r="F818" s="213" t="s">
        <v>264</v>
      </c>
      <c r="G818" s="214" t="s">
        <v>1736</v>
      </c>
      <c r="H818" s="213" t="s">
        <v>318</v>
      </c>
      <c r="I818" s="215">
        <v>7.2</v>
      </c>
      <c r="J818" s="216"/>
      <c r="K818" s="216"/>
      <c r="L818" s="216"/>
      <c r="M818" s="216"/>
      <c r="N818" s="216"/>
      <c r="O818" s="217"/>
      <c r="P818" s="217">
        <f>I818</f>
        <v>7.2</v>
      </c>
      <c r="Q818" s="217"/>
      <c r="R818" s="217"/>
      <c r="S818" s="218"/>
    </row>
    <row r="819" spans="1:19" ht="15" customHeight="1">
      <c r="A819" s="413">
        <f t="shared" si="13"/>
        <v>819</v>
      </c>
      <c r="B819" s="26">
        <v>108</v>
      </c>
      <c r="C819" s="153" t="s">
        <v>254</v>
      </c>
      <c r="D819" s="211" t="s">
        <v>22</v>
      </c>
      <c r="E819" s="212"/>
      <c r="F819" s="213" t="s">
        <v>265</v>
      </c>
      <c r="G819" s="214" t="s">
        <v>1737</v>
      </c>
      <c r="H819" s="213" t="s">
        <v>160</v>
      </c>
      <c r="I819" s="215">
        <v>36.69</v>
      </c>
      <c r="J819" s="216"/>
      <c r="K819" s="216"/>
      <c r="L819" s="216"/>
      <c r="M819" s="216"/>
      <c r="N819" s="216">
        <v>136</v>
      </c>
      <c r="O819" s="217"/>
      <c r="P819" s="217"/>
      <c r="Q819" s="217">
        <f>I819</f>
        <v>36.69</v>
      </c>
      <c r="R819" s="217"/>
      <c r="S819" s="218"/>
    </row>
    <row r="820" spans="1:19" ht="15" customHeight="1">
      <c r="A820" s="413">
        <f t="shared" si="13"/>
        <v>820</v>
      </c>
      <c r="B820" s="26">
        <v>108</v>
      </c>
      <c r="C820" s="153" t="s">
        <v>254</v>
      </c>
      <c r="D820" s="211" t="s">
        <v>22</v>
      </c>
      <c r="E820" s="212"/>
      <c r="F820" s="213" t="s">
        <v>266</v>
      </c>
      <c r="G820" s="214" t="s">
        <v>1738</v>
      </c>
      <c r="H820" s="213" t="s">
        <v>109</v>
      </c>
      <c r="I820" s="215">
        <v>6.65</v>
      </c>
      <c r="J820" s="216"/>
      <c r="K820" s="216"/>
      <c r="L820" s="216"/>
      <c r="M820" s="216"/>
      <c r="N820" s="216">
        <v>34.800000000000004</v>
      </c>
      <c r="O820" s="217"/>
      <c r="P820" s="217"/>
      <c r="Q820" s="217">
        <f>I820</f>
        <v>6.65</v>
      </c>
      <c r="R820" s="217"/>
      <c r="S820" s="218"/>
    </row>
    <row r="821" spans="1:19" ht="15" customHeight="1">
      <c r="A821" s="413">
        <f t="shared" si="13"/>
        <v>821</v>
      </c>
      <c r="B821" s="26">
        <v>108</v>
      </c>
      <c r="C821" s="153" t="s">
        <v>254</v>
      </c>
      <c r="D821" s="211" t="s">
        <v>22</v>
      </c>
      <c r="E821" s="212"/>
      <c r="F821" s="213" t="s">
        <v>267</v>
      </c>
      <c r="G821" s="214" t="s">
        <v>1739</v>
      </c>
      <c r="H821" s="213" t="s">
        <v>160</v>
      </c>
      <c r="I821" s="215">
        <v>38.04</v>
      </c>
      <c r="J821" s="216"/>
      <c r="K821" s="216"/>
      <c r="L821" s="216"/>
      <c r="M821" s="216"/>
      <c r="N821" s="216">
        <v>136</v>
      </c>
      <c r="O821" s="217"/>
      <c r="P821" s="217"/>
      <c r="Q821" s="217">
        <f>I821</f>
        <v>38.04</v>
      </c>
      <c r="R821" s="217"/>
      <c r="S821" s="218"/>
    </row>
    <row r="822" spans="1:19" ht="15" customHeight="1">
      <c r="A822" s="413">
        <f t="shared" si="13"/>
        <v>822</v>
      </c>
      <c r="B822" s="26">
        <v>108</v>
      </c>
      <c r="C822" s="153" t="s">
        <v>254</v>
      </c>
      <c r="D822" s="211" t="s">
        <v>22</v>
      </c>
      <c r="E822" s="212"/>
      <c r="F822" s="213" t="s">
        <v>268</v>
      </c>
      <c r="G822" s="214" t="s">
        <v>1740</v>
      </c>
      <c r="H822" s="213" t="s">
        <v>109</v>
      </c>
      <c r="I822" s="215">
        <v>6.88</v>
      </c>
      <c r="J822" s="216"/>
      <c r="K822" s="216"/>
      <c r="L822" s="216"/>
      <c r="M822" s="216"/>
      <c r="N822" s="216">
        <v>34.800000000000004</v>
      </c>
      <c r="O822" s="217"/>
      <c r="P822" s="217"/>
      <c r="Q822" s="217">
        <f>I822</f>
        <v>6.88</v>
      </c>
      <c r="R822" s="217"/>
      <c r="S822" s="218"/>
    </row>
    <row r="823" spans="1:19" ht="15" customHeight="1">
      <c r="A823" s="413">
        <f t="shared" si="13"/>
        <v>823</v>
      </c>
      <c r="B823" s="26">
        <v>108</v>
      </c>
      <c r="C823" s="153" t="s">
        <v>254</v>
      </c>
      <c r="D823" s="211" t="s">
        <v>22</v>
      </c>
      <c r="E823" s="212"/>
      <c r="F823" s="213" t="s">
        <v>269</v>
      </c>
      <c r="G823" s="214" t="s">
        <v>1741</v>
      </c>
      <c r="H823" s="213" t="s">
        <v>1053</v>
      </c>
      <c r="I823" s="215">
        <v>2.8</v>
      </c>
      <c r="J823" s="216"/>
      <c r="K823" s="216"/>
      <c r="L823" s="216"/>
      <c r="M823" s="216">
        <v>11.5</v>
      </c>
      <c r="N823" s="216">
        <v>3.5</v>
      </c>
      <c r="O823" s="217"/>
      <c r="P823" s="217"/>
      <c r="Q823" s="217"/>
      <c r="R823" s="217">
        <f>I823</f>
        <v>2.8</v>
      </c>
      <c r="S823" s="218" t="s">
        <v>1054</v>
      </c>
    </row>
    <row r="824" spans="1:19" ht="15" customHeight="1">
      <c r="A824" s="413">
        <f t="shared" si="13"/>
        <v>824</v>
      </c>
      <c r="B824" s="26">
        <v>108</v>
      </c>
      <c r="C824" s="153" t="s">
        <v>254</v>
      </c>
      <c r="D824" s="211" t="s">
        <v>22</v>
      </c>
      <c r="E824" s="212"/>
      <c r="F824" s="213" t="s">
        <v>270</v>
      </c>
      <c r="G824" s="214" t="s">
        <v>1742</v>
      </c>
      <c r="H824" s="213" t="s">
        <v>1053</v>
      </c>
      <c r="I824" s="215">
        <v>2.8</v>
      </c>
      <c r="J824" s="216"/>
      <c r="K824" s="216"/>
      <c r="L824" s="216"/>
      <c r="M824" s="216">
        <v>11.5</v>
      </c>
      <c r="N824" s="216">
        <v>3.5</v>
      </c>
      <c r="O824" s="217"/>
      <c r="P824" s="217"/>
      <c r="Q824" s="217"/>
      <c r="R824" s="217">
        <f>I824</f>
        <v>2.8</v>
      </c>
      <c r="S824" s="218" t="s">
        <v>1054</v>
      </c>
    </row>
    <row r="825" spans="1:19" ht="15" customHeight="1">
      <c r="A825" s="413">
        <f t="shared" si="13"/>
        <v>825</v>
      </c>
      <c r="B825" s="26">
        <v>108</v>
      </c>
      <c r="C825" s="153" t="s">
        <v>254</v>
      </c>
      <c r="D825" s="211" t="s">
        <v>22</v>
      </c>
      <c r="E825" s="212"/>
      <c r="F825" s="213" t="s">
        <v>271</v>
      </c>
      <c r="G825" s="214" t="s">
        <v>1743</v>
      </c>
      <c r="H825" s="213" t="s">
        <v>1053</v>
      </c>
      <c r="I825" s="215">
        <v>2.8</v>
      </c>
      <c r="J825" s="216"/>
      <c r="K825" s="216"/>
      <c r="L825" s="216"/>
      <c r="M825" s="216">
        <v>11.5</v>
      </c>
      <c r="N825" s="216">
        <v>3.5</v>
      </c>
      <c r="O825" s="217"/>
      <c r="P825" s="217"/>
      <c r="Q825" s="217"/>
      <c r="R825" s="217">
        <f>I825</f>
        <v>2.8</v>
      </c>
      <c r="S825" s="218" t="s">
        <v>1054</v>
      </c>
    </row>
    <row r="826" spans="1:19" ht="15" customHeight="1">
      <c r="A826" s="413">
        <f t="shared" si="13"/>
        <v>826</v>
      </c>
      <c r="B826" s="26">
        <v>108</v>
      </c>
      <c r="C826" s="153" t="s">
        <v>254</v>
      </c>
      <c r="D826" s="211" t="s">
        <v>22</v>
      </c>
      <c r="E826" s="212"/>
      <c r="F826" s="213" t="s">
        <v>272</v>
      </c>
      <c r="G826" s="214" t="s">
        <v>1744</v>
      </c>
      <c r="H826" s="213" t="s">
        <v>109</v>
      </c>
      <c r="I826" s="215">
        <v>6.7</v>
      </c>
      <c r="J826" s="216"/>
      <c r="K826" s="216"/>
      <c r="L826" s="216"/>
      <c r="M826" s="216"/>
      <c r="N826" s="216">
        <v>26.4</v>
      </c>
      <c r="O826" s="217"/>
      <c r="P826" s="217"/>
      <c r="Q826" s="217">
        <f>I826</f>
        <v>6.7</v>
      </c>
      <c r="R826" s="217"/>
      <c r="S826" s="218"/>
    </row>
    <row r="827" spans="1:19" ht="15" customHeight="1">
      <c r="A827" s="413">
        <f t="shared" si="13"/>
        <v>827</v>
      </c>
      <c r="B827" s="26">
        <v>108</v>
      </c>
      <c r="C827" s="153" t="s">
        <v>254</v>
      </c>
      <c r="D827" s="211" t="s">
        <v>22</v>
      </c>
      <c r="E827" s="212"/>
      <c r="F827" s="213" t="s">
        <v>273</v>
      </c>
      <c r="G827" s="214" t="s">
        <v>1714</v>
      </c>
      <c r="H827" s="213" t="s">
        <v>1315</v>
      </c>
      <c r="I827" s="215">
        <v>62.31</v>
      </c>
      <c r="J827" s="216"/>
      <c r="K827" s="216"/>
      <c r="L827" s="216"/>
      <c r="M827" s="216"/>
      <c r="N827" s="216"/>
      <c r="O827" s="217"/>
      <c r="P827" s="217">
        <f>I827</f>
        <v>62.31</v>
      </c>
      <c r="Q827" s="217"/>
      <c r="R827" s="217"/>
      <c r="S827" s="218" t="s">
        <v>278</v>
      </c>
    </row>
    <row r="828" spans="1:19" ht="15" customHeight="1">
      <c r="A828" s="413">
        <f t="shared" si="13"/>
        <v>828</v>
      </c>
      <c r="B828" s="26">
        <v>108</v>
      </c>
      <c r="C828" s="153" t="s">
        <v>254</v>
      </c>
      <c r="D828" s="211" t="s">
        <v>22</v>
      </c>
      <c r="E828" s="212"/>
      <c r="F828" s="213" t="s">
        <v>274</v>
      </c>
      <c r="G828" s="214" t="s">
        <v>1745</v>
      </c>
      <c r="H828" s="213" t="s">
        <v>276</v>
      </c>
      <c r="I828" s="215">
        <v>0.52</v>
      </c>
      <c r="J828" s="216"/>
      <c r="K828" s="216"/>
      <c r="L828" s="216">
        <v>8.6999999999999993</v>
      </c>
      <c r="M828" s="216"/>
      <c r="N828" s="216"/>
      <c r="O828" s="217"/>
      <c r="P828" s="217">
        <f>I828</f>
        <v>0.52</v>
      </c>
      <c r="Q828" s="217"/>
      <c r="R828" s="217"/>
      <c r="S828" s="218"/>
    </row>
    <row r="829" spans="1:19" ht="15" customHeight="1">
      <c r="A829" s="413">
        <f t="shared" si="13"/>
        <v>829</v>
      </c>
      <c r="B829" s="26">
        <v>108</v>
      </c>
      <c r="C829" s="153" t="s">
        <v>254</v>
      </c>
      <c r="D829" s="211" t="s">
        <v>22</v>
      </c>
      <c r="E829" s="212"/>
      <c r="F829" s="213" t="s">
        <v>275</v>
      </c>
      <c r="G829" s="214" t="s">
        <v>169</v>
      </c>
      <c r="H829" s="213" t="s">
        <v>68</v>
      </c>
      <c r="I829" s="215">
        <v>21.4</v>
      </c>
      <c r="J829" s="216"/>
      <c r="K829" s="216"/>
      <c r="L829" s="216"/>
      <c r="M829" s="216"/>
      <c r="N829" s="216"/>
      <c r="O829" s="217"/>
      <c r="P829" s="217"/>
      <c r="Q829" s="217"/>
      <c r="R829" s="217"/>
      <c r="S829" s="218"/>
    </row>
    <row r="830" spans="1:19" ht="15" customHeight="1">
      <c r="A830" s="413">
        <f t="shared" si="13"/>
        <v>830</v>
      </c>
      <c r="B830" s="26">
        <v>109</v>
      </c>
      <c r="C830" s="153" t="s">
        <v>851</v>
      </c>
      <c r="D830" s="211" t="s">
        <v>22</v>
      </c>
      <c r="E830" s="212"/>
      <c r="F830" s="213" t="s">
        <v>1039</v>
      </c>
      <c r="G830" s="214" t="s">
        <v>1746</v>
      </c>
      <c r="H830" s="213" t="s">
        <v>160</v>
      </c>
      <c r="I830" s="215">
        <v>15</v>
      </c>
      <c r="J830" s="216"/>
      <c r="K830" s="216"/>
      <c r="L830" s="216">
        <v>42</v>
      </c>
      <c r="M830" s="216"/>
      <c r="N830" s="216"/>
      <c r="O830" s="217"/>
      <c r="P830" s="217"/>
      <c r="Q830" s="217">
        <v>15</v>
      </c>
      <c r="R830" s="217"/>
      <c r="S830" s="218"/>
    </row>
    <row r="831" spans="1:19" ht="15" customHeight="1">
      <c r="A831" s="413">
        <f t="shared" si="13"/>
        <v>831</v>
      </c>
      <c r="B831" s="26">
        <v>109</v>
      </c>
      <c r="C831" s="153" t="s">
        <v>851</v>
      </c>
      <c r="D831" s="211" t="s">
        <v>22</v>
      </c>
      <c r="E831" s="212"/>
      <c r="F831" s="213" t="s">
        <v>1040</v>
      </c>
      <c r="G831" s="214" t="s">
        <v>1747</v>
      </c>
      <c r="H831" s="213" t="s">
        <v>160</v>
      </c>
      <c r="I831" s="215">
        <v>11</v>
      </c>
      <c r="J831" s="216"/>
      <c r="K831" s="216"/>
      <c r="L831" s="216">
        <v>37</v>
      </c>
      <c r="M831" s="216"/>
      <c r="N831" s="216"/>
      <c r="O831" s="217"/>
      <c r="P831" s="217"/>
      <c r="Q831" s="217">
        <v>11</v>
      </c>
      <c r="R831" s="217"/>
      <c r="S831" s="218"/>
    </row>
    <row r="832" spans="1:19" ht="15" customHeight="1">
      <c r="A832" s="413">
        <f t="shared" si="13"/>
        <v>832</v>
      </c>
      <c r="B832" s="26">
        <v>109</v>
      </c>
      <c r="C832" s="153" t="s">
        <v>851</v>
      </c>
      <c r="D832" s="211" t="s">
        <v>22</v>
      </c>
      <c r="E832" s="212"/>
      <c r="F832" s="213" t="s">
        <v>292</v>
      </c>
      <c r="G832" s="214" t="s">
        <v>1748</v>
      </c>
      <c r="H832" s="213" t="s">
        <v>109</v>
      </c>
      <c r="I832" s="215">
        <v>11</v>
      </c>
      <c r="J832" s="216"/>
      <c r="K832" s="216"/>
      <c r="L832" s="216">
        <v>37</v>
      </c>
      <c r="M832" s="216"/>
      <c r="N832" s="216"/>
      <c r="O832" s="217"/>
      <c r="P832" s="217"/>
      <c r="Q832" s="217">
        <v>11</v>
      </c>
      <c r="R832" s="217"/>
      <c r="S832" s="218"/>
    </row>
    <row r="833" spans="1:19" ht="15" customHeight="1">
      <c r="A833" s="413">
        <f t="shared" si="13"/>
        <v>833</v>
      </c>
      <c r="B833" s="26">
        <v>109</v>
      </c>
      <c r="C833" s="153" t="s">
        <v>851</v>
      </c>
      <c r="D833" s="211" t="s">
        <v>22</v>
      </c>
      <c r="E833" s="212"/>
      <c r="F833" s="213" t="s">
        <v>1041</v>
      </c>
      <c r="G833" s="214" t="s">
        <v>1693</v>
      </c>
      <c r="H833" s="213" t="s">
        <v>176</v>
      </c>
      <c r="I833" s="215">
        <v>12</v>
      </c>
      <c r="J833" s="216"/>
      <c r="K833" s="216"/>
      <c r="L833" s="216">
        <v>40</v>
      </c>
      <c r="M833" s="216"/>
      <c r="N833" s="216"/>
      <c r="O833" s="217"/>
      <c r="P833" s="217"/>
      <c r="Q833" s="217">
        <v>12</v>
      </c>
      <c r="R833" s="217"/>
      <c r="S833" s="218"/>
    </row>
    <row r="834" spans="1:19" ht="15" customHeight="1">
      <c r="A834" s="413">
        <f t="shared" si="13"/>
        <v>834</v>
      </c>
      <c r="B834" s="26">
        <v>110</v>
      </c>
      <c r="C834" s="153" t="s">
        <v>103</v>
      </c>
      <c r="D834" s="211" t="s">
        <v>22</v>
      </c>
      <c r="E834" s="212"/>
      <c r="F834" s="213" t="s">
        <v>1380</v>
      </c>
      <c r="G834" s="214"/>
      <c r="H834" s="213" t="s">
        <v>1381</v>
      </c>
      <c r="I834" s="215">
        <v>48</v>
      </c>
      <c r="J834" s="216"/>
      <c r="K834" s="216"/>
      <c r="L834" s="216"/>
      <c r="M834" s="216"/>
      <c r="N834" s="216"/>
      <c r="O834" s="217"/>
      <c r="P834" s="217"/>
      <c r="Q834" s="217"/>
      <c r="R834" s="217"/>
      <c r="S834" s="218"/>
    </row>
    <row r="835" spans="1:19" ht="15" customHeight="1">
      <c r="A835" s="413">
        <f t="shared" ref="A835:A898" si="14">1+A834</f>
        <v>835</v>
      </c>
      <c r="B835" s="26">
        <v>110</v>
      </c>
      <c r="C835" s="153" t="s">
        <v>103</v>
      </c>
      <c r="D835" s="211" t="s">
        <v>22</v>
      </c>
      <c r="E835" s="212"/>
      <c r="F835" s="213" t="s">
        <v>54</v>
      </c>
      <c r="G835" s="214" t="s">
        <v>1721</v>
      </c>
      <c r="H835" s="213" t="s">
        <v>113</v>
      </c>
      <c r="I835" s="215">
        <v>1503.23</v>
      </c>
      <c r="J835" s="216"/>
      <c r="K835" s="216"/>
      <c r="L835" s="216"/>
      <c r="M835" s="216"/>
      <c r="N835" s="216"/>
      <c r="O835" s="217">
        <f>165.16*9.82</f>
        <v>1621.8712</v>
      </c>
      <c r="P835" s="217"/>
      <c r="Q835" s="217"/>
      <c r="R835" s="217"/>
      <c r="S835" s="218"/>
    </row>
    <row r="836" spans="1:19" ht="15" customHeight="1">
      <c r="A836" s="413">
        <f t="shared" si="14"/>
        <v>836</v>
      </c>
      <c r="B836" s="26">
        <v>110</v>
      </c>
      <c r="C836" s="153" t="s">
        <v>103</v>
      </c>
      <c r="D836" s="211" t="s">
        <v>22</v>
      </c>
      <c r="E836" s="212"/>
      <c r="F836" s="213" t="s">
        <v>104</v>
      </c>
      <c r="G836" s="214" t="s">
        <v>1722</v>
      </c>
      <c r="H836" s="213" t="s">
        <v>68</v>
      </c>
      <c r="I836" s="215">
        <v>42.69</v>
      </c>
      <c r="J836" s="216" t="s">
        <v>1055</v>
      </c>
      <c r="K836" s="216"/>
      <c r="L836" s="216"/>
      <c r="M836" s="216"/>
      <c r="N836" s="216"/>
      <c r="O836" s="217"/>
      <c r="P836" s="217"/>
      <c r="Q836" s="217"/>
      <c r="R836" s="217"/>
      <c r="S836" s="218" t="s">
        <v>132</v>
      </c>
    </row>
    <row r="837" spans="1:19" ht="15" customHeight="1">
      <c r="A837" s="413">
        <f t="shared" si="14"/>
        <v>837</v>
      </c>
      <c r="B837" s="26">
        <v>110</v>
      </c>
      <c r="C837" s="153" t="s">
        <v>103</v>
      </c>
      <c r="D837" s="211" t="s">
        <v>22</v>
      </c>
      <c r="E837" s="212"/>
      <c r="F837" s="213" t="s">
        <v>105</v>
      </c>
      <c r="G837" s="214" t="s">
        <v>1723</v>
      </c>
      <c r="H837" s="213" t="s">
        <v>68</v>
      </c>
      <c r="I837" s="215">
        <v>42.68</v>
      </c>
      <c r="J837" s="216" t="s">
        <v>1055</v>
      </c>
      <c r="K837" s="216"/>
      <c r="L837" s="216"/>
      <c r="M837" s="216"/>
      <c r="N837" s="216"/>
      <c r="O837" s="217"/>
      <c r="P837" s="217"/>
      <c r="Q837" s="217"/>
      <c r="R837" s="217"/>
      <c r="S837" s="218" t="s">
        <v>133</v>
      </c>
    </row>
    <row r="838" spans="1:19" ht="15" customHeight="1">
      <c r="A838" s="413">
        <f t="shared" si="14"/>
        <v>838</v>
      </c>
      <c r="B838" s="26">
        <v>110</v>
      </c>
      <c r="C838" s="153" t="s">
        <v>103</v>
      </c>
      <c r="D838" s="211" t="s">
        <v>22</v>
      </c>
      <c r="E838" s="212"/>
      <c r="F838" s="213" t="s">
        <v>106</v>
      </c>
      <c r="G838" s="214" t="s">
        <v>1724</v>
      </c>
      <c r="H838" s="213" t="s">
        <v>1312</v>
      </c>
      <c r="I838" s="215">
        <v>31.63</v>
      </c>
      <c r="J838" s="216"/>
      <c r="K838" s="216"/>
      <c r="L838" s="216"/>
      <c r="M838" s="216"/>
      <c r="N838" s="216"/>
      <c r="O838" s="217"/>
      <c r="P838" s="217"/>
      <c r="Q838" s="217"/>
      <c r="R838" s="217"/>
      <c r="S838" s="218" t="s">
        <v>132</v>
      </c>
    </row>
    <row r="839" spans="1:19" ht="15" customHeight="1">
      <c r="A839" s="413">
        <f t="shared" si="14"/>
        <v>839</v>
      </c>
      <c r="B839" s="26">
        <v>110</v>
      </c>
      <c r="C839" s="153" t="s">
        <v>103</v>
      </c>
      <c r="D839" s="211" t="s">
        <v>22</v>
      </c>
      <c r="E839" s="212"/>
      <c r="F839" s="213" t="s">
        <v>107</v>
      </c>
      <c r="G839" s="214" t="s">
        <v>1725</v>
      </c>
      <c r="H839" s="213" t="s">
        <v>820</v>
      </c>
      <c r="I839" s="215">
        <v>31.68</v>
      </c>
      <c r="J839" s="216"/>
      <c r="K839" s="216"/>
      <c r="L839" s="216"/>
      <c r="M839" s="216"/>
      <c r="N839" s="216"/>
      <c r="O839" s="217"/>
      <c r="P839" s="217"/>
      <c r="Q839" s="217"/>
      <c r="R839" s="217"/>
      <c r="S839" s="218" t="s">
        <v>133</v>
      </c>
    </row>
    <row r="840" spans="1:19" ht="15" customHeight="1">
      <c r="A840" s="413">
        <f t="shared" si="14"/>
        <v>840</v>
      </c>
      <c r="B840" s="26">
        <v>110</v>
      </c>
      <c r="C840" s="153" t="s">
        <v>103</v>
      </c>
      <c r="D840" s="211" t="s">
        <v>22</v>
      </c>
      <c r="E840" s="212"/>
      <c r="F840" s="213" t="s">
        <v>108</v>
      </c>
      <c r="G840" s="214" t="s">
        <v>1703</v>
      </c>
      <c r="H840" s="213" t="s">
        <v>109</v>
      </c>
      <c r="I840" s="215">
        <v>224.45</v>
      </c>
      <c r="J840" s="216"/>
      <c r="K840" s="216"/>
      <c r="L840" s="216"/>
      <c r="M840" s="216">
        <v>20</v>
      </c>
      <c r="N840" s="216">
        <v>589</v>
      </c>
      <c r="O840" s="217"/>
      <c r="P840" s="217"/>
      <c r="Q840" s="217">
        <f>224.5+33.6/1.5+(12.7+2.9+3)</f>
        <v>265.5</v>
      </c>
      <c r="R840" s="217"/>
      <c r="S840" s="218" t="s">
        <v>133</v>
      </c>
    </row>
    <row r="841" spans="1:19" ht="15" customHeight="1">
      <c r="A841" s="413">
        <f t="shared" si="14"/>
        <v>841</v>
      </c>
      <c r="B841" s="26">
        <v>110</v>
      </c>
      <c r="C841" s="153" t="s">
        <v>103</v>
      </c>
      <c r="D841" s="211" t="s">
        <v>22</v>
      </c>
      <c r="E841" s="212"/>
      <c r="F841" s="213" t="s">
        <v>110</v>
      </c>
      <c r="G841" s="214" t="s">
        <v>1749</v>
      </c>
      <c r="H841" s="213" t="s">
        <v>109</v>
      </c>
      <c r="I841" s="215">
        <v>243.2</v>
      </c>
      <c r="J841" s="216"/>
      <c r="K841" s="216"/>
      <c r="L841" s="216"/>
      <c r="M841" s="216">
        <v>20</v>
      </c>
      <c r="N841" s="216">
        <v>593</v>
      </c>
      <c r="O841" s="217"/>
      <c r="P841" s="217"/>
      <c r="Q841" s="217">
        <f>243.2+33.6/1.5+(12.7+2.9+3)</f>
        <v>284.2</v>
      </c>
      <c r="R841" s="217"/>
      <c r="S841" s="218" t="s">
        <v>132</v>
      </c>
    </row>
    <row r="842" spans="1:19" ht="15" customHeight="1">
      <c r="A842" s="413">
        <f t="shared" si="14"/>
        <v>842</v>
      </c>
      <c r="B842" s="26">
        <v>110</v>
      </c>
      <c r="C842" s="153" t="s">
        <v>103</v>
      </c>
      <c r="D842" s="211" t="s">
        <v>22</v>
      </c>
      <c r="E842" s="212"/>
      <c r="F842" s="213" t="s">
        <v>111</v>
      </c>
      <c r="G842" s="214" t="s">
        <v>1704</v>
      </c>
      <c r="H842" s="213" t="s">
        <v>109</v>
      </c>
      <c r="I842" s="215">
        <v>12.9</v>
      </c>
      <c r="J842" s="216"/>
      <c r="K842" s="216"/>
      <c r="L842" s="216"/>
      <c r="M842" s="216"/>
      <c r="N842" s="216">
        <v>51</v>
      </c>
      <c r="O842" s="217"/>
      <c r="P842" s="217"/>
      <c r="Q842" s="217"/>
      <c r="R842" s="217"/>
      <c r="S842" s="218" t="s">
        <v>134</v>
      </c>
    </row>
    <row r="843" spans="1:19" ht="15" customHeight="1">
      <c r="A843" s="413">
        <f t="shared" si="14"/>
        <v>843</v>
      </c>
      <c r="B843" s="26">
        <v>110</v>
      </c>
      <c r="C843" s="153" t="s">
        <v>103</v>
      </c>
      <c r="D843" s="211" t="s">
        <v>22</v>
      </c>
      <c r="E843" s="212"/>
      <c r="F843" s="213" t="s">
        <v>112</v>
      </c>
      <c r="G843" s="214" t="s">
        <v>1705</v>
      </c>
      <c r="H843" s="213" t="s">
        <v>160</v>
      </c>
      <c r="I843" s="215">
        <v>4.2</v>
      </c>
      <c r="J843" s="216"/>
      <c r="K843" s="216"/>
      <c r="L843" s="216">
        <v>14.2</v>
      </c>
      <c r="M843" s="216"/>
      <c r="N843" s="216"/>
      <c r="O843" s="217"/>
      <c r="P843" s="217">
        <f>I843</f>
        <v>4.2</v>
      </c>
      <c r="Q843" s="217"/>
      <c r="R843" s="217"/>
      <c r="S843" s="218" t="s">
        <v>133</v>
      </c>
    </row>
    <row r="844" spans="1:19" ht="15" customHeight="1">
      <c r="A844" s="413">
        <f t="shared" si="14"/>
        <v>844</v>
      </c>
      <c r="B844" s="26">
        <v>110</v>
      </c>
      <c r="C844" s="153" t="s">
        <v>103</v>
      </c>
      <c r="D844" s="211" t="s">
        <v>22</v>
      </c>
      <c r="E844" s="212"/>
      <c r="F844" s="213" t="s">
        <v>111</v>
      </c>
      <c r="G844" s="214" t="s">
        <v>1706</v>
      </c>
      <c r="H844" s="213" t="s">
        <v>160</v>
      </c>
      <c r="I844" s="215">
        <v>29.76</v>
      </c>
      <c r="J844" s="216"/>
      <c r="K844" s="216"/>
      <c r="L844" s="216"/>
      <c r="M844" s="216"/>
      <c r="N844" s="216">
        <v>76</v>
      </c>
      <c r="O844" s="217"/>
      <c r="P844" s="217"/>
      <c r="Q844" s="217"/>
      <c r="R844" s="217"/>
      <c r="S844" s="218" t="s">
        <v>132</v>
      </c>
    </row>
    <row r="845" spans="1:19" ht="15" customHeight="1">
      <c r="A845" s="413">
        <f t="shared" si="14"/>
        <v>845</v>
      </c>
      <c r="B845" s="26">
        <v>110</v>
      </c>
      <c r="C845" s="153" t="s">
        <v>103</v>
      </c>
      <c r="D845" s="211" t="s">
        <v>22</v>
      </c>
      <c r="E845" s="212"/>
      <c r="F845" s="213" t="s">
        <v>114</v>
      </c>
      <c r="G845" s="214" t="s">
        <v>1735</v>
      </c>
      <c r="H845" s="213" t="s">
        <v>160</v>
      </c>
      <c r="I845" s="215">
        <v>32.6</v>
      </c>
      <c r="J845" s="216"/>
      <c r="K845" s="216"/>
      <c r="L845" s="216"/>
      <c r="M845" s="216"/>
      <c r="N845" s="216">
        <v>66</v>
      </c>
      <c r="O845" s="217"/>
      <c r="P845" s="217"/>
      <c r="Q845" s="217"/>
      <c r="R845" s="217"/>
      <c r="S845" s="218" t="s">
        <v>132</v>
      </c>
    </row>
    <row r="846" spans="1:19" ht="15" customHeight="1">
      <c r="A846" s="413">
        <f t="shared" si="14"/>
        <v>846</v>
      </c>
      <c r="B846" s="26">
        <v>110</v>
      </c>
      <c r="C846" s="153" t="s">
        <v>103</v>
      </c>
      <c r="D846" s="211" t="s">
        <v>22</v>
      </c>
      <c r="E846" s="212"/>
      <c r="F846" s="213" t="s">
        <v>115</v>
      </c>
      <c r="G846" s="214" t="s">
        <v>1707</v>
      </c>
      <c r="H846" s="213" t="s">
        <v>160</v>
      </c>
      <c r="I846" s="215">
        <v>10.6</v>
      </c>
      <c r="J846" s="216"/>
      <c r="K846" s="216"/>
      <c r="L846" s="216"/>
      <c r="M846" s="216"/>
      <c r="N846" s="216">
        <v>48.3</v>
      </c>
      <c r="O846" s="217"/>
      <c r="P846" s="217"/>
      <c r="Q846" s="217"/>
      <c r="R846" s="217"/>
      <c r="S846" s="218" t="s">
        <v>132</v>
      </c>
    </row>
    <row r="847" spans="1:19" ht="15" customHeight="1">
      <c r="A847" s="413">
        <f t="shared" si="14"/>
        <v>847</v>
      </c>
      <c r="B847" s="26">
        <v>110</v>
      </c>
      <c r="C847" s="153" t="s">
        <v>103</v>
      </c>
      <c r="D847" s="211" t="s">
        <v>22</v>
      </c>
      <c r="E847" s="212"/>
      <c r="F847" s="213" t="s">
        <v>116</v>
      </c>
      <c r="G847" s="214" t="s">
        <v>1708</v>
      </c>
      <c r="H847" s="213" t="s">
        <v>160</v>
      </c>
      <c r="I847" s="215">
        <v>7</v>
      </c>
      <c r="J847" s="216"/>
      <c r="K847" s="216"/>
      <c r="L847" s="216">
        <v>29.5</v>
      </c>
      <c r="M847" s="216"/>
      <c r="N847" s="216"/>
      <c r="O847" s="217"/>
      <c r="P847" s="217">
        <f>I847</f>
        <v>7</v>
      </c>
      <c r="Q847" s="217"/>
      <c r="R847" s="217"/>
      <c r="S847" s="218" t="s">
        <v>135</v>
      </c>
    </row>
    <row r="848" spans="1:19" ht="15" customHeight="1">
      <c r="A848" s="413">
        <f t="shared" si="14"/>
        <v>848</v>
      </c>
      <c r="B848" s="26">
        <v>110</v>
      </c>
      <c r="C848" s="153" t="s">
        <v>103</v>
      </c>
      <c r="D848" s="211" t="s">
        <v>22</v>
      </c>
      <c r="E848" s="212"/>
      <c r="F848" s="213" t="s">
        <v>117</v>
      </c>
      <c r="G848" s="214" t="s">
        <v>1750</v>
      </c>
      <c r="H848" s="213" t="s">
        <v>160</v>
      </c>
      <c r="I848" s="215">
        <v>13.1</v>
      </c>
      <c r="J848" s="216"/>
      <c r="K848" s="216"/>
      <c r="L848" s="216">
        <v>42</v>
      </c>
      <c r="M848" s="216"/>
      <c r="N848" s="216"/>
      <c r="O848" s="217"/>
      <c r="P848" s="217">
        <f>I848</f>
        <v>13.1</v>
      </c>
      <c r="Q848" s="217"/>
      <c r="R848" s="217"/>
      <c r="S848" s="218" t="s">
        <v>133</v>
      </c>
    </row>
    <row r="849" spans="1:19" ht="15" customHeight="1">
      <c r="A849" s="413">
        <f t="shared" si="14"/>
        <v>849</v>
      </c>
      <c r="B849" s="26">
        <v>110</v>
      </c>
      <c r="C849" s="153" t="s">
        <v>103</v>
      </c>
      <c r="D849" s="211" t="s">
        <v>22</v>
      </c>
      <c r="E849" s="212"/>
      <c r="F849" s="213" t="s">
        <v>118</v>
      </c>
      <c r="G849" s="214" t="s">
        <v>1751</v>
      </c>
      <c r="H849" s="213" t="s">
        <v>160</v>
      </c>
      <c r="I849" s="215">
        <v>9.4</v>
      </c>
      <c r="J849" s="216"/>
      <c r="K849" s="216"/>
      <c r="L849" s="216">
        <v>41.1</v>
      </c>
      <c r="M849" s="216"/>
      <c r="N849" s="216"/>
      <c r="O849" s="217"/>
      <c r="P849" s="217">
        <f>I849</f>
        <v>9.4</v>
      </c>
      <c r="Q849" s="217"/>
      <c r="R849" s="217"/>
      <c r="S849" s="218" t="s">
        <v>132</v>
      </c>
    </row>
    <row r="850" spans="1:19" ht="15" customHeight="1">
      <c r="A850" s="413">
        <f t="shared" si="14"/>
        <v>850</v>
      </c>
      <c r="B850" s="26">
        <v>110</v>
      </c>
      <c r="C850" s="153" t="s">
        <v>103</v>
      </c>
      <c r="D850" s="211" t="s">
        <v>22</v>
      </c>
      <c r="E850" s="212"/>
      <c r="F850" s="213" t="s">
        <v>37</v>
      </c>
      <c r="G850" s="214" t="s">
        <v>1709</v>
      </c>
      <c r="H850" s="213" t="s">
        <v>160</v>
      </c>
      <c r="I850" s="215">
        <v>15.2</v>
      </c>
      <c r="J850" s="216"/>
      <c r="K850" s="216"/>
      <c r="L850" s="216"/>
      <c r="M850" s="216"/>
      <c r="N850" s="216">
        <v>46.8</v>
      </c>
      <c r="O850" s="217"/>
      <c r="P850" s="217"/>
      <c r="Q850" s="217"/>
      <c r="R850" s="217"/>
      <c r="S850" s="218" t="s">
        <v>133</v>
      </c>
    </row>
    <row r="851" spans="1:19" ht="15" customHeight="1">
      <c r="A851" s="413">
        <f t="shared" si="14"/>
        <v>851</v>
      </c>
      <c r="B851" s="26">
        <v>110</v>
      </c>
      <c r="C851" s="153" t="s">
        <v>103</v>
      </c>
      <c r="D851" s="211" t="s">
        <v>22</v>
      </c>
      <c r="E851" s="212"/>
      <c r="F851" s="213" t="s">
        <v>41</v>
      </c>
      <c r="G851" s="214" t="s">
        <v>1710</v>
      </c>
      <c r="H851" s="213" t="s">
        <v>160</v>
      </c>
      <c r="I851" s="215">
        <v>19.64</v>
      </c>
      <c r="J851" s="216"/>
      <c r="K851" s="216"/>
      <c r="L851" s="216"/>
      <c r="M851" s="216"/>
      <c r="N851" s="216">
        <v>85</v>
      </c>
      <c r="O851" s="217"/>
      <c r="P851" s="217"/>
      <c r="Q851" s="217"/>
      <c r="R851" s="217"/>
      <c r="S851" s="218" t="s">
        <v>133</v>
      </c>
    </row>
    <row r="852" spans="1:19" ht="15" customHeight="1">
      <c r="A852" s="413">
        <f t="shared" si="14"/>
        <v>852</v>
      </c>
      <c r="B852" s="26">
        <v>110</v>
      </c>
      <c r="C852" s="153" t="s">
        <v>103</v>
      </c>
      <c r="D852" s="211" t="s">
        <v>22</v>
      </c>
      <c r="E852" s="212"/>
      <c r="F852" s="213" t="s">
        <v>119</v>
      </c>
      <c r="G852" s="214" t="s">
        <v>1752</v>
      </c>
      <c r="H852" s="213" t="s">
        <v>160</v>
      </c>
      <c r="I852" s="215">
        <v>3.8</v>
      </c>
      <c r="J852" s="216"/>
      <c r="K852" s="216"/>
      <c r="L852" s="216"/>
      <c r="M852" s="216"/>
      <c r="N852" s="216">
        <v>20.5</v>
      </c>
      <c r="O852" s="217"/>
      <c r="P852" s="217"/>
      <c r="Q852" s="217"/>
      <c r="R852" s="217"/>
      <c r="S852" s="218" t="s">
        <v>136</v>
      </c>
    </row>
    <row r="853" spans="1:19" ht="15" customHeight="1">
      <c r="A853" s="413">
        <f t="shared" si="14"/>
        <v>853</v>
      </c>
      <c r="B853" s="26">
        <v>110</v>
      </c>
      <c r="C853" s="153" t="s">
        <v>103</v>
      </c>
      <c r="D853" s="211" t="s">
        <v>22</v>
      </c>
      <c r="E853" s="212"/>
      <c r="F853" s="213" t="s">
        <v>120</v>
      </c>
      <c r="G853" s="214" t="s">
        <v>1753</v>
      </c>
      <c r="H853" s="213" t="s">
        <v>148</v>
      </c>
      <c r="I853" s="215">
        <v>2.9</v>
      </c>
      <c r="J853" s="216">
        <v>17.8</v>
      </c>
      <c r="K853" s="216"/>
      <c r="L853" s="216"/>
      <c r="M853" s="216"/>
      <c r="N853" s="216"/>
      <c r="O853" s="217"/>
      <c r="P853" s="217"/>
      <c r="Q853" s="217"/>
      <c r="R853" s="217">
        <f>I853</f>
        <v>2.9</v>
      </c>
      <c r="S853" s="218" t="s">
        <v>133</v>
      </c>
    </row>
    <row r="854" spans="1:19" ht="15" customHeight="1">
      <c r="A854" s="413">
        <f t="shared" si="14"/>
        <v>854</v>
      </c>
      <c r="B854" s="26">
        <v>110</v>
      </c>
      <c r="C854" s="153" t="s">
        <v>103</v>
      </c>
      <c r="D854" s="211" t="s">
        <v>22</v>
      </c>
      <c r="E854" s="212"/>
      <c r="F854" s="213" t="s">
        <v>121</v>
      </c>
      <c r="G854" s="214" t="s">
        <v>1754</v>
      </c>
      <c r="H854" s="213" t="s">
        <v>148</v>
      </c>
      <c r="I854" s="215">
        <v>2.9</v>
      </c>
      <c r="J854" s="216">
        <v>17.8</v>
      </c>
      <c r="K854" s="216"/>
      <c r="L854" s="216"/>
      <c r="M854" s="216"/>
      <c r="N854" s="216"/>
      <c r="O854" s="217"/>
      <c r="P854" s="217"/>
      <c r="Q854" s="217"/>
      <c r="R854" s="217">
        <f>I854</f>
        <v>2.9</v>
      </c>
      <c r="S854" s="218" t="s">
        <v>133</v>
      </c>
    </row>
    <row r="855" spans="1:19" ht="15" customHeight="1">
      <c r="A855" s="413">
        <f t="shared" si="14"/>
        <v>855</v>
      </c>
      <c r="B855" s="26">
        <v>110</v>
      </c>
      <c r="C855" s="153" t="s">
        <v>103</v>
      </c>
      <c r="D855" s="211" t="s">
        <v>22</v>
      </c>
      <c r="E855" s="212"/>
      <c r="F855" s="213" t="s">
        <v>122</v>
      </c>
      <c r="G855" s="214" t="s">
        <v>1737</v>
      </c>
      <c r="H855" s="213" t="s">
        <v>109</v>
      </c>
      <c r="I855" s="215">
        <v>2.2000000000000002</v>
      </c>
      <c r="J855" s="216" t="s">
        <v>1057</v>
      </c>
      <c r="K855" s="216"/>
      <c r="L855" s="216"/>
      <c r="M855" s="216"/>
      <c r="N855" s="216"/>
      <c r="O855" s="217"/>
      <c r="P855" s="217"/>
      <c r="Q855" s="217"/>
      <c r="R855" s="217"/>
      <c r="S855" s="218" t="s">
        <v>132</v>
      </c>
    </row>
    <row r="856" spans="1:19" ht="15" customHeight="1">
      <c r="A856" s="413">
        <f t="shared" si="14"/>
        <v>856</v>
      </c>
      <c r="B856" s="26">
        <v>110</v>
      </c>
      <c r="C856" s="153" t="s">
        <v>103</v>
      </c>
      <c r="D856" s="211" t="s">
        <v>22</v>
      </c>
      <c r="E856" s="212"/>
      <c r="F856" s="213" t="s">
        <v>122</v>
      </c>
      <c r="G856" s="214" t="s">
        <v>1738</v>
      </c>
      <c r="H856" s="213" t="s">
        <v>160</v>
      </c>
      <c r="I856" s="215">
        <v>2.2000000000000002</v>
      </c>
      <c r="J856" s="216" t="s">
        <v>1057</v>
      </c>
      <c r="K856" s="216"/>
      <c r="L856" s="216"/>
      <c r="M856" s="216"/>
      <c r="N856" s="216"/>
      <c r="O856" s="217"/>
      <c r="P856" s="217"/>
      <c r="Q856" s="217"/>
      <c r="R856" s="217"/>
      <c r="S856" s="218" t="s">
        <v>133</v>
      </c>
    </row>
    <row r="857" spans="1:19" ht="15" customHeight="1">
      <c r="A857" s="413">
        <f t="shared" si="14"/>
        <v>857</v>
      </c>
      <c r="B857" s="26">
        <v>110</v>
      </c>
      <c r="C857" s="153" t="s">
        <v>103</v>
      </c>
      <c r="D857" s="211" t="s">
        <v>22</v>
      </c>
      <c r="E857" s="212"/>
      <c r="F857" s="213" t="s">
        <v>123</v>
      </c>
      <c r="G857" s="214" t="s">
        <v>1739</v>
      </c>
      <c r="H857" s="213" t="s">
        <v>109</v>
      </c>
      <c r="I857" s="215">
        <v>7.8</v>
      </c>
      <c r="J857" s="216"/>
      <c r="K857" s="216"/>
      <c r="L857" s="216"/>
      <c r="M857" s="216"/>
      <c r="N857" s="216">
        <v>26.6</v>
      </c>
      <c r="O857" s="217"/>
      <c r="P857" s="217"/>
      <c r="Q857" s="217">
        <f>I857</f>
        <v>7.8</v>
      </c>
      <c r="R857" s="217"/>
      <c r="S857" s="218" t="s">
        <v>250</v>
      </c>
    </row>
    <row r="858" spans="1:19" ht="15" customHeight="1">
      <c r="A858" s="413">
        <f t="shared" si="14"/>
        <v>858</v>
      </c>
      <c r="B858" s="26">
        <v>110</v>
      </c>
      <c r="C858" s="153" t="s">
        <v>103</v>
      </c>
      <c r="D858" s="211" t="s">
        <v>22</v>
      </c>
      <c r="E858" s="212"/>
      <c r="F858" s="213" t="s">
        <v>124</v>
      </c>
      <c r="G858" s="214">
        <v>34</v>
      </c>
      <c r="H858" s="213" t="s">
        <v>298</v>
      </c>
      <c r="I858" s="215">
        <v>2.8</v>
      </c>
      <c r="J858" s="216"/>
      <c r="K858" s="216"/>
      <c r="L858" s="216"/>
      <c r="M858" s="216">
        <v>11.5</v>
      </c>
      <c r="N858" s="216">
        <v>3.5</v>
      </c>
      <c r="O858" s="217"/>
      <c r="P858" s="217"/>
      <c r="Q858" s="217"/>
      <c r="R858" s="217">
        <f>I858</f>
        <v>2.8</v>
      </c>
      <c r="S858" s="218" t="s">
        <v>1056</v>
      </c>
    </row>
    <row r="859" spans="1:19" ht="15" customHeight="1">
      <c r="A859" s="413">
        <f t="shared" si="14"/>
        <v>859</v>
      </c>
      <c r="B859" s="26">
        <v>110</v>
      </c>
      <c r="C859" s="153" t="s">
        <v>103</v>
      </c>
      <c r="D859" s="211" t="s">
        <v>22</v>
      </c>
      <c r="E859" s="212"/>
      <c r="F859" s="213" t="s">
        <v>123</v>
      </c>
      <c r="G859" s="214" t="s">
        <v>1755</v>
      </c>
      <c r="H859" s="213" t="s">
        <v>12</v>
      </c>
      <c r="I859" s="215">
        <v>7.25</v>
      </c>
      <c r="J859" s="216"/>
      <c r="K859" s="216"/>
      <c r="L859" s="216">
        <v>26.6</v>
      </c>
      <c r="M859" s="216"/>
      <c r="N859" s="216"/>
      <c r="O859" s="217"/>
      <c r="P859" s="217">
        <f>I859</f>
        <v>7.25</v>
      </c>
      <c r="Q859" s="217"/>
      <c r="R859" s="217"/>
      <c r="S859" s="218" t="s">
        <v>137</v>
      </c>
    </row>
    <row r="860" spans="1:19" ht="15" customHeight="1">
      <c r="A860" s="413">
        <f t="shared" si="14"/>
        <v>860</v>
      </c>
      <c r="B860" s="26">
        <v>110</v>
      </c>
      <c r="C860" s="153" t="s">
        <v>103</v>
      </c>
      <c r="D860" s="211" t="s">
        <v>22</v>
      </c>
      <c r="E860" s="212"/>
      <c r="F860" s="213" t="s">
        <v>125</v>
      </c>
      <c r="G860" s="214" t="s">
        <v>1756</v>
      </c>
      <c r="H860" s="213" t="s">
        <v>75</v>
      </c>
      <c r="I860" s="215">
        <v>5.75</v>
      </c>
      <c r="J860" s="216" t="s">
        <v>1058</v>
      </c>
      <c r="K860" s="216"/>
      <c r="L860" s="216"/>
      <c r="M860" s="216"/>
      <c r="N860" s="216"/>
      <c r="O860" s="217"/>
      <c r="P860" s="217"/>
      <c r="Q860" s="217"/>
      <c r="R860" s="217"/>
      <c r="S860" s="218" t="s">
        <v>138</v>
      </c>
    </row>
    <row r="861" spans="1:19" ht="15" customHeight="1">
      <c r="A861" s="413">
        <f t="shared" si="14"/>
        <v>861</v>
      </c>
      <c r="B861" s="26">
        <v>110</v>
      </c>
      <c r="C861" s="153" t="s">
        <v>103</v>
      </c>
      <c r="D861" s="211" t="s">
        <v>22</v>
      </c>
      <c r="E861" s="212"/>
      <c r="F861" s="213" t="s">
        <v>126</v>
      </c>
      <c r="G861" s="214" t="s">
        <v>1757</v>
      </c>
      <c r="H861" s="213" t="s">
        <v>160</v>
      </c>
      <c r="I861" s="215">
        <v>10.4</v>
      </c>
      <c r="J861" s="216"/>
      <c r="K861" s="216"/>
      <c r="L861" s="216">
        <v>39.1</v>
      </c>
      <c r="M861" s="216"/>
      <c r="N861" s="216"/>
      <c r="O861" s="217"/>
      <c r="P861" s="217">
        <f>I861</f>
        <v>10.4</v>
      </c>
      <c r="Q861" s="217"/>
      <c r="R861" s="217"/>
      <c r="S861" s="218" t="s">
        <v>139</v>
      </c>
    </row>
    <row r="862" spans="1:19" ht="15" customHeight="1">
      <c r="A862" s="413">
        <f t="shared" si="14"/>
        <v>862</v>
      </c>
      <c r="B862" s="26">
        <v>110</v>
      </c>
      <c r="C862" s="153" t="s">
        <v>103</v>
      </c>
      <c r="D862" s="211" t="s">
        <v>22</v>
      </c>
      <c r="E862" s="212"/>
      <c r="F862" s="213" t="s">
        <v>127</v>
      </c>
      <c r="G862" s="214" t="s">
        <v>1715</v>
      </c>
      <c r="H862" s="213" t="s">
        <v>160</v>
      </c>
      <c r="I862" s="215">
        <v>20.7</v>
      </c>
      <c r="J862" s="216"/>
      <c r="K862" s="216"/>
      <c r="L862" s="216">
        <v>50.6</v>
      </c>
      <c r="M862" s="216"/>
      <c r="N862" s="216"/>
      <c r="O862" s="217"/>
      <c r="P862" s="217">
        <f>I862</f>
        <v>20.7</v>
      </c>
      <c r="Q862" s="217"/>
      <c r="R862" s="217"/>
      <c r="S862" s="218" t="s">
        <v>133</v>
      </c>
    </row>
    <row r="863" spans="1:19" ht="15" customHeight="1">
      <c r="A863" s="413">
        <f t="shared" si="14"/>
        <v>863</v>
      </c>
      <c r="B863" s="26">
        <v>110</v>
      </c>
      <c r="C863" s="153" t="s">
        <v>103</v>
      </c>
      <c r="D863" s="211" t="s">
        <v>22</v>
      </c>
      <c r="E863" s="212"/>
      <c r="F863" s="213" t="s">
        <v>128</v>
      </c>
      <c r="G863" s="214" t="s">
        <v>1758</v>
      </c>
      <c r="H863" s="213" t="s">
        <v>160</v>
      </c>
      <c r="I863" s="215">
        <v>9.4</v>
      </c>
      <c r="J863" s="216"/>
      <c r="K863" s="216"/>
      <c r="L863" s="216">
        <v>23.7</v>
      </c>
      <c r="M863" s="216"/>
      <c r="N863" s="216"/>
      <c r="O863" s="217"/>
      <c r="P863" s="217">
        <f>I863</f>
        <v>9.4</v>
      </c>
      <c r="Q863" s="217"/>
      <c r="R863" s="217"/>
      <c r="S863" s="218" t="s">
        <v>132</v>
      </c>
    </row>
    <row r="864" spans="1:19" ht="15" customHeight="1">
      <c r="A864" s="413">
        <f t="shared" si="14"/>
        <v>864</v>
      </c>
      <c r="B864" s="26">
        <v>110</v>
      </c>
      <c r="C864" s="153" t="s">
        <v>103</v>
      </c>
      <c r="D864" s="211" t="s">
        <v>22</v>
      </c>
      <c r="E864" s="212"/>
      <c r="F864" s="213" t="s">
        <v>129</v>
      </c>
      <c r="G864" s="214" t="s">
        <v>1718</v>
      </c>
      <c r="H864" s="213" t="s">
        <v>176</v>
      </c>
      <c r="I864" s="215">
        <v>25.79</v>
      </c>
      <c r="J864" s="216"/>
      <c r="K864" s="216"/>
      <c r="L864" s="216"/>
      <c r="M864" s="216"/>
      <c r="N864" s="216">
        <v>63</v>
      </c>
      <c r="O864" s="217"/>
      <c r="P864" s="217"/>
      <c r="Q864" s="217"/>
      <c r="R864" s="217"/>
      <c r="S864" s="218" t="s">
        <v>133</v>
      </c>
    </row>
    <row r="865" spans="1:19" ht="15" customHeight="1">
      <c r="A865" s="413">
        <f t="shared" si="14"/>
        <v>865</v>
      </c>
      <c r="B865" s="26">
        <v>110</v>
      </c>
      <c r="C865" s="153" t="s">
        <v>103</v>
      </c>
      <c r="D865" s="211" t="s">
        <v>22</v>
      </c>
      <c r="E865" s="212"/>
      <c r="F865" s="213" t="s">
        <v>130</v>
      </c>
      <c r="G865" s="214" t="s">
        <v>1759</v>
      </c>
      <c r="H865" s="213" t="s">
        <v>160</v>
      </c>
      <c r="I865" s="215">
        <v>46.17</v>
      </c>
      <c r="J865" s="216"/>
      <c r="K865" s="216"/>
      <c r="L865" s="216"/>
      <c r="M865" s="216"/>
      <c r="N865" s="216">
        <v>58</v>
      </c>
      <c r="O865" s="217"/>
      <c r="P865" s="217"/>
      <c r="Q865" s="217">
        <f>I865</f>
        <v>46.17</v>
      </c>
      <c r="R865" s="217"/>
      <c r="S865" s="218" t="s">
        <v>132</v>
      </c>
    </row>
    <row r="866" spans="1:19" ht="15" customHeight="1">
      <c r="A866" s="413">
        <f t="shared" si="14"/>
        <v>866</v>
      </c>
      <c r="B866" s="26">
        <v>110</v>
      </c>
      <c r="C866" s="153" t="s">
        <v>103</v>
      </c>
      <c r="D866" s="211" t="s">
        <v>22</v>
      </c>
      <c r="E866" s="212"/>
      <c r="F866" s="213" t="s">
        <v>130</v>
      </c>
      <c r="G866" s="214" t="s">
        <v>1760</v>
      </c>
      <c r="H866" s="213" t="s">
        <v>160</v>
      </c>
      <c r="I866" s="215">
        <v>47.88</v>
      </c>
      <c r="J866" s="216"/>
      <c r="K866" s="216"/>
      <c r="L866" s="216"/>
      <c r="M866" s="216"/>
      <c r="N866" s="216">
        <v>51</v>
      </c>
      <c r="O866" s="217"/>
      <c r="P866" s="217"/>
      <c r="Q866" s="217">
        <f>I866</f>
        <v>47.88</v>
      </c>
      <c r="R866" s="217"/>
      <c r="S866" s="218" t="s">
        <v>133</v>
      </c>
    </row>
    <row r="867" spans="1:19" ht="15" customHeight="1">
      <c r="A867" s="413">
        <f t="shared" si="14"/>
        <v>867</v>
      </c>
      <c r="B867" s="26">
        <v>110</v>
      </c>
      <c r="C867" s="153" t="s">
        <v>103</v>
      </c>
      <c r="D867" s="211" t="s">
        <v>22</v>
      </c>
      <c r="E867" s="212"/>
      <c r="F867" s="213" t="s">
        <v>131</v>
      </c>
      <c r="G867" s="214" t="s">
        <v>1761</v>
      </c>
      <c r="H867" s="213" t="s">
        <v>109</v>
      </c>
      <c r="I867" s="215">
        <v>46.25</v>
      </c>
      <c r="J867" s="216"/>
      <c r="K867" s="216"/>
      <c r="L867" s="216"/>
      <c r="M867" s="216"/>
      <c r="N867" s="216">
        <v>62.6</v>
      </c>
      <c r="O867" s="217"/>
      <c r="P867" s="217"/>
      <c r="Q867" s="217">
        <v>13.1</v>
      </c>
      <c r="R867" s="217"/>
      <c r="S867" s="218" t="s">
        <v>251</v>
      </c>
    </row>
    <row r="868" spans="1:19" ht="15" customHeight="1">
      <c r="A868" s="413">
        <f t="shared" si="14"/>
        <v>868</v>
      </c>
      <c r="B868" s="26">
        <v>110</v>
      </c>
      <c r="C868" s="153" t="s">
        <v>103</v>
      </c>
      <c r="D868" s="211" t="s">
        <v>22</v>
      </c>
      <c r="E868" s="212"/>
      <c r="F868" s="213" t="s">
        <v>131</v>
      </c>
      <c r="G868" s="214" t="s">
        <v>1762</v>
      </c>
      <c r="H868" s="213" t="s">
        <v>160</v>
      </c>
      <c r="I868" s="215">
        <v>42.01</v>
      </c>
      <c r="J868" s="216"/>
      <c r="K868" s="216"/>
      <c r="L868" s="216"/>
      <c r="M868" s="216"/>
      <c r="N868" s="216">
        <v>63</v>
      </c>
      <c r="O868" s="217"/>
      <c r="P868" s="217"/>
      <c r="Q868" s="217">
        <v>13.1</v>
      </c>
      <c r="R868" s="217"/>
      <c r="S868" s="218" t="s">
        <v>252</v>
      </c>
    </row>
    <row r="869" spans="1:19" ht="15" customHeight="1">
      <c r="A869" s="413">
        <f t="shared" si="14"/>
        <v>869</v>
      </c>
      <c r="B869" s="26">
        <v>111</v>
      </c>
      <c r="C869" s="153" t="s">
        <v>852</v>
      </c>
      <c r="D869" s="211" t="s">
        <v>22</v>
      </c>
      <c r="E869" s="212"/>
      <c r="F869" s="213" t="s">
        <v>1043</v>
      </c>
      <c r="G869" s="214" t="s">
        <v>1710</v>
      </c>
      <c r="H869" s="213" t="s">
        <v>160</v>
      </c>
      <c r="I869" s="215">
        <v>11.4</v>
      </c>
      <c r="J869" s="216"/>
      <c r="K869" s="216"/>
      <c r="L869" s="216"/>
      <c r="M869" s="216"/>
      <c r="N869" s="216">
        <v>48</v>
      </c>
      <c r="O869" s="217"/>
      <c r="P869" s="217">
        <v>1.9</v>
      </c>
      <c r="Q869" s="217"/>
      <c r="R869" s="217"/>
      <c r="S869" s="218"/>
    </row>
    <row r="870" spans="1:19" ht="15" customHeight="1">
      <c r="A870" s="413">
        <f t="shared" si="14"/>
        <v>870</v>
      </c>
      <c r="B870" s="26">
        <v>111</v>
      </c>
      <c r="C870" s="153" t="s">
        <v>852</v>
      </c>
      <c r="D870" s="211" t="s">
        <v>22</v>
      </c>
      <c r="E870" s="212"/>
      <c r="F870" s="213" t="s">
        <v>1044</v>
      </c>
      <c r="G870" s="214" t="s">
        <v>1705</v>
      </c>
      <c r="H870" s="213" t="s">
        <v>160</v>
      </c>
      <c r="I870" s="215">
        <v>1.9</v>
      </c>
      <c r="J870" s="216"/>
      <c r="K870" s="216"/>
      <c r="L870" s="216"/>
      <c r="M870" s="216"/>
      <c r="N870" s="216">
        <f>12.5-2.5</f>
        <v>10</v>
      </c>
      <c r="O870" s="217"/>
      <c r="P870" s="217">
        <v>23.625</v>
      </c>
      <c r="Q870" s="217"/>
      <c r="R870" s="217"/>
      <c r="S870" s="218"/>
    </row>
    <row r="871" spans="1:19" ht="15" customHeight="1">
      <c r="A871" s="413">
        <f t="shared" si="14"/>
        <v>871</v>
      </c>
      <c r="B871" s="26">
        <v>111</v>
      </c>
      <c r="C871" s="153" t="s">
        <v>852</v>
      </c>
      <c r="D871" s="211" t="s">
        <v>22</v>
      </c>
      <c r="E871" s="212"/>
      <c r="F871" s="213" t="s">
        <v>1044</v>
      </c>
      <c r="G871" s="214" t="s">
        <v>1727</v>
      </c>
      <c r="H871" s="213" t="s">
        <v>160</v>
      </c>
      <c r="I871" s="215">
        <f>18.9</f>
        <v>18.899999999999999</v>
      </c>
      <c r="J871" s="216"/>
      <c r="K871" s="216"/>
      <c r="L871" s="216"/>
      <c r="M871" s="216"/>
      <c r="N871" s="216">
        <f>23.7-1.9</f>
        <v>21.8</v>
      </c>
      <c r="O871" s="217"/>
      <c r="P871" s="217">
        <v>17.274999999999999</v>
      </c>
      <c r="Q871" s="217"/>
      <c r="R871" s="217"/>
      <c r="S871" s="218"/>
    </row>
    <row r="872" spans="1:19" ht="15" customHeight="1">
      <c r="A872" s="413">
        <f t="shared" si="14"/>
        <v>872</v>
      </c>
      <c r="B872" s="26">
        <v>111</v>
      </c>
      <c r="C872" s="153" t="s">
        <v>852</v>
      </c>
      <c r="D872" s="211" t="s">
        <v>22</v>
      </c>
      <c r="E872" s="212"/>
      <c r="F872" s="213" t="s">
        <v>123</v>
      </c>
      <c r="G872" s="214" t="s">
        <v>1761</v>
      </c>
      <c r="H872" s="213" t="s">
        <v>160</v>
      </c>
      <c r="I872" s="215">
        <v>13.82</v>
      </c>
      <c r="J872" s="216"/>
      <c r="K872" s="216"/>
      <c r="L872" s="216">
        <v>19.64</v>
      </c>
      <c r="M872" s="216"/>
      <c r="N872" s="216"/>
      <c r="O872" s="217"/>
      <c r="P872" s="217">
        <f t="shared" ref="P872:P879" si="15">I872</f>
        <v>13.82</v>
      </c>
      <c r="Q872" s="217"/>
      <c r="R872" s="217"/>
      <c r="S872" s="218"/>
    </row>
    <row r="873" spans="1:19" ht="15" customHeight="1">
      <c r="A873" s="413">
        <f t="shared" si="14"/>
        <v>873</v>
      </c>
      <c r="B873" s="26">
        <v>111</v>
      </c>
      <c r="C873" s="153" t="s">
        <v>852</v>
      </c>
      <c r="D873" s="211" t="s">
        <v>22</v>
      </c>
      <c r="E873" s="212"/>
      <c r="F873" s="213" t="s">
        <v>1045</v>
      </c>
      <c r="G873" s="214" t="s">
        <v>1763</v>
      </c>
      <c r="H873" s="213" t="s">
        <v>160</v>
      </c>
      <c r="I873" s="215">
        <v>34.200000000000003</v>
      </c>
      <c r="J873" s="216"/>
      <c r="K873" s="216"/>
      <c r="L873" s="216"/>
      <c r="M873" s="216"/>
      <c r="N873" s="216">
        <f>100.2-7*2.5</f>
        <v>82.7</v>
      </c>
      <c r="O873" s="217"/>
      <c r="P873" s="217">
        <f t="shared" si="15"/>
        <v>34.200000000000003</v>
      </c>
      <c r="Q873" s="217"/>
      <c r="R873" s="217"/>
      <c r="S873" s="218"/>
    </row>
    <row r="874" spans="1:19" ht="15" customHeight="1">
      <c r="A874" s="413">
        <f t="shared" si="14"/>
        <v>874</v>
      </c>
      <c r="B874" s="26">
        <v>111</v>
      </c>
      <c r="C874" s="153" t="s">
        <v>852</v>
      </c>
      <c r="D874" s="211" t="s">
        <v>22</v>
      </c>
      <c r="E874" s="212"/>
      <c r="F874" s="213" t="s">
        <v>177</v>
      </c>
      <c r="G874" s="214" t="s">
        <v>1764</v>
      </c>
      <c r="H874" s="213" t="s">
        <v>160</v>
      </c>
      <c r="I874" s="215">
        <v>13.8</v>
      </c>
      <c r="J874" s="216"/>
      <c r="K874" s="216"/>
      <c r="L874" s="216"/>
      <c r="M874" s="216"/>
      <c r="N874" s="216">
        <f>55.5-2.5</f>
        <v>53</v>
      </c>
      <c r="O874" s="217"/>
      <c r="P874" s="217">
        <f t="shared" si="15"/>
        <v>13.8</v>
      </c>
      <c r="Q874" s="217"/>
      <c r="R874" s="217"/>
      <c r="S874" s="218"/>
    </row>
    <row r="875" spans="1:19" ht="15" customHeight="1">
      <c r="A875" s="413">
        <f t="shared" si="14"/>
        <v>875</v>
      </c>
      <c r="B875" s="26">
        <v>111</v>
      </c>
      <c r="C875" s="153" t="s">
        <v>852</v>
      </c>
      <c r="D875" s="211" t="s">
        <v>22</v>
      </c>
      <c r="E875" s="212"/>
      <c r="F875" s="213" t="s">
        <v>1046</v>
      </c>
      <c r="G875" s="214" t="s">
        <v>1765</v>
      </c>
      <c r="H875" s="213" t="s">
        <v>160</v>
      </c>
      <c r="I875" s="215">
        <v>8.6</v>
      </c>
      <c r="J875" s="216"/>
      <c r="K875" s="216"/>
      <c r="L875" s="216"/>
      <c r="M875" s="216"/>
      <c r="N875" s="216">
        <f>35.2-2.5</f>
        <v>32.700000000000003</v>
      </c>
      <c r="O875" s="217"/>
      <c r="P875" s="217">
        <f t="shared" si="15"/>
        <v>8.6</v>
      </c>
      <c r="Q875" s="217"/>
      <c r="R875" s="217"/>
      <c r="S875" s="218"/>
    </row>
    <row r="876" spans="1:19" ht="15" customHeight="1">
      <c r="A876" s="413">
        <f t="shared" si="14"/>
        <v>876</v>
      </c>
      <c r="B876" s="26">
        <v>111</v>
      </c>
      <c r="C876" s="153" t="s">
        <v>852</v>
      </c>
      <c r="D876" s="211" t="s">
        <v>22</v>
      </c>
      <c r="E876" s="212"/>
      <c r="F876" s="213" t="s">
        <v>1046</v>
      </c>
      <c r="G876" s="214" t="s">
        <v>1766</v>
      </c>
      <c r="H876" s="213" t="s">
        <v>160</v>
      </c>
      <c r="I876" s="215">
        <v>8.6</v>
      </c>
      <c r="J876" s="216"/>
      <c r="K876" s="216"/>
      <c r="L876" s="216"/>
      <c r="M876" s="216"/>
      <c r="N876" s="216">
        <f>35.2-2.5</f>
        <v>32.700000000000003</v>
      </c>
      <c r="O876" s="217"/>
      <c r="P876" s="217">
        <f t="shared" si="15"/>
        <v>8.6</v>
      </c>
      <c r="Q876" s="217"/>
      <c r="R876" s="217"/>
      <c r="S876" s="218"/>
    </row>
    <row r="877" spans="1:19" ht="15" customHeight="1">
      <c r="A877" s="413">
        <f t="shared" si="14"/>
        <v>877</v>
      </c>
      <c r="B877" s="26">
        <v>111</v>
      </c>
      <c r="C877" s="153" t="s">
        <v>852</v>
      </c>
      <c r="D877" s="211" t="s">
        <v>22</v>
      </c>
      <c r="E877" s="212"/>
      <c r="F877" s="213" t="s">
        <v>31</v>
      </c>
      <c r="G877" s="214" t="s">
        <v>1767</v>
      </c>
      <c r="H877" s="213" t="s">
        <v>160</v>
      </c>
      <c r="I877" s="215">
        <v>15.4</v>
      </c>
      <c r="J877" s="216"/>
      <c r="K877" s="216"/>
      <c r="L877" s="216"/>
      <c r="M877" s="216"/>
      <c r="N877" s="216">
        <f>56.1-2.5</f>
        <v>53.6</v>
      </c>
      <c r="O877" s="217"/>
      <c r="P877" s="217">
        <f t="shared" si="15"/>
        <v>15.4</v>
      </c>
      <c r="Q877" s="217"/>
      <c r="R877" s="217"/>
      <c r="S877" s="218"/>
    </row>
    <row r="878" spans="1:19" ht="15" customHeight="1">
      <c r="A878" s="413">
        <f t="shared" si="14"/>
        <v>878</v>
      </c>
      <c r="B878" s="26">
        <v>111</v>
      </c>
      <c r="C878" s="153" t="s">
        <v>852</v>
      </c>
      <c r="D878" s="211" t="s">
        <v>22</v>
      </c>
      <c r="E878" s="212"/>
      <c r="F878" s="213" t="s">
        <v>1047</v>
      </c>
      <c r="G878" s="214" t="s">
        <v>1753</v>
      </c>
      <c r="H878" s="213" t="s">
        <v>109</v>
      </c>
      <c r="I878" s="215">
        <v>3.6</v>
      </c>
      <c r="J878" s="216">
        <v>19.399999999999999</v>
      </c>
      <c r="K878" s="216"/>
      <c r="L878" s="216"/>
      <c r="M878" s="216"/>
      <c r="N878" s="216"/>
      <c r="O878" s="217"/>
      <c r="P878" s="217">
        <f t="shared" si="15"/>
        <v>3.6</v>
      </c>
      <c r="Q878" s="217"/>
      <c r="R878" s="217"/>
      <c r="S878" s="218"/>
    </row>
    <row r="879" spans="1:19" ht="15" customHeight="1">
      <c r="A879" s="413">
        <f t="shared" si="14"/>
        <v>879</v>
      </c>
      <c r="B879" s="26">
        <v>111</v>
      </c>
      <c r="C879" s="153" t="s">
        <v>852</v>
      </c>
      <c r="D879" s="211" t="s">
        <v>22</v>
      </c>
      <c r="E879" s="212"/>
      <c r="F879" s="213" t="s">
        <v>1047</v>
      </c>
      <c r="G879" s="214" t="s">
        <v>1754</v>
      </c>
      <c r="H879" s="213" t="s">
        <v>109</v>
      </c>
      <c r="I879" s="215">
        <v>4.3</v>
      </c>
      <c r="J879" s="216">
        <v>21.4</v>
      </c>
      <c r="K879" s="216"/>
      <c r="L879" s="216"/>
      <c r="M879" s="216"/>
      <c r="N879" s="216"/>
      <c r="O879" s="217"/>
      <c r="P879" s="217">
        <f t="shared" si="15"/>
        <v>4.3</v>
      </c>
      <c r="Q879" s="217"/>
      <c r="R879" s="217"/>
      <c r="S879" s="218"/>
    </row>
    <row r="880" spans="1:19" ht="15" customHeight="1">
      <c r="A880" s="413">
        <f t="shared" si="14"/>
        <v>880</v>
      </c>
      <c r="B880" s="26">
        <v>111</v>
      </c>
      <c r="C880" s="153" t="s">
        <v>852</v>
      </c>
      <c r="D880" s="211" t="s">
        <v>22</v>
      </c>
      <c r="E880" s="212"/>
      <c r="F880" s="213" t="s">
        <v>54</v>
      </c>
      <c r="G880" s="214" t="s">
        <v>67</v>
      </c>
      <c r="H880" s="213" t="s">
        <v>160</v>
      </c>
      <c r="I880" s="215">
        <v>2152</v>
      </c>
      <c r="J880" s="216"/>
      <c r="K880" s="216"/>
      <c r="L880" s="216"/>
      <c r="M880" s="216"/>
      <c r="N880" s="216"/>
      <c r="O880" s="217">
        <v>2704</v>
      </c>
      <c r="P880" s="217"/>
      <c r="Q880" s="217"/>
      <c r="R880" s="217"/>
      <c r="S880" s="218"/>
    </row>
    <row r="881" spans="1:19" ht="15" customHeight="1">
      <c r="A881" s="413">
        <f t="shared" si="14"/>
        <v>881</v>
      </c>
      <c r="B881" s="26">
        <v>111</v>
      </c>
      <c r="C881" s="153" t="s">
        <v>852</v>
      </c>
      <c r="D881" s="211" t="s">
        <v>22</v>
      </c>
      <c r="E881" s="212"/>
      <c r="F881" s="213" t="s">
        <v>143</v>
      </c>
      <c r="G881" s="214" t="s">
        <v>71</v>
      </c>
      <c r="H881" s="213" t="s">
        <v>109</v>
      </c>
      <c r="I881" s="215">
        <v>100</v>
      </c>
      <c r="J881" s="216"/>
      <c r="K881" s="216"/>
      <c r="L881" s="216"/>
      <c r="M881" s="216"/>
      <c r="N881" s="216"/>
      <c r="O881" s="217"/>
      <c r="P881" s="217"/>
      <c r="Q881" s="217"/>
      <c r="R881" s="217"/>
      <c r="S881" s="218"/>
    </row>
    <row r="882" spans="1:19" ht="15" customHeight="1">
      <c r="A882" s="413">
        <f t="shared" si="14"/>
        <v>882</v>
      </c>
      <c r="B882" s="26">
        <v>111</v>
      </c>
      <c r="C882" s="153" t="s">
        <v>852</v>
      </c>
      <c r="D882" s="211" t="s">
        <v>22</v>
      </c>
      <c r="E882" s="212"/>
      <c r="F882" s="213" t="s">
        <v>887</v>
      </c>
      <c r="G882" s="214" t="s">
        <v>1768</v>
      </c>
      <c r="H882" s="213" t="s">
        <v>72</v>
      </c>
      <c r="I882" s="215">
        <v>21</v>
      </c>
      <c r="J882" s="216"/>
      <c r="K882" s="216"/>
      <c r="L882" s="216"/>
      <c r="M882" s="216"/>
      <c r="N882" s="216"/>
      <c r="O882" s="217"/>
      <c r="P882" s="217">
        <f>I882</f>
        <v>21</v>
      </c>
      <c r="Q882" s="217"/>
      <c r="R882" s="217"/>
      <c r="S882" s="218"/>
    </row>
    <row r="883" spans="1:19" ht="15" customHeight="1">
      <c r="A883" s="413">
        <f t="shared" si="14"/>
        <v>883</v>
      </c>
      <c r="B883" s="26">
        <v>111</v>
      </c>
      <c r="C883" s="153" t="s">
        <v>852</v>
      </c>
      <c r="D883" s="211" t="s">
        <v>22</v>
      </c>
      <c r="E883" s="212"/>
      <c r="F883" s="213" t="s">
        <v>1048</v>
      </c>
      <c r="G883" s="214" t="s">
        <v>1769</v>
      </c>
      <c r="H883" s="213" t="s">
        <v>160</v>
      </c>
      <c r="I883" s="215">
        <v>13.4</v>
      </c>
      <c r="J883" s="216"/>
      <c r="K883" s="216"/>
      <c r="L883" s="216"/>
      <c r="M883" s="216"/>
      <c r="N883" s="216">
        <f>51.7-2.5</f>
        <v>49.2</v>
      </c>
      <c r="O883" s="217"/>
      <c r="P883" s="217">
        <f>I883</f>
        <v>13.4</v>
      </c>
      <c r="Q883" s="217"/>
      <c r="R883" s="217"/>
      <c r="S883" s="218"/>
    </row>
    <row r="884" spans="1:19" ht="15" customHeight="1">
      <c r="A884" s="413">
        <f t="shared" si="14"/>
        <v>884</v>
      </c>
      <c r="B884" s="26">
        <v>111</v>
      </c>
      <c r="C884" s="153" t="s">
        <v>852</v>
      </c>
      <c r="D884" s="211" t="s">
        <v>22</v>
      </c>
      <c r="E884" s="212"/>
      <c r="F884" s="213" t="s">
        <v>125</v>
      </c>
      <c r="G884" s="214"/>
      <c r="H884" s="213" t="s">
        <v>298</v>
      </c>
      <c r="I884" s="215">
        <v>2.5</v>
      </c>
      <c r="J884" s="216"/>
      <c r="K884" s="216"/>
      <c r="L884" s="216"/>
      <c r="M884" s="216">
        <v>2.3849999999999998</v>
      </c>
      <c r="N884" s="216"/>
      <c r="O884" s="217"/>
      <c r="P884" s="217"/>
      <c r="Q884" s="217"/>
      <c r="R884" s="217">
        <v>2.5</v>
      </c>
      <c r="S884" s="218" t="s">
        <v>1054</v>
      </c>
    </row>
    <row r="885" spans="1:19" ht="15" customHeight="1">
      <c r="A885" s="413">
        <f t="shared" si="14"/>
        <v>885</v>
      </c>
      <c r="B885" s="26">
        <v>111</v>
      </c>
      <c r="C885" s="153" t="s">
        <v>852</v>
      </c>
      <c r="D885" s="211" t="s">
        <v>22</v>
      </c>
      <c r="E885" s="212"/>
      <c r="F885" s="213" t="s">
        <v>1049</v>
      </c>
      <c r="G885" s="214"/>
      <c r="H885" s="213" t="s">
        <v>820</v>
      </c>
      <c r="I885" s="215">
        <f>26.6*1.4*1.5</f>
        <v>55.86</v>
      </c>
      <c r="J885" s="216"/>
      <c r="K885" s="216"/>
      <c r="L885" s="216"/>
      <c r="M885" s="216"/>
      <c r="N885" s="216"/>
      <c r="O885" s="217"/>
      <c r="P885" s="217"/>
      <c r="Q885" s="217"/>
      <c r="R885" s="217"/>
      <c r="S885" s="218"/>
    </row>
    <row r="886" spans="1:19" ht="15" customHeight="1">
      <c r="A886" s="413">
        <f t="shared" si="14"/>
        <v>886</v>
      </c>
      <c r="B886" s="26">
        <v>111</v>
      </c>
      <c r="C886" s="153" t="s">
        <v>852</v>
      </c>
      <c r="D886" s="211" t="s">
        <v>22</v>
      </c>
      <c r="E886" s="212"/>
      <c r="F886" s="213" t="s">
        <v>1050</v>
      </c>
      <c r="G886" s="214"/>
      <c r="H886" s="213" t="s">
        <v>820</v>
      </c>
      <c r="I886" s="215">
        <f>26.6*1.4*1.5</f>
        <v>55.86</v>
      </c>
      <c r="J886" s="216"/>
      <c r="K886" s="216"/>
      <c r="L886" s="216"/>
      <c r="M886" s="216"/>
      <c r="N886" s="216"/>
      <c r="O886" s="217"/>
      <c r="P886" s="217"/>
      <c r="Q886" s="217"/>
      <c r="R886" s="217"/>
      <c r="S886" s="218"/>
    </row>
    <row r="887" spans="1:19" ht="15" customHeight="1">
      <c r="A887" s="413">
        <f t="shared" si="14"/>
        <v>887</v>
      </c>
      <c r="B887" s="26">
        <v>111</v>
      </c>
      <c r="C887" s="153" t="s">
        <v>852</v>
      </c>
      <c r="D887" s="211" t="s">
        <v>22</v>
      </c>
      <c r="E887" s="212"/>
      <c r="F887" s="213" t="s">
        <v>1051</v>
      </c>
      <c r="G887" s="214"/>
      <c r="H887" s="213" t="s">
        <v>820</v>
      </c>
      <c r="I887" s="215">
        <f>26.6*1.4*1.5</f>
        <v>55.86</v>
      </c>
      <c r="J887" s="216"/>
      <c r="K887" s="216"/>
      <c r="L887" s="216"/>
      <c r="M887" s="216"/>
      <c r="N887" s="216"/>
      <c r="O887" s="217"/>
      <c r="P887" s="217"/>
      <c r="Q887" s="217"/>
      <c r="R887" s="217"/>
      <c r="S887" s="218"/>
    </row>
    <row r="888" spans="1:19" ht="15" customHeight="1">
      <c r="A888" s="413">
        <f t="shared" si="14"/>
        <v>888</v>
      </c>
      <c r="B888" s="26">
        <v>111</v>
      </c>
      <c r="C888" s="153" t="s">
        <v>852</v>
      </c>
      <c r="D888" s="211" t="s">
        <v>22</v>
      </c>
      <c r="E888" s="212"/>
      <c r="F888" s="213" t="s">
        <v>64</v>
      </c>
      <c r="G888" s="214"/>
      <c r="H888" s="213" t="s">
        <v>68</v>
      </c>
      <c r="I888" s="215">
        <f>26.6*3.7*1.5</f>
        <v>147.63000000000002</v>
      </c>
      <c r="J888" s="216"/>
      <c r="K888" s="216"/>
      <c r="L888" s="216"/>
      <c r="M888" s="216">
        <f>12*3+14*0.93*0.57+11*1.4*0.57</f>
        <v>52.199399999999997</v>
      </c>
      <c r="N888" s="216"/>
      <c r="O888" s="217"/>
      <c r="P888" s="217"/>
      <c r="Q888" s="217"/>
      <c r="R888" s="217"/>
      <c r="S888" s="218"/>
    </row>
    <row r="889" spans="1:19" ht="15" customHeight="1">
      <c r="A889" s="413">
        <f t="shared" si="14"/>
        <v>889</v>
      </c>
      <c r="B889" s="26">
        <v>111</v>
      </c>
      <c r="C889" s="153" t="s">
        <v>852</v>
      </c>
      <c r="D889" s="211" t="s">
        <v>22</v>
      </c>
      <c r="E889" s="212"/>
      <c r="F889" s="213" t="s">
        <v>1052</v>
      </c>
      <c r="G889" s="214"/>
      <c r="H889" s="213" t="s">
        <v>160</v>
      </c>
      <c r="I889" s="215">
        <f>3.7*3.7</f>
        <v>13.690000000000001</v>
      </c>
      <c r="J889" s="216"/>
      <c r="K889" s="216"/>
      <c r="L889" s="216"/>
      <c r="M889" s="216"/>
      <c r="N889" s="216">
        <f>3.7*3.7*3</f>
        <v>41.070000000000007</v>
      </c>
      <c r="O889" s="217"/>
      <c r="P889" s="217">
        <f>I889</f>
        <v>13.690000000000001</v>
      </c>
      <c r="Q889" s="217"/>
      <c r="R889" s="217"/>
      <c r="S889" s="218"/>
    </row>
    <row r="890" spans="1:19" ht="15" customHeight="1">
      <c r="A890" s="413">
        <f t="shared" si="14"/>
        <v>890</v>
      </c>
      <c r="B890" s="26">
        <v>112</v>
      </c>
      <c r="C890" s="153" t="s">
        <v>140</v>
      </c>
      <c r="D890" s="211" t="s">
        <v>22</v>
      </c>
      <c r="E890" s="212"/>
      <c r="F890" s="213" t="s">
        <v>141</v>
      </c>
      <c r="G890" s="214" t="s">
        <v>1761</v>
      </c>
      <c r="H890" s="213" t="s">
        <v>160</v>
      </c>
      <c r="I890" s="215">
        <v>32</v>
      </c>
      <c r="J890" s="216"/>
      <c r="K890" s="216"/>
      <c r="L890" s="216"/>
      <c r="M890" s="216"/>
      <c r="N890" s="216">
        <v>54</v>
      </c>
      <c r="O890" s="217"/>
      <c r="P890" s="217"/>
      <c r="Q890" s="217">
        <v>13.1</v>
      </c>
      <c r="R890" s="217"/>
      <c r="S890" s="218" t="s">
        <v>132</v>
      </c>
    </row>
    <row r="891" spans="1:19" ht="15" customHeight="1">
      <c r="A891" s="413">
        <f t="shared" si="14"/>
        <v>891</v>
      </c>
      <c r="B891" s="26">
        <v>112</v>
      </c>
      <c r="C891" s="153" t="s">
        <v>140</v>
      </c>
      <c r="D891" s="211" t="s">
        <v>22</v>
      </c>
      <c r="E891" s="212"/>
      <c r="F891" s="213" t="s">
        <v>141</v>
      </c>
      <c r="G891" s="214" t="s">
        <v>1762</v>
      </c>
      <c r="H891" s="213" t="s">
        <v>160</v>
      </c>
      <c r="I891" s="215">
        <v>27.08</v>
      </c>
      <c r="J891" s="216"/>
      <c r="K891" s="216"/>
      <c r="L891" s="216"/>
      <c r="M891" s="216"/>
      <c r="N891" s="216">
        <v>44</v>
      </c>
      <c r="O891" s="217"/>
      <c r="P891" s="217"/>
      <c r="Q891" s="217">
        <v>13.1</v>
      </c>
      <c r="R891" s="217"/>
      <c r="S891" s="218" t="s">
        <v>133</v>
      </c>
    </row>
    <row r="892" spans="1:19" ht="15" customHeight="1">
      <c r="A892" s="413">
        <f t="shared" si="14"/>
        <v>892</v>
      </c>
      <c r="B892" s="26">
        <v>112</v>
      </c>
      <c r="C892" s="153" t="s">
        <v>140</v>
      </c>
      <c r="D892" s="211" t="s">
        <v>22</v>
      </c>
      <c r="E892" s="212"/>
      <c r="F892" s="213" t="s">
        <v>143</v>
      </c>
      <c r="G892" s="214" t="s">
        <v>1703</v>
      </c>
      <c r="H892" s="213" t="s">
        <v>109</v>
      </c>
      <c r="I892" s="215">
        <v>181.72</v>
      </c>
      <c r="J892" s="216"/>
      <c r="K892" s="216"/>
      <c r="L892" s="216"/>
      <c r="M892" s="216">
        <v>20</v>
      </c>
      <c r="N892" s="216">
        <v>590</v>
      </c>
      <c r="O892" s="217"/>
      <c r="P892" s="217"/>
      <c r="Q892" s="217"/>
      <c r="R892" s="217"/>
      <c r="S892" s="218"/>
    </row>
    <row r="893" spans="1:19" ht="15" customHeight="1">
      <c r="A893" s="413">
        <f t="shared" si="14"/>
        <v>893</v>
      </c>
      <c r="B893" s="26">
        <v>112</v>
      </c>
      <c r="C893" s="153" t="s">
        <v>140</v>
      </c>
      <c r="D893" s="211" t="s">
        <v>22</v>
      </c>
      <c r="E893" s="212"/>
      <c r="F893" s="213" t="s">
        <v>143</v>
      </c>
      <c r="G893" s="214" t="s">
        <v>1749</v>
      </c>
      <c r="H893" s="213" t="s">
        <v>109</v>
      </c>
      <c r="I893" s="215">
        <v>149.87</v>
      </c>
      <c r="J893" s="216"/>
      <c r="K893" s="216"/>
      <c r="L893" s="216"/>
      <c r="M893" s="216">
        <v>20</v>
      </c>
      <c r="N893" s="216">
        <v>593</v>
      </c>
      <c r="O893" s="217"/>
      <c r="P893" s="217"/>
      <c r="Q893" s="217"/>
      <c r="R893" s="217"/>
      <c r="S893" s="218"/>
    </row>
    <row r="894" spans="1:19" ht="15" customHeight="1">
      <c r="A894" s="413">
        <f t="shared" si="14"/>
        <v>894</v>
      </c>
      <c r="B894" s="26">
        <v>112</v>
      </c>
      <c r="C894" s="153" t="s">
        <v>140</v>
      </c>
      <c r="D894" s="211" t="s">
        <v>22</v>
      </c>
      <c r="E894" s="212"/>
      <c r="F894" s="213" t="s">
        <v>144</v>
      </c>
      <c r="G894" s="214" t="s">
        <v>1704</v>
      </c>
      <c r="H894" s="213" t="s">
        <v>109</v>
      </c>
      <c r="I894" s="215">
        <v>7.4</v>
      </c>
      <c r="J894" s="216"/>
      <c r="K894" s="216"/>
      <c r="L894" s="216"/>
      <c r="M894" s="216"/>
      <c r="N894" s="216">
        <f>31.7-5*1.9</f>
        <v>22.2</v>
      </c>
      <c r="O894" s="217"/>
      <c r="P894" s="217">
        <f>I894</f>
        <v>7.4</v>
      </c>
      <c r="Q894" s="217"/>
      <c r="R894" s="217"/>
      <c r="S894" s="218"/>
    </row>
    <row r="895" spans="1:19" ht="15" customHeight="1">
      <c r="A895" s="413">
        <f t="shared" si="14"/>
        <v>895</v>
      </c>
      <c r="B895" s="26">
        <v>112</v>
      </c>
      <c r="C895" s="153" t="s">
        <v>140</v>
      </c>
      <c r="D895" s="211" t="s">
        <v>22</v>
      </c>
      <c r="E895" s="212"/>
      <c r="F895" s="213" t="s">
        <v>112</v>
      </c>
      <c r="G895" s="214" t="s">
        <v>1705</v>
      </c>
      <c r="H895" s="213" t="s">
        <v>109</v>
      </c>
      <c r="I895" s="215">
        <v>3.9</v>
      </c>
      <c r="J895" s="216"/>
      <c r="K895" s="216"/>
      <c r="L895" s="216">
        <f>22.8-3*2.4-1.9</f>
        <v>13.700000000000001</v>
      </c>
      <c r="M895" s="216"/>
      <c r="N895" s="216"/>
      <c r="O895" s="217">
        <f>I895</f>
        <v>3.9</v>
      </c>
      <c r="P895" s="217"/>
      <c r="Q895" s="217"/>
      <c r="R895" s="217"/>
      <c r="S895" s="218" t="s">
        <v>133</v>
      </c>
    </row>
    <row r="896" spans="1:19" ht="15" customHeight="1">
      <c r="A896" s="413">
        <f t="shared" si="14"/>
        <v>896</v>
      </c>
      <c r="B896" s="26">
        <v>112</v>
      </c>
      <c r="C896" s="153" t="s">
        <v>140</v>
      </c>
      <c r="D896" s="211" t="s">
        <v>22</v>
      </c>
      <c r="E896" s="212"/>
      <c r="F896" s="213" t="s">
        <v>145</v>
      </c>
      <c r="G896" s="214" t="s">
        <v>1706</v>
      </c>
      <c r="H896" s="213" t="s">
        <v>160</v>
      </c>
      <c r="I896" s="215">
        <v>5</v>
      </c>
      <c r="J896" s="216"/>
      <c r="K896" s="216"/>
      <c r="L896" s="216">
        <v>76</v>
      </c>
      <c r="M896" s="216"/>
      <c r="N896" s="216">
        <f>21.4-3*1.9</f>
        <v>15.7</v>
      </c>
      <c r="O896" s="217">
        <f>I896</f>
        <v>5</v>
      </c>
      <c r="P896" s="217"/>
      <c r="Q896" s="217"/>
      <c r="R896" s="217"/>
      <c r="S896" s="218"/>
    </row>
    <row r="897" spans="1:19" ht="15" customHeight="1">
      <c r="A897" s="413">
        <f t="shared" si="14"/>
        <v>897</v>
      </c>
      <c r="B897" s="26">
        <v>112</v>
      </c>
      <c r="C897" s="153" t="s">
        <v>140</v>
      </c>
      <c r="D897" s="211" t="s">
        <v>22</v>
      </c>
      <c r="E897" s="212"/>
      <c r="F897" s="213" t="s">
        <v>146</v>
      </c>
      <c r="G897" s="214" t="s">
        <v>1707</v>
      </c>
      <c r="H897" s="213" t="s">
        <v>160</v>
      </c>
      <c r="I897" s="215">
        <v>8.6999999999999993</v>
      </c>
      <c r="J897" s="216"/>
      <c r="K897" s="216"/>
      <c r="L897" s="216"/>
      <c r="M897" s="216"/>
      <c r="N897" s="216">
        <f>40.3-3*1.9</f>
        <v>34.599999999999994</v>
      </c>
      <c r="O897" s="217"/>
      <c r="P897" s="217">
        <f>I897</f>
        <v>8.6999999999999993</v>
      </c>
      <c r="Q897" s="217"/>
      <c r="R897" s="217"/>
      <c r="S897" s="218"/>
    </row>
    <row r="898" spans="1:19" ht="15" customHeight="1">
      <c r="A898" s="413">
        <f t="shared" si="14"/>
        <v>898</v>
      </c>
      <c r="B898" s="26">
        <v>112</v>
      </c>
      <c r="C898" s="153" t="s">
        <v>140</v>
      </c>
      <c r="D898" s="211" t="s">
        <v>22</v>
      </c>
      <c r="E898" s="212"/>
      <c r="F898" s="213" t="s">
        <v>147</v>
      </c>
      <c r="G898" s="214" t="s">
        <v>1770</v>
      </c>
      <c r="H898" s="213" t="s">
        <v>142</v>
      </c>
      <c r="I898" s="215">
        <v>15.9</v>
      </c>
      <c r="J898" s="216"/>
      <c r="K898" s="216"/>
      <c r="L898" s="216"/>
      <c r="M898" s="216"/>
      <c r="N898" s="216">
        <f>52.8-2*1.9</f>
        <v>49</v>
      </c>
      <c r="O898" s="217">
        <f>I898</f>
        <v>15.9</v>
      </c>
      <c r="P898" s="217"/>
      <c r="Q898" s="217"/>
      <c r="R898" s="217"/>
      <c r="S898" s="218"/>
    </row>
    <row r="899" spans="1:19" ht="15" customHeight="1">
      <c r="A899" s="413">
        <f t="shared" ref="A899:A962" si="16">1+A898</f>
        <v>899</v>
      </c>
      <c r="B899" s="26">
        <v>112</v>
      </c>
      <c r="C899" s="153" t="s">
        <v>140</v>
      </c>
      <c r="D899" s="211" t="s">
        <v>22</v>
      </c>
      <c r="E899" s="212"/>
      <c r="F899" s="213" t="s">
        <v>31</v>
      </c>
      <c r="G899" s="214" t="s">
        <v>1771</v>
      </c>
      <c r="H899" s="213" t="s">
        <v>1313</v>
      </c>
      <c r="I899" s="215">
        <v>22.6</v>
      </c>
      <c r="J899" s="216"/>
      <c r="K899" s="216"/>
      <c r="L899" s="216"/>
      <c r="M899" s="216"/>
      <c r="N899" s="216">
        <f>66.1-1.9</f>
        <v>64.199999999999989</v>
      </c>
      <c r="O899" s="217"/>
      <c r="P899" s="217">
        <f>I899</f>
        <v>22.6</v>
      </c>
      <c r="Q899" s="217"/>
      <c r="R899" s="217"/>
      <c r="S899" s="218"/>
    </row>
    <row r="900" spans="1:19" ht="15" customHeight="1">
      <c r="A900" s="413">
        <f t="shared" si="16"/>
        <v>900</v>
      </c>
      <c r="B900" s="26">
        <v>112</v>
      </c>
      <c r="C900" s="153" t="s">
        <v>140</v>
      </c>
      <c r="D900" s="211" t="s">
        <v>22</v>
      </c>
      <c r="E900" s="212"/>
      <c r="F900" s="213" t="s">
        <v>116</v>
      </c>
      <c r="G900" s="214" t="s">
        <v>1708</v>
      </c>
      <c r="H900" s="213" t="s">
        <v>160</v>
      </c>
      <c r="I900" s="215">
        <v>6.8</v>
      </c>
      <c r="J900" s="216"/>
      <c r="K900" s="216"/>
      <c r="L900" s="216">
        <f>30.8-1.9</f>
        <v>28.900000000000002</v>
      </c>
      <c r="M900" s="216"/>
      <c r="N900" s="216"/>
      <c r="O900" s="217"/>
      <c r="P900" s="217">
        <f>I900</f>
        <v>6.8</v>
      </c>
      <c r="Q900" s="217"/>
      <c r="R900" s="217"/>
      <c r="S900" s="218"/>
    </row>
    <row r="901" spans="1:19" ht="15" customHeight="1">
      <c r="A901" s="413">
        <f t="shared" si="16"/>
        <v>901</v>
      </c>
      <c r="B901" s="26">
        <v>112</v>
      </c>
      <c r="C901" s="153" t="s">
        <v>140</v>
      </c>
      <c r="D901" s="211" t="s">
        <v>22</v>
      </c>
      <c r="E901" s="212"/>
      <c r="F901" s="213" t="s">
        <v>36</v>
      </c>
      <c r="G901" s="214" t="s">
        <v>1750</v>
      </c>
      <c r="H901" s="213" t="s">
        <v>160</v>
      </c>
      <c r="I901" s="215">
        <v>13</v>
      </c>
      <c r="J901" s="216"/>
      <c r="K901" s="216"/>
      <c r="L901" s="216">
        <f>44-12.4</f>
        <v>31.6</v>
      </c>
      <c r="M901" s="216"/>
      <c r="N901" s="216"/>
      <c r="O901" s="217">
        <f>I901</f>
        <v>13</v>
      </c>
      <c r="P901" s="217"/>
      <c r="Q901" s="217"/>
      <c r="R901" s="217"/>
      <c r="S901" s="218"/>
    </row>
    <row r="902" spans="1:19" ht="15" customHeight="1">
      <c r="A902" s="413">
        <f t="shared" si="16"/>
        <v>902</v>
      </c>
      <c r="B902" s="26">
        <v>112</v>
      </c>
      <c r="C902" s="153" t="s">
        <v>140</v>
      </c>
      <c r="D902" s="211" t="s">
        <v>22</v>
      </c>
      <c r="E902" s="212"/>
      <c r="F902" s="213" t="s">
        <v>36</v>
      </c>
      <c r="G902" s="214" t="s">
        <v>1751</v>
      </c>
      <c r="H902" s="213" t="s">
        <v>160</v>
      </c>
      <c r="I902" s="215">
        <v>9.6</v>
      </c>
      <c r="J902" s="216"/>
      <c r="K902" s="216"/>
      <c r="L902" s="216">
        <f>30.5-1.9</f>
        <v>28.6</v>
      </c>
      <c r="M902" s="216"/>
      <c r="N902" s="216">
        <v>15.3</v>
      </c>
      <c r="O902" s="217">
        <f>I902</f>
        <v>9.6</v>
      </c>
      <c r="P902" s="217"/>
      <c r="Q902" s="217"/>
      <c r="R902" s="217"/>
      <c r="S902" s="218"/>
    </row>
    <row r="903" spans="1:19" ht="15" customHeight="1">
      <c r="A903" s="413">
        <f t="shared" si="16"/>
        <v>903</v>
      </c>
      <c r="B903" s="26">
        <v>112</v>
      </c>
      <c r="C903" s="153" t="s">
        <v>140</v>
      </c>
      <c r="D903" s="211" t="s">
        <v>22</v>
      </c>
      <c r="E903" s="212"/>
      <c r="F903" s="213" t="s">
        <v>37</v>
      </c>
      <c r="G903" s="214" t="s">
        <v>1709</v>
      </c>
      <c r="H903" s="213" t="s">
        <v>160</v>
      </c>
      <c r="I903" s="215">
        <v>10.6</v>
      </c>
      <c r="J903" s="216"/>
      <c r="K903" s="216"/>
      <c r="L903" s="216">
        <f>37.3-2.4</f>
        <v>34.9</v>
      </c>
      <c r="M903" s="216"/>
      <c r="N903" s="216"/>
      <c r="O903" s="217">
        <f>I903</f>
        <v>10.6</v>
      </c>
      <c r="P903" s="217"/>
      <c r="Q903" s="217"/>
      <c r="R903" s="217"/>
      <c r="S903" s="218"/>
    </row>
    <row r="904" spans="1:19" ht="15" customHeight="1">
      <c r="A904" s="413">
        <f t="shared" si="16"/>
        <v>904</v>
      </c>
      <c r="B904" s="26">
        <v>112</v>
      </c>
      <c r="C904" s="153" t="s">
        <v>140</v>
      </c>
      <c r="D904" s="211" t="s">
        <v>22</v>
      </c>
      <c r="E904" s="212"/>
      <c r="F904" s="213" t="s">
        <v>119</v>
      </c>
      <c r="G904" s="214" t="s">
        <v>1710</v>
      </c>
      <c r="H904" s="213" t="s">
        <v>160</v>
      </c>
      <c r="I904" s="215">
        <v>4</v>
      </c>
      <c r="J904" s="216"/>
      <c r="K904" s="216"/>
      <c r="L904" s="216"/>
      <c r="M904" s="216"/>
      <c r="N904" s="216">
        <v>23</v>
      </c>
      <c r="O904" s="217">
        <f>I904</f>
        <v>4</v>
      </c>
      <c r="P904" s="217"/>
      <c r="Q904" s="217"/>
      <c r="R904" s="217"/>
      <c r="S904" s="218"/>
    </row>
    <row r="905" spans="1:19" ht="15" customHeight="1">
      <c r="A905" s="413">
        <f t="shared" si="16"/>
        <v>905</v>
      </c>
      <c r="B905" s="26">
        <v>112</v>
      </c>
      <c r="C905" s="153" t="s">
        <v>140</v>
      </c>
      <c r="D905" s="211" t="s">
        <v>22</v>
      </c>
      <c r="E905" s="212"/>
      <c r="F905" s="213" t="s">
        <v>41</v>
      </c>
      <c r="G905" s="214" t="s">
        <v>1752</v>
      </c>
      <c r="H905" s="213" t="s">
        <v>160</v>
      </c>
      <c r="I905" s="215">
        <v>14.1</v>
      </c>
      <c r="J905" s="216"/>
      <c r="K905" s="216"/>
      <c r="L905" s="216"/>
      <c r="M905" s="216"/>
      <c r="N905" s="216">
        <f>23-1.9</f>
        <v>21.1</v>
      </c>
      <c r="O905" s="217"/>
      <c r="P905" s="217">
        <f>I905</f>
        <v>14.1</v>
      </c>
      <c r="Q905" s="217"/>
      <c r="R905" s="217"/>
      <c r="S905" s="218"/>
    </row>
    <row r="906" spans="1:19" ht="15" customHeight="1">
      <c r="A906" s="413">
        <f t="shared" si="16"/>
        <v>906</v>
      </c>
      <c r="B906" s="26">
        <v>112</v>
      </c>
      <c r="C906" s="153" t="s">
        <v>140</v>
      </c>
      <c r="D906" s="211" t="s">
        <v>22</v>
      </c>
      <c r="E906" s="212"/>
      <c r="F906" s="213" t="s">
        <v>128</v>
      </c>
      <c r="G906" s="214" t="s">
        <v>1772</v>
      </c>
      <c r="H906" s="213" t="s">
        <v>160</v>
      </c>
      <c r="I906" s="215">
        <v>6.24</v>
      </c>
      <c r="J906" s="216"/>
      <c r="K906" s="216"/>
      <c r="L906" s="216">
        <f>13-1.9</f>
        <v>11.1</v>
      </c>
      <c r="M906" s="216"/>
      <c r="N906" s="216"/>
      <c r="O906" s="217">
        <f>I906</f>
        <v>6.24</v>
      </c>
      <c r="P906" s="217"/>
      <c r="Q906" s="217"/>
      <c r="R906" s="217"/>
      <c r="S906" s="218"/>
    </row>
    <row r="907" spans="1:19" ht="15" customHeight="1">
      <c r="A907" s="413">
        <f t="shared" si="16"/>
        <v>907</v>
      </c>
      <c r="B907" s="26">
        <v>112</v>
      </c>
      <c r="C907" s="153" t="s">
        <v>140</v>
      </c>
      <c r="D907" s="211" t="s">
        <v>22</v>
      </c>
      <c r="E907" s="212"/>
      <c r="F907" s="213" t="s">
        <v>120</v>
      </c>
      <c r="G907" s="214" t="s">
        <v>1753</v>
      </c>
      <c r="H907" s="213" t="s">
        <v>148</v>
      </c>
      <c r="I907" s="215">
        <v>2.6</v>
      </c>
      <c r="J907" s="216">
        <f>21.6-3*1.9</f>
        <v>15.900000000000002</v>
      </c>
      <c r="K907" s="216"/>
      <c r="L907" s="216"/>
      <c r="M907" s="216"/>
      <c r="N907" s="216"/>
      <c r="O907" s="217"/>
      <c r="P907" s="217"/>
      <c r="Q907" s="217">
        <f>I907</f>
        <v>2.6</v>
      </c>
      <c r="R907" s="217"/>
      <c r="S907" s="218"/>
    </row>
    <row r="908" spans="1:19" ht="15" customHeight="1">
      <c r="A908" s="413">
        <f t="shared" si="16"/>
        <v>908</v>
      </c>
      <c r="B908" s="26">
        <v>112</v>
      </c>
      <c r="C908" s="153" t="s">
        <v>140</v>
      </c>
      <c r="D908" s="211" t="s">
        <v>22</v>
      </c>
      <c r="E908" s="212"/>
      <c r="F908" s="213" t="s">
        <v>121</v>
      </c>
      <c r="G908" s="214" t="s">
        <v>1754</v>
      </c>
      <c r="H908" s="213" t="s">
        <v>148</v>
      </c>
      <c r="I908" s="215">
        <v>2.6</v>
      </c>
      <c r="J908" s="216">
        <f>21.6-3*1.9</f>
        <v>15.900000000000002</v>
      </c>
      <c r="K908" s="216"/>
      <c r="L908" s="216"/>
      <c r="M908" s="216"/>
      <c r="N908" s="216"/>
      <c r="O908" s="217"/>
      <c r="P908" s="217"/>
      <c r="Q908" s="217">
        <f>I908</f>
        <v>2.6</v>
      </c>
      <c r="R908" s="217"/>
      <c r="S908" s="218"/>
    </row>
    <row r="909" spans="1:19" ht="15" customHeight="1">
      <c r="A909" s="413">
        <f t="shared" si="16"/>
        <v>909</v>
      </c>
      <c r="B909" s="26">
        <v>112</v>
      </c>
      <c r="C909" s="153" t="s">
        <v>140</v>
      </c>
      <c r="D909" s="211" t="s">
        <v>22</v>
      </c>
      <c r="E909" s="212"/>
      <c r="F909" s="213" t="s">
        <v>149</v>
      </c>
      <c r="G909" s="214" t="s">
        <v>1737</v>
      </c>
      <c r="H909" s="213" t="s">
        <v>160</v>
      </c>
      <c r="I909" s="215">
        <v>2</v>
      </c>
      <c r="J909" s="216"/>
      <c r="K909" s="216"/>
      <c r="L909" s="216"/>
      <c r="M909" s="216">
        <v>3.2</v>
      </c>
      <c r="N909" s="216">
        <v>13</v>
      </c>
      <c r="O909" s="217"/>
      <c r="P909" s="217">
        <f>I909</f>
        <v>2</v>
      </c>
      <c r="Q909" s="217"/>
      <c r="R909" s="217"/>
      <c r="S909" s="218"/>
    </row>
    <row r="910" spans="1:19" ht="15" customHeight="1">
      <c r="A910" s="413">
        <f t="shared" si="16"/>
        <v>910</v>
      </c>
      <c r="B910" s="26">
        <v>112</v>
      </c>
      <c r="C910" s="153" t="s">
        <v>140</v>
      </c>
      <c r="D910" s="211" t="s">
        <v>22</v>
      </c>
      <c r="E910" s="212"/>
      <c r="F910" s="213" t="s">
        <v>149</v>
      </c>
      <c r="G910" s="214" t="s">
        <v>1738</v>
      </c>
      <c r="H910" s="213" t="s">
        <v>160</v>
      </c>
      <c r="I910" s="215">
        <v>2</v>
      </c>
      <c r="J910" s="216"/>
      <c r="K910" s="216"/>
      <c r="L910" s="216"/>
      <c r="M910" s="216">
        <v>3.2</v>
      </c>
      <c r="N910" s="216">
        <v>13</v>
      </c>
      <c r="O910" s="217"/>
      <c r="P910" s="217">
        <f>I910</f>
        <v>2</v>
      </c>
      <c r="Q910" s="217"/>
      <c r="R910" s="217"/>
      <c r="S910" s="218"/>
    </row>
    <row r="911" spans="1:19" ht="15" customHeight="1">
      <c r="A911" s="413">
        <f t="shared" si="16"/>
        <v>911</v>
      </c>
      <c r="B911" s="26">
        <v>112</v>
      </c>
      <c r="C911" s="153" t="s">
        <v>140</v>
      </c>
      <c r="D911" s="211" t="s">
        <v>22</v>
      </c>
      <c r="E911" s="212"/>
      <c r="F911" s="213" t="s">
        <v>314</v>
      </c>
      <c r="G911" s="214" t="s">
        <v>1739</v>
      </c>
      <c r="H911" s="213" t="s">
        <v>109</v>
      </c>
      <c r="I911" s="215">
        <v>5.8</v>
      </c>
      <c r="J911" s="216"/>
      <c r="K911" s="216"/>
      <c r="L911" s="216"/>
      <c r="M911" s="216"/>
      <c r="N911" s="216">
        <v>17</v>
      </c>
      <c r="O911" s="217"/>
      <c r="P911" s="217">
        <f>I911</f>
        <v>5.8</v>
      </c>
      <c r="Q911" s="217"/>
      <c r="R911" s="217"/>
      <c r="S911" s="218"/>
    </row>
    <row r="912" spans="1:19" ht="15" customHeight="1">
      <c r="A912" s="413">
        <f t="shared" si="16"/>
        <v>912</v>
      </c>
      <c r="B912" s="26">
        <v>112</v>
      </c>
      <c r="C912" s="153" t="s">
        <v>140</v>
      </c>
      <c r="D912" s="211" t="s">
        <v>22</v>
      </c>
      <c r="E912" s="212"/>
      <c r="F912" s="213" t="s">
        <v>46</v>
      </c>
      <c r="G912" s="214" t="s">
        <v>46</v>
      </c>
      <c r="H912" s="213" t="s">
        <v>298</v>
      </c>
      <c r="I912" s="215">
        <v>2.8</v>
      </c>
      <c r="J912" s="216"/>
      <c r="K912" s="216"/>
      <c r="L912" s="216"/>
      <c r="M912" s="216">
        <v>3.5</v>
      </c>
      <c r="N912" s="216"/>
      <c r="O912" s="217"/>
      <c r="P912" s="217"/>
      <c r="Q912" s="217">
        <f>I912</f>
        <v>2.8</v>
      </c>
      <c r="R912" s="217"/>
      <c r="S912" s="218" t="s">
        <v>1056</v>
      </c>
    </row>
    <row r="913" spans="1:19" ht="15" customHeight="1">
      <c r="A913" s="413">
        <f t="shared" si="16"/>
        <v>913</v>
      </c>
      <c r="B913" s="26">
        <v>112</v>
      </c>
      <c r="C913" s="153" t="s">
        <v>140</v>
      </c>
      <c r="D913" s="211" t="s">
        <v>22</v>
      </c>
      <c r="E913" s="212"/>
      <c r="F913" s="213" t="s">
        <v>150</v>
      </c>
      <c r="G913" s="214" t="s">
        <v>1755</v>
      </c>
      <c r="H913" s="213" t="s">
        <v>12</v>
      </c>
      <c r="I913" s="215">
        <v>5.8</v>
      </c>
      <c r="J913" s="216"/>
      <c r="K913" s="216"/>
      <c r="L913" s="216">
        <v>25.3</v>
      </c>
      <c r="M913" s="216"/>
      <c r="N913" s="216"/>
      <c r="O913" s="217">
        <f>I913</f>
        <v>5.8</v>
      </c>
      <c r="P913" s="217"/>
      <c r="Q913" s="217"/>
      <c r="R913" s="217"/>
      <c r="S913" s="218"/>
    </row>
    <row r="914" spans="1:19" ht="15" customHeight="1">
      <c r="A914" s="413">
        <f t="shared" si="16"/>
        <v>914</v>
      </c>
      <c r="B914" s="26">
        <v>112</v>
      </c>
      <c r="C914" s="153" t="s">
        <v>140</v>
      </c>
      <c r="D914" s="211" t="s">
        <v>22</v>
      </c>
      <c r="E914" s="212"/>
      <c r="F914" s="213" t="s">
        <v>151</v>
      </c>
      <c r="G914" s="214" t="s">
        <v>1756</v>
      </c>
      <c r="H914" s="213" t="s">
        <v>12</v>
      </c>
      <c r="I914" s="215">
        <v>3.97</v>
      </c>
      <c r="J914" s="216"/>
      <c r="K914" s="216"/>
      <c r="L914" s="216"/>
      <c r="M914" s="216"/>
      <c r="N914" s="216"/>
      <c r="O914" s="217"/>
      <c r="P914" s="217"/>
      <c r="Q914" s="217"/>
      <c r="R914" s="217"/>
      <c r="S914" s="218" t="s">
        <v>315</v>
      </c>
    </row>
    <row r="915" spans="1:19" ht="15" customHeight="1">
      <c r="A915" s="413">
        <f t="shared" si="16"/>
        <v>915</v>
      </c>
      <c r="B915" s="26">
        <v>112</v>
      </c>
      <c r="C915" s="153" t="s">
        <v>140</v>
      </c>
      <c r="D915" s="211" t="s">
        <v>22</v>
      </c>
      <c r="E915" s="212"/>
      <c r="F915" s="213" t="s">
        <v>184</v>
      </c>
      <c r="G915" s="214" t="s">
        <v>1757</v>
      </c>
      <c r="H915" s="213" t="s">
        <v>160</v>
      </c>
      <c r="I915" s="215">
        <v>10.4</v>
      </c>
      <c r="J915" s="216"/>
      <c r="K915" s="216"/>
      <c r="L915" s="216">
        <f>41.1-2.4</f>
        <v>38.700000000000003</v>
      </c>
      <c r="M915" s="216"/>
      <c r="N915" s="216"/>
      <c r="O915" s="217">
        <f>I915</f>
        <v>10.4</v>
      </c>
      <c r="P915" s="217"/>
      <c r="Q915" s="217"/>
      <c r="R915" s="217"/>
      <c r="S915" s="218" t="s">
        <v>139</v>
      </c>
    </row>
    <row r="916" spans="1:19" ht="15" customHeight="1">
      <c r="A916" s="413">
        <f t="shared" si="16"/>
        <v>916</v>
      </c>
      <c r="B916" s="26">
        <v>112</v>
      </c>
      <c r="C916" s="153" t="s">
        <v>140</v>
      </c>
      <c r="D916" s="211" t="s">
        <v>22</v>
      </c>
      <c r="E916" s="212"/>
      <c r="F916" s="213" t="s">
        <v>127</v>
      </c>
      <c r="G916" s="214" t="s">
        <v>1715</v>
      </c>
      <c r="H916" s="213" t="s">
        <v>160</v>
      </c>
      <c r="I916" s="215">
        <v>20.7</v>
      </c>
      <c r="J916" s="216"/>
      <c r="K916" s="216"/>
      <c r="L916" s="216">
        <v>50.6</v>
      </c>
      <c r="M916" s="216"/>
      <c r="N916" s="216"/>
      <c r="O916" s="217">
        <f>I916</f>
        <v>20.7</v>
      </c>
      <c r="P916" s="217"/>
      <c r="Q916" s="217"/>
      <c r="R916" s="217"/>
      <c r="S916" s="218"/>
    </row>
    <row r="917" spans="1:19" ht="15" customHeight="1">
      <c r="A917" s="413">
        <f t="shared" si="16"/>
        <v>917</v>
      </c>
      <c r="B917" s="26">
        <v>112</v>
      </c>
      <c r="C917" s="153" t="s">
        <v>140</v>
      </c>
      <c r="D917" s="211" t="s">
        <v>22</v>
      </c>
      <c r="E917" s="212"/>
      <c r="F917" s="213" t="s">
        <v>152</v>
      </c>
      <c r="G917" s="214" t="s">
        <v>1718</v>
      </c>
      <c r="H917" s="213" t="s">
        <v>176</v>
      </c>
      <c r="I917" s="215">
        <v>18.2</v>
      </c>
      <c r="J917" s="216">
        <v>2.8</v>
      </c>
      <c r="K917" s="216"/>
      <c r="L917" s="216"/>
      <c r="M917" s="216"/>
      <c r="N917" s="216">
        <f>43.6+4.8</f>
        <v>48.4</v>
      </c>
      <c r="O917" s="217"/>
      <c r="P917" s="217">
        <f>I917</f>
        <v>18.2</v>
      </c>
      <c r="Q917" s="217"/>
      <c r="R917" s="217"/>
      <c r="S917" s="218"/>
    </row>
    <row r="918" spans="1:19" ht="15" customHeight="1">
      <c r="A918" s="413">
        <f t="shared" si="16"/>
        <v>918</v>
      </c>
      <c r="B918" s="26">
        <v>112</v>
      </c>
      <c r="C918" s="153" t="s">
        <v>140</v>
      </c>
      <c r="D918" s="211" t="s">
        <v>22</v>
      </c>
      <c r="E918" s="212"/>
      <c r="F918" s="213" t="s">
        <v>153</v>
      </c>
      <c r="G918" s="214" t="s">
        <v>1719</v>
      </c>
      <c r="H918" s="213" t="s">
        <v>109</v>
      </c>
      <c r="I918" s="215">
        <v>15.4</v>
      </c>
      <c r="J918" s="216"/>
      <c r="K918" s="216"/>
      <c r="L918" s="216"/>
      <c r="M918" s="216"/>
      <c r="N918" s="216">
        <v>21.5</v>
      </c>
      <c r="O918" s="217"/>
      <c r="P918" s="217">
        <f>I918</f>
        <v>15.4</v>
      </c>
      <c r="Q918" s="217"/>
      <c r="R918" s="217"/>
      <c r="S918" s="218"/>
    </row>
    <row r="919" spans="1:19" ht="15" customHeight="1">
      <c r="A919" s="413">
        <f t="shared" si="16"/>
        <v>919</v>
      </c>
      <c r="B919" s="26">
        <v>112</v>
      </c>
      <c r="C919" s="153" t="s">
        <v>140</v>
      </c>
      <c r="D919" s="211" t="s">
        <v>22</v>
      </c>
      <c r="E919" s="212"/>
      <c r="F919" s="213" t="s">
        <v>154</v>
      </c>
      <c r="G919" s="214" t="s">
        <v>1763</v>
      </c>
      <c r="H919" s="213" t="s">
        <v>176</v>
      </c>
      <c r="I919" s="215">
        <v>5.5</v>
      </c>
      <c r="J919" s="216"/>
      <c r="K919" s="216"/>
      <c r="L919" s="216"/>
      <c r="M919" s="216"/>
      <c r="N919" s="216">
        <f>30.5-2*1.9</f>
        <v>26.7</v>
      </c>
      <c r="O919" s="217"/>
      <c r="P919" s="217">
        <f>I919</f>
        <v>5.5</v>
      </c>
      <c r="Q919" s="217"/>
      <c r="R919" s="217"/>
      <c r="S919" s="218"/>
    </row>
    <row r="920" spans="1:19" ht="15" customHeight="1">
      <c r="A920" s="413">
        <f t="shared" si="16"/>
        <v>920</v>
      </c>
      <c r="B920" s="26">
        <v>112</v>
      </c>
      <c r="C920" s="153" t="s">
        <v>140</v>
      </c>
      <c r="D920" s="211" t="s">
        <v>22</v>
      </c>
      <c r="E920" s="212"/>
      <c r="F920" s="213" t="s">
        <v>155</v>
      </c>
      <c r="G920" s="214" t="s">
        <v>1773</v>
      </c>
      <c r="H920" s="213" t="s">
        <v>160</v>
      </c>
      <c r="I920" s="215">
        <v>13.9</v>
      </c>
      <c r="J920" s="216"/>
      <c r="K920" s="216"/>
      <c r="L920" s="216"/>
      <c r="M920" s="216"/>
      <c r="N920" s="216">
        <f>48.6-1.9</f>
        <v>46.7</v>
      </c>
      <c r="O920" s="217">
        <f>I920</f>
        <v>13.9</v>
      </c>
      <c r="P920" s="217"/>
      <c r="Q920" s="217"/>
      <c r="R920" s="217"/>
      <c r="S920" s="218"/>
    </row>
    <row r="921" spans="1:19" ht="15" customHeight="1">
      <c r="A921" s="413">
        <f t="shared" si="16"/>
        <v>921</v>
      </c>
      <c r="B921" s="26">
        <v>112</v>
      </c>
      <c r="C921" s="153" t="s">
        <v>140</v>
      </c>
      <c r="D921" s="211" t="s">
        <v>22</v>
      </c>
      <c r="E921" s="212"/>
      <c r="F921" s="213" t="s">
        <v>156</v>
      </c>
      <c r="G921" s="214" t="s">
        <v>1774</v>
      </c>
      <c r="H921" s="213" t="s">
        <v>176</v>
      </c>
      <c r="I921" s="215">
        <v>29.8</v>
      </c>
      <c r="J921" s="216"/>
      <c r="K921" s="216"/>
      <c r="L921" s="216"/>
      <c r="M921" s="216"/>
      <c r="N921" s="216">
        <f>67.3-1.9</f>
        <v>65.399999999999991</v>
      </c>
      <c r="O921" s="217"/>
      <c r="P921" s="217">
        <f>I921</f>
        <v>29.8</v>
      </c>
      <c r="Q921" s="217"/>
      <c r="R921" s="217"/>
      <c r="S921" s="218"/>
    </row>
    <row r="922" spans="1:19" ht="15" customHeight="1">
      <c r="A922" s="413">
        <f t="shared" si="16"/>
        <v>922</v>
      </c>
      <c r="B922" s="26">
        <v>112</v>
      </c>
      <c r="C922" s="153" t="s">
        <v>140</v>
      </c>
      <c r="D922" s="211" t="s">
        <v>22</v>
      </c>
      <c r="E922" s="212"/>
      <c r="F922" s="213" t="s">
        <v>157</v>
      </c>
      <c r="G922" s="214" t="s">
        <v>1759</v>
      </c>
      <c r="H922" s="213" t="s">
        <v>160</v>
      </c>
      <c r="I922" s="215">
        <v>31.36</v>
      </c>
      <c r="J922" s="216"/>
      <c r="K922" s="216"/>
      <c r="L922" s="216"/>
      <c r="M922" s="216"/>
      <c r="N922" s="216">
        <v>53</v>
      </c>
      <c r="O922" s="217"/>
      <c r="P922" s="217">
        <f>I922</f>
        <v>31.36</v>
      </c>
      <c r="Q922" s="217">
        <v>24</v>
      </c>
      <c r="R922" s="217"/>
      <c r="S922" s="218"/>
    </row>
    <row r="923" spans="1:19" ht="15" customHeight="1">
      <c r="A923" s="413">
        <f t="shared" si="16"/>
        <v>923</v>
      </c>
      <c r="B923" s="26">
        <v>112</v>
      </c>
      <c r="C923" s="153" t="s">
        <v>140</v>
      </c>
      <c r="D923" s="211" t="s">
        <v>22</v>
      </c>
      <c r="E923" s="212"/>
      <c r="F923" s="213" t="s">
        <v>158</v>
      </c>
      <c r="G923" s="214" t="s">
        <v>1760</v>
      </c>
      <c r="H923" s="213" t="s">
        <v>160</v>
      </c>
      <c r="I923" s="215">
        <v>34.200000000000003</v>
      </c>
      <c r="J923" s="216"/>
      <c r="K923" s="216"/>
      <c r="L923" s="216"/>
      <c r="M923" s="216"/>
      <c r="N923" s="216">
        <f>50.6-1.9</f>
        <v>48.7</v>
      </c>
      <c r="O923" s="217"/>
      <c r="P923" s="217">
        <f>I923</f>
        <v>34.200000000000003</v>
      </c>
      <c r="Q923" s="217">
        <v>26</v>
      </c>
      <c r="R923" s="217"/>
      <c r="S923" s="218"/>
    </row>
    <row r="924" spans="1:19" ht="15" customHeight="1">
      <c r="A924" s="413">
        <f t="shared" si="16"/>
        <v>924</v>
      </c>
      <c r="B924" s="26">
        <v>112</v>
      </c>
      <c r="C924" s="153" t="s">
        <v>140</v>
      </c>
      <c r="D924" s="211" t="s">
        <v>22</v>
      </c>
      <c r="E924" s="212"/>
      <c r="F924" s="213" t="s">
        <v>159</v>
      </c>
      <c r="G924" s="214" t="s">
        <v>1775</v>
      </c>
      <c r="H924" s="213" t="s">
        <v>176</v>
      </c>
      <c r="I924" s="215">
        <v>10.76</v>
      </c>
      <c r="J924" s="216"/>
      <c r="K924" s="216"/>
      <c r="L924" s="216"/>
      <c r="M924" s="216"/>
      <c r="N924" s="216">
        <v>20.3</v>
      </c>
      <c r="O924" s="217"/>
      <c r="P924" s="217">
        <f>I924</f>
        <v>10.76</v>
      </c>
      <c r="Q924" s="217"/>
      <c r="R924" s="217"/>
      <c r="S924" s="218"/>
    </row>
    <row r="925" spans="1:19" ht="15" customHeight="1">
      <c r="A925" s="413">
        <f t="shared" si="16"/>
        <v>925</v>
      </c>
      <c r="B925" s="26">
        <v>112</v>
      </c>
      <c r="C925" s="153" t="s">
        <v>140</v>
      </c>
      <c r="D925" s="211" t="s">
        <v>22</v>
      </c>
      <c r="E925" s="212"/>
      <c r="F925" s="213" t="s">
        <v>54</v>
      </c>
      <c r="G925" s="214" t="s">
        <v>1721</v>
      </c>
      <c r="H925" s="213" t="s">
        <v>113</v>
      </c>
      <c r="I925" s="215">
        <v>1504.46</v>
      </c>
      <c r="J925" s="216"/>
      <c r="K925" s="216"/>
      <c r="L925" s="216"/>
      <c r="M925" s="216"/>
      <c r="N925" s="216"/>
      <c r="O925" s="217">
        <f>166.39*10.09</f>
        <v>1678.8750999999997</v>
      </c>
      <c r="P925" s="217"/>
      <c r="Q925" s="217"/>
      <c r="R925" s="217"/>
      <c r="S925" s="218"/>
    </row>
    <row r="926" spans="1:19" ht="15" customHeight="1">
      <c r="A926" s="413">
        <f t="shared" si="16"/>
        <v>926</v>
      </c>
      <c r="B926" s="26">
        <v>112</v>
      </c>
      <c r="C926" s="153" t="s">
        <v>140</v>
      </c>
      <c r="D926" s="211" t="s">
        <v>22</v>
      </c>
      <c r="E926" s="212"/>
      <c r="F926" s="213" t="s">
        <v>161</v>
      </c>
      <c r="G926" s="214" t="s">
        <v>1722</v>
      </c>
      <c r="H926" s="213" t="s">
        <v>68</v>
      </c>
      <c r="I926" s="215">
        <v>32.74</v>
      </c>
      <c r="J926" s="216" t="s">
        <v>1055</v>
      </c>
      <c r="K926" s="216"/>
      <c r="L926" s="216"/>
      <c r="M926" s="216"/>
      <c r="N926" s="216"/>
      <c r="O926" s="217"/>
      <c r="P926" s="217"/>
      <c r="Q926" s="217"/>
      <c r="R926" s="217"/>
      <c r="S926" s="218"/>
    </row>
    <row r="927" spans="1:19" ht="15" customHeight="1">
      <c r="A927" s="413">
        <f t="shared" si="16"/>
        <v>927</v>
      </c>
      <c r="B927" s="26">
        <v>112</v>
      </c>
      <c r="C927" s="153" t="s">
        <v>140</v>
      </c>
      <c r="D927" s="211" t="s">
        <v>22</v>
      </c>
      <c r="E927" s="212"/>
      <c r="F927" s="213" t="s">
        <v>162</v>
      </c>
      <c r="G927" s="214" t="s">
        <v>1723</v>
      </c>
      <c r="H927" s="213" t="s">
        <v>68</v>
      </c>
      <c r="I927" s="215">
        <v>32.74</v>
      </c>
      <c r="J927" s="216" t="s">
        <v>1055</v>
      </c>
      <c r="K927" s="216"/>
      <c r="L927" s="216"/>
      <c r="M927" s="216"/>
      <c r="N927" s="216"/>
      <c r="O927" s="217"/>
      <c r="P927" s="217"/>
      <c r="Q927" s="217"/>
      <c r="R927" s="217"/>
      <c r="S927" s="218"/>
    </row>
    <row r="928" spans="1:19" ht="15" customHeight="1">
      <c r="A928" s="413">
        <f t="shared" si="16"/>
        <v>928</v>
      </c>
      <c r="B928" s="26">
        <v>112</v>
      </c>
      <c r="C928" s="153" t="s">
        <v>140</v>
      </c>
      <c r="D928" s="211" t="s">
        <v>22</v>
      </c>
      <c r="E928" s="212"/>
      <c r="F928" s="213" t="s">
        <v>163</v>
      </c>
      <c r="G928" s="214" t="s">
        <v>1725</v>
      </c>
      <c r="H928" s="213" t="s">
        <v>820</v>
      </c>
      <c r="I928" s="215">
        <f>18*1*1.5</f>
        <v>27</v>
      </c>
      <c r="J928" s="216"/>
      <c r="K928" s="216"/>
      <c r="L928" s="216"/>
      <c r="M928" s="216"/>
      <c r="N928" s="216"/>
      <c r="O928" s="217"/>
      <c r="P928" s="217"/>
      <c r="Q928" s="217"/>
      <c r="R928" s="217"/>
      <c r="S928" s="218"/>
    </row>
    <row r="929" spans="1:19" ht="15" customHeight="1">
      <c r="A929" s="413">
        <f t="shared" si="16"/>
        <v>929</v>
      </c>
      <c r="B929" s="26">
        <v>112</v>
      </c>
      <c r="C929" s="153" t="s">
        <v>140</v>
      </c>
      <c r="D929" s="211" t="s">
        <v>22</v>
      </c>
      <c r="E929" s="212"/>
      <c r="F929" s="213" t="s">
        <v>164</v>
      </c>
      <c r="G929" s="214" t="s">
        <v>1776</v>
      </c>
      <c r="H929" s="213" t="s">
        <v>820</v>
      </c>
      <c r="I929" s="215">
        <f>18*1*1.5</f>
        <v>27</v>
      </c>
      <c r="J929" s="216"/>
      <c r="K929" s="216"/>
      <c r="L929" s="216"/>
      <c r="M929" s="216"/>
      <c r="N929" s="216"/>
      <c r="O929" s="217"/>
      <c r="P929" s="217"/>
      <c r="Q929" s="217"/>
      <c r="R929" s="217"/>
      <c r="S929" s="218"/>
    </row>
    <row r="930" spans="1:19" ht="15" customHeight="1">
      <c r="A930" s="413">
        <f t="shared" si="16"/>
        <v>930</v>
      </c>
      <c r="B930" s="26">
        <v>113</v>
      </c>
      <c r="C930" s="153" t="s">
        <v>853</v>
      </c>
      <c r="D930" s="211" t="s">
        <v>22</v>
      </c>
      <c r="E930" s="212"/>
      <c r="F930" s="213" t="s">
        <v>54</v>
      </c>
      <c r="G930" s="214" t="s">
        <v>1721</v>
      </c>
      <c r="H930" s="213" t="s">
        <v>113</v>
      </c>
      <c r="I930" s="215">
        <v>1503.23</v>
      </c>
      <c r="J930" s="216"/>
      <c r="K930" s="216"/>
      <c r="L930" s="216"/>
      <c r="M930" s="216"/>
      <c r="N930" s="216"/>
      <c r="O930" s="217">
        <f>165.16*9.82</f>
        <v>1621.8712</v>
      </c>
      <c r="P930" s="217"/>
      <c r="Q930" s="217"/>
      <c r="R930" s="217"/>
      <c r="S930" s="218"/>
    </row>
    <row r="931" spans="1:19" ht="15" customHeight="1">
      <c r="A931" s="413">
        <f t="shared" si="16"/>
        <v>931</v>
      </c>
      <c r="B931" s="26">
        <v>113</v>
      </c>
      <c r="C931" s="153" t="s">
        <v>853</v>
      </c>
      <c r="D931" s="211" t="s">
        <v>22</v>
      </c>
      <c r="E931" s="212"/>
      <c r="F931" s="213" t="s">
        <v>104</v>
      </c>
      <c r="G931" s="214" t="s">
        <v>1722</v>
      </c>
      <c r="H931" s="213" t="s">
        <v>68</v>
      </c>
      <c r="I931" s="215">
        <v>42.69</v>
      </c>
      <c r="J931" s="216" t="s">
        <v>1055</v>
      </c>
      <c r="K931" s="216"/>
      <c r="L931" s="216"/>
      <c r="M931" s="216"/>
      <c r="N931" s="216"/>
      <c r="O931" s="217"/>
      <c r="P931" s="217"/>
      <c r="Q931" s="217"/>
      <c r="R931" s="217"/>
      <c r="S931" s="218" t="s">
        <v>132</v>
      </c>
    </row>
    <row r="932" spans="1:19" ht="15" customHeight="1">
      <c r="A932" s="413">
        <f t="shared" si="16"/>
        <v>932</v>
      </c>
      <c r="B932" s="26">
        <v>113</v>
      </c>
      <c r="C932" s="153" t="s">
        <v>853</v>
      </c>
      <c r="D932" s="211" t="s">
        <v>22</v>
      </c>
      <c r="E932" s="212"/>
      <c r="F932" s="213" t="s">
        <v>105</v>
      </c>
      <c r="G932" s="214" t="s">
        <v>1723</v>
      </c>
      <c r="H932" s="213" t="s">
        <v>68</v>
      </c>
      <c r="I932" s="215">
        <v>42.68</v>
      </c>
      <c r="J932" s="216" t="s">
        <v>1055</v>
      </c>
      <c r="K932" s="216"/>
      <c r="L932" s="216"/>
      <c r="M932" s="216"/>
      <c r="N932" s="216"/>
      <c r="O932" s="217"/>
      <c r="P932" s="217"/>
      <c r="Q932" s="217"/>
      <c r="R932" s="217"/>
      <c r="S932" s="218" t="s">
        <v>133</v>
      </c>
    </row>
    <row r="933" spans="1:19" ht="15" customHeight="1">
      <c r="A933" s="413">
        <f t="shared" si="16"/>
        <v>933</v>
      </c>
      <c r="B933" s="26">
        <v>113</v>
      </c>
      <c r="C933" s="153" t="s">
        <v>853</v>
      </c>
      <c r="D933" s="211" t="s">
        <v>22</v>
      </c>
      <c r="E933" s="212"/>
      <c r="F933" s="213" t="s">
        <v>106</v>
      </c>
      <c r="G933" s="214" t="s">
        <v>1724</v>
      </c>
      <c r="H933" s="213" t="s">
        <v>1312</v>
      </c>
      <c r="I933" s="215">
        <v>31.63</v>
      </c>
      <c r="J933" s="216"/>
      <c r="K933" s="216"/>
      <c r="L933" s="216"/>
      <c r="M933" s="216"/>
      <c r="N933" s="216"/>
      <c r="O933" s="217"/>
      <c r="P933" s="217"/>
      <c r="Q933" s="217"/>
      <c r="R933" s="217"/>
      <c r="S933" s="218" t="s">
        <v>132</v>
      </c>
    </row>
    <row r="934" spans="1:19" ht="15" customHeight="1">
      <c r="A934" s="413">
        <f t="shared" si="16"/>
        <v>934</v>
      </c>
      <c r="B934" s="26">
        <v>113</v>
      </c>
      <c r="C934" s="153" t="s">
        <v>853</v>
      </c>
      <c r="D934" s="211" t="s">
        <v>22</v>
      </c>
      <c r="E934" s="212"/>
      <c r="F934" s="213" t="s">
        <v>107</v>
      </c>
      <c r="G934" s="214" t="s">
        <v>1725</v>
      </c>
      <c r="H934" s="213" t="s">
        <v>820</v>
      </c>
      <c r="I934" s="215">
        <v>31.68</v>
      </c>
      <c r="J934" s="216"/>
      <c r="K934" s="216"/>
      <c r="L934" s="216"/>
      <c r="M934" s="216"/>
      <c r="N934" s="216"/>
      <c r="O934" s="217"/>
      <c r="P934" s="217"/>
      <c r="Q934" s="217"/>
      <c r="R934" s="217"/>
      <c r="S934" s="218" t="s">
        <v>133</v>
      </c>
    </row>
    <row r="935" spans="1:19" ht="15" customHeight="1">
      <c r="A935" s="413">
        <f t="shared" si="16"/>
        <v>935</v>
      </c>
      <c r="B935" s="26">
        <v>113</v>
      </c>
      <c r="C935" s="153" t="s">
        <v>853</v>
      </c>
      <c r="D935" s="211" t="s">
        <v>22</v>
      </c>
      <c r="E935" s="212"/>
      <c r="F935" s="213" t="s">
        <v>108</v>
      </c>
      <c r="G935" s="214" t="s">
        <v>1703</v>
      </c>
      <c r="H935" s="213" t="s">
        <v>109</v>
      </c>
      <c r="I935" s="215">
        <v>224.45</v>
      </c>
      <c r="J935" s="216"/>
      <c r="K935" s="216"/>
      <c r="L935" s="216"/>
      <c r="M935" s="216">
        <v>20</v>
      </c>
      <c r="N935" s="216">
        <v>589</v>
      </c>
      <c r="O935" s="217"/>
      <c r="P935" s="217"/>
      <c r="Q935" s="217">
        <f>224.5+33.6/1.5+(12.7+2.9+3)</f>
        <v>265.5</v>
      </c>
      <c r="R935" s="217"/>
      <c r="S935" s="218" t="s">
        <v>133</v>
      </c>
    </row>
    <row r="936" spans="1:19" ht="15" customHeight="1">
      <c r="A936" s="413">
        <f t="shared" si="16"/>
        <v>936</v>
      </c>
      <c r="B936" s="26">
        <v>113</v>
      </c>
      <c r="C936" s="153" t="s">
        <v>853</v>
      </c>
      <c r="D936" s="211" t="s">
        <v>22</v>
      </c>
      <c r="E936" s="212"/>
      <c r="F936" s="213" t="s">
        <v>110</v>
      </c>
      <c r="G936" s="214" t="s">
        <v>1749</v>
      </c>
      <c r="H936" s="213" t="s">
        <v>109</v>
      </c>
      <c r="I936" s="215">
        <v>243.2</v>
      </c>
      <c r="J936" s="216"/>
      <c r="K936" s="216"/>
      <c r="L936" s="216"/>
      <c r="M936" s="216">
        <v>20</v>
      </c>
      <c r="N936" s="216">
        <v>593</v>
      </c>
      <c r="O936" s="217"/>
      <c r="P936" s="217"/>
      <c r="Q936" s="217">
        <f>243.2+33.6/1.5+(12.7+2.9+3)</f>
        <v>284.2</v>
      </c>
      <c r="R936" s="217"/>
      <c r="S936" s="218" t="s">
        <v>132</v>
      </c>
    </row>
    <row r="937" spans="1:19" ht="15" customHeight="1">
      <c r="A937" s="413">
        <f t="shared" si="16"/>
        <v>937</v>
      </c>
      <c r="B937" s="26">
        <v>113</v>
      </c>
      <c r="C937" s="153" t="s">
        <v>853</v>
      </c>
      <c r="D937" s="211" t="s">
        <v>22</v>
      </c>
      <c r="E937" s="212"/>
      <c r="F937" s="213" t="s">
        <v>111</v>
      </c>
      <c r="G937" s="214" t="s">
        <v>1704</v>
      </c>
      <c r="H937" s="213" t="s">
        <v>109</v>
      </c>
      <c r="I937" s="215">
        <v>12.9</v>
      </c>
      <c r="J937" s="216"/>
      <c r="K937" s="216"/>
      <c r="L937" s="216"/>
      <c r="M937" s="216"/>
      <c r="N937" s="216">
        <v>51</v>
      </c>
      <c r="O937" s="217"/>
      <c r="P937" s="217"/>
      <c r="Q937" s="217"/>
      <c r="R937" s="217"/>
      <c r="S937" s="218" t="s">
        <v>134</v>
      </c>
    </row>
    <row r="938" spans="1:19" ht="15" customHeight="1">
      <c r="A938" s="413">
        <f t="shared" si="16"/>
        <v>938</v>
      </c>
      <c r="B938" s="26">
        <v>113</v>
      </c>
      <c r="C938" s="153" t="s">
        <v>853</v>
      </c>
      <c r="D938" s="211" t="s">
        <v>22</v>
      </c>
      <c r="E938" s="212"/>
      <c r="F938" s="213" t="s">
        <v>112</v>
      </c>
      <c r="G938" s="214" t="s">
        <v>1705</v>
      </c>
      <c r="H938" s="213" t="s">
        <v>160</v>
      </c>
      <c r="I938" s="215">
        <v>4.2</v>
      </c>
      <c r="J938" s="216"/>
      <c r="K938" s="216"/>
      <c r="L938" s="216">
        <v>14.2</v>
      </c>
      <c r="M938" s="216"/>
      <c r="N938" s="216"/>
      <c r="O938" s="217"/>
      <c r="P938" s="217">
        <f>I938</f>
        <v>4.2</v>
      </c>
      <c r="Q938" s="217"/>
      <c r="R938" s="217"/>
      <c r="S938" s="218" t="s">
        <v>133</v>
      </c>
    </row>
    <row r="939" spans="1:19" ht="15" customHeight="1">
      <c r="A939" s="413">
        <f t="shared" si="16"/>
        <v>939</v>
      </c>
      <c r="B939" s="26">
        <v>113</v>
      </c>
      <c r="C939" s="153" t="s">
        <v>853</v>
      </c>
      <c r="D939" s="211" t="s">
        <v>22</v>
      </c>
      <c r="E939" s="212"/>
      <c r="F939" s="213" t="s">
        <v>111</v>
      </c>
      <c r="G939" s="214" t="s">
        <v>1706</v>
      </c>
      <c r="H939" s="213" t="s">
        <v>160</v>
      </c>
      <c r="I939" s="215">
        <v>29.76</v>
      </c>
      <c r="J939" s="216"/>
      <c r="K939" s="216"/>
      <c r="L939" s="216"/>
      <c r="M939" s="216"/>
      <c r="N939" s="216">
        <v>76</v>
      </c>
      <c r="O939" s="217"/>
      <c r="P939" s="217"/>
      <c r="Q939" s="217"/>
      <c r="R939" s="217"/>
      <c r="S939" s="218" t="s">
        <v>132</v>
      </c>
    </row>
    <row r="940" spans="1:19" ht="15" customHeight="1">
      <c r="A940" s="413">
        <f t="shared" si="16"/>
        <v>940</v>
      </c>
      <c r="B940" s="26">
        <v>113</v>
      </c>
      <c r="C940" s="153" t="s">
        <v>853</v>
      </c>
      <c r="D940" s="211" t="s">
        <v>22</v>
      </c>
      <c r="E940" s="212"/>
      <c r="F940" s="213" t="s">
        <v>114</v>
      </c>
      <c r="G940" s="214" t="s">
        <v>1735</v>
      </c>
      <c r="H940" s="213" t="s">
        <v>160</v>
      </c>
      <c r="I940" s="215">
        <v>32.6</v>
      </c>
      <c r="J940" s="216"/>
      <c r="K940" s="216"/>
      <c r="L940" s="216"/>
      <c r="M940" s="216"/>
      <c r="N940" s="216">
        <v>66</v>
      </c>
      <c r="O940" s="217"/>
      <c r="P940" s="217"/>
      <c r="Q940" s="217"/>
      <c r="R940" s="217"/>
      <c r="S940" s="218" t="s">
        <v>132</v>
      </c>
    </row>
    <row r="941" spans="1:19" ht="15" customHeight="1">
      <c r="A941" s="413">
        <f t="shared" si="16"/>
        <v>941</v>
      </c>
      <c r="B941" s="26">
        <v>113</v>
      </c>
      <c r="C941" s="153" t="s">
        <v>853</v>
      </c>
      <c r="D941" s="211" t="s">
        <v>22</v>
      </c>
      <c r="E941" s="212"/>
      <c r="F941" s="213" t="s">
        <v>115</v>
      </c>
      <c r="G941" s="214" t="s">
        <v>1707</v>
      </c>
      <c r="H941" s="213" t="s">
        <v>160</v>
      </c>
      <c r="I941" s="215">
        <v>10.6</v>
      </c>
      <c r="J941" s="216"/>
      <c r="K941" s="216"/>
      <c r="L941" s="216"/>
      <c r="M941" s="216"/>
      <c r="N941" s="216">
        <v>48.3</v>
      </c>
      <c r="O941" s="217"/>
      <c r="P941" s="217"/>
      <c r="Q941" s="217"/>
      <c r="R941" s="217"/>
      <c r="S941" s="218" t="s">
        <v>132</v>
      </c>
    </row>
    <row r="942" spans="1:19" ht="15" customHeight="1">
      <c r="A942" s="413">
        <f t="shared" si="16"/>
        <v>942</v>
      </c>
      <c r="B942" s="26">
        <v>113</v>
      </c>
      <c r="C942" s="153" t="s">
        <v>853</v>
      </c>
      <c r="D942" s="211" t="s">
        <v>22</v>
      </c>
      <c r="E942" s="212"/>
      <c r="F942" s="213" t="s">
        <v>116</v>
      </c>
      <c r="G942" s="214" t="s">
        <v>1708</v>
      </c>
      <c r="H942" s="213" t="s">
        <v>160</v>
      </c>
      <c r="I942" s="215">
        <v>7</v>
      </c>
      <c r="J942" s="216"/>
      <c r="K942" s="216"/>
      <c r="L942" s="216">
        <v>29.5</v>
      </c>
      <c r="M942" s="216"/>
      <c r="N942" s="216"/>
      <c r="O942" s="217"/>
      <c r="P942" s="217">
        <f>I942</f>
        <v>7</v>
      </c>
      <c r="Q942" s="217"/>
      <c r="R942" s="217"/>
      <c r="S942" s="218" t="s">
        <v>135</v>
      </c>
    </row>
    <row r="943" spans="1:19" ht="15" customHeight="1">
      <c r="A943" s="413">
        <f t="shared" si="16"/>
        <v>943</v>
      </c>
      <c r="B943" s="26">
        <v>113</v>
      </c>
      <c r="C943" s="153" t="s">
        <v>853</v>
      </c>
      <c r="D943" s="211" t="s">
        <v>22</v>
      </c>
      <c r="E943" s="212"/>
      <c r="F943" s="213" t="s">
        <v>117</v>
      </c>
      <c r="G943" s="214" t="s">
        <v>1750</v>
      </c>
      <c r="H943" s="213" t="s">
        <v>160</v>
      </c>
      <c r="I943" s="215">
        <v>13.1</v>
      </c>
      <c r="J943" s="216"/>
      <c r="K943" s="216"/>
      <c r="L943" s="216">
        <v>42</v>
      </c>
      <c r="M943" s="216"/>
      <c r="N943" s="216"/>
      <c r="O943" s="217"/>
      <c r="P943" s="217">
        <f>I943</f>
        <v>13.1</v>
      </c>
      <c r="Q943" s="217"/>
      <c r="R943" s="217"/>
      <c r="S943" s="218" t="s">
        <v>133</v>
      </c>
    </row>
    <row r="944" spans="1:19" ht="15" customHeight="1">
      <c r="A944" s="413">
        <f t="shared" si="16"/>
        <v>944</v>
      </c>
      <c r="B944" s="26">
        <v>113</v>
      </c>
      <c r="C944" s="153" t="s">
        <v>853</v>
      </c>
      <c r="D944" s="211" t="s">
        <v>22</v>
      </c>
      <c r="E944" s="212"/>
      <c r="F944" s="213" t="s">
        <v>118</v>
      </c>
      <c r="G944" s="214" t="s">
        <v>1751</v>
      </c>
      <c r="H944" s="213" t="s">
        <v>160</v>
      </c>
      <c r="I944" s="215">
        <v>9.4</v>
      </c>
      <c r="J944" s="216"/>
      <c r="K944" s="216"/>
      <c r="L944" s="216">
        <v>41.1</v>
      </c>
      <c r="M944" s="216"/>
      <c r="N944" s="216"/>
      <c r="O944" s="217"/>
      <c r="P944" s="217">
        <f>I944</f>
        <v>9.4</v>
      </c>
      <c r="Q944" s="217"/>
      <c r="R944" s="217"/>
      <c r="S944" s="218" t="s">
        <v>132</v>
      </c>
    </row>
    <row r="945" spans="1:19" ht="15" customHeight="1">
      <c r="A945" s="413">
        <f t="shared" si="16"/>
        <v>945</v>
      </c>
      <c r="B945" s="26">
        <v>113</v>
      </c>
      <c r="C945" s="153" t="s">
        <v>853</v>
      </c>
      <c r="D945" s="211" t="s">
        <v>22</v>
      </c>
      <c r="E945" s="212"/>
      <c r="F945" s="213" t="s">
        <v>37</v>
      </c>
      <c r="G945" s="214" t="s">
        <v>1709</v>
      </c>
      <c r="H945" s="213" t="s">
        <v>160</v>
      </c>
      <c r="I945" s="215">
        <v>15.2</v>
      </c>
      <c r="J945" s="216"/>
      <c r="K945" s="216"/>
      <c r="L945" s="216"/>
      <c r="M945" s="216"/>
      <c r="N945" s="216">
        <v>46.8</v>
      </c>
      <c r="O945" s="217"/>
      <c r="P945" s="217"/>
      <c r="Q945" s="217"/>
      <c r="R945" s="217"/>
      <c r="S945" s="218" t="s">
        <v>133</v>
      </c>
    </row>
    <row r="946" spans="1:19" ht="15" customHeight="1">
      <c r="A946" s="413">
        <f t="shared" si="16"/>
        <v>946</v>
      </c>
      <c r="B946" s="26">
        <v>113</v>
      </c>
      <c r="C946" s="153" t="s">
        <v>853</v>
      </c>
      <c r="D946" s="211" t="s">
        <v>22</v>
      </c>
      <c r="E946" s="212"/>
      <c r="F946" s="213" t="s">
        <v>41</v>
      </c>
      <c r="G946" s="214" t="s">
        <v>1710</v>
      </c>
      <c r="H946" s="213" t="s">
        <v>160</v>
      </c>
      <c r="I946" s="215">
        <v>19.64</v>
      </c>
      <c r="J946" s="216"/>
      <c r="K946" s="216"/>
      <c r="L946" s="216"/>
      <c r="M946" s="216"/>
      <c r="N946" s="216">
        <v>85</v>
      </c>
      <c r="O946" s="217"/>
      <c r="P946" s="217"/>
      <c r="Q946" s="217"/>
      <c r="R946" s="217"/>
      <c r="S946" s="218" t="s">
        <v>133</v>
      </c>
    </row>
    <row r="947" spans="1:19" ht="15" customHeight="1">
      <c r="A947" s="413">
        <f t="shared" si="16"/>
        <v>947</v>
      </c>
      <c r="B947" s="26">
        <v>113</v>
      </c>
      <c r="C947" s="153" t="s">
        <v>853</v>
      </c>
      <c r="D947" s="211" t="s">
        <v>22</v>
      </c>
      <c r="E947" s="212"/>
      <c r="F947" s="213" t="s">
        <v>119</v>
      </c>
      <c r="G947" s="214" t="s">
        <v>1752</v>
      </c>
      <c r="H947" s="213" t="s">
        <v>160</v>
      </c>
      <c r="I947" s="215">
        <v>3.8</v>
      </c>
      <c r="J947" s="216"/>
      <c r="K947" s="216"/>
      <c r="L947" s="216"/>
      <c r="M947" s="216"/>
      <c r="N947" s="216">
        <v>20.5</v>
      </c>
      <c r="O947" s="217"/>
      <c r="P947" s="217"/>
      <c r="Q947" s="217"/>
      <c r="R947" s="217"/>
      <c r="S947" s="218" t="s">
        <v>136</v>
      </c>
    </row>
    <row r="948" spans="1:19" ht="15" customHeight="1">
      <c r="A948" s="413">
        <f t="shared" si="16"/>
        <v>948</v>
      </c>
      <c r="B948" s="26">
        <v>113</v>
      </c>
      <c r="C948" s="153" t="s">
        <v>853</v>
      </c>
      <c r="D948" s="211" t="s">
        <v>22</v>
      </c>
      <c r="E948" s="212"/>
      <c r="F948" s="213" t="s">
        <v>120</v>
      </c>
      <c r="G948" s="214" t="s">
        <v>1753</v>
      </c>
      <c r="H948" s="213" t="s">
        <v>148</v>
      </c>
      <c r="I948" s="215">
        <v>2.9</v>
      </c>
      <c r="J948" s="216">
        <v>17.8</v>
      </c>
      <c r="K948" s="216"/>
      <c r="L948" s="216"/>
      <c r="M948" s="216"/>
      <c r="N948" s="216"/>
      <c r="O948" s="217"/>
      <c r="P948" s="217"/>
      <c r="Q948" s="217"/>
      <c r="R948" s="217">
        <f>I948</f>
        <v>2.9</v>
      </c>
      <c r="S948" s="218" t="s">
        <v>133</v>
      </c>
    </row>
    <row r="949" spans="1:19" ht="15" customHeight="1">
      <c r="A949" s="413">
        <f t="shared" si="16"/>
        <v>949</v>
      </c>
      <c r="B949" s="26">
        <v>113</v>
      </c>
      <c r="C949" s="153" t="s">
        <v>853</v>
      </c>
      <c r="D949" s="211" t="s">
        <v>22</v>
      </c>
      <c r="E949" s="212"/>
      <c r="F949" s="213" t="s">
        <v>121</v>
      </c>
      <c r="G949" s="214" t="s">
        <v>1754</v>
      </c>
      <c r="H949" s="213" t="s">
        <v>148</v>
      </c>
      <c r="I949" s="215">
        <v>2.9</v>
      </c>
      <c r="J949" s="216">
        <v>17.8</v>
      </c>
      <c r="K949" s="216"/>
      <c r="L949" s="216"/>
      <c r="M949" s="216"/>
      <c r="N949" s="216"/>
      <c r="O949" s="217"/>
      <c r="P949" s="217"/>
      <c r="Q949" s="217"/>
      <c r="R949" s="217">
        <f>I949</f>
        <v>2.9</v>
      </c>
      <c r="S949" s="218" t="s">
        <v>133</v>
      </c>
    </row>
    <row r="950" spans="1:19" ht="15" customHeight="1">
      <c r="A950" s="413">
        <f t="shared" si="16"/>
        <v>950</v>
      </c>
      <c r="B950" s="26">
        <v>113</v>
      </c>
      <c r="C950" s="153" t="s">
        <v>853</v>
      </c>
      <c r="D950" s="211" t="s">
        <v>22</v>
      </c>
      <c r="E950" s="212"/>
      <c r="F950" s="213" t="s">
        <v>122</v>
      </c>
      <c r="G950" s="214" t="s">
        <v>1737</v>
      </c>
      <c r="H950" s="213" t="s">
        <v>109</v>
      </c>
      <c r="I950" s="215">
        <v>2.2000000000000002</v>
      </c>
      <c r="J950" s="216" t="s">
        <v>1057</v>
      </c>
      <c r="K950" s="216"/>
      <c r="L950" s="216"/>
      <c r="M950" s="216"/>
      <c r="N950" s="216"/>
      <c r="O950" s="217"/>
      <c r="P950" s="217"/>
      <c r="Q950" s="217"/>
      <c r="R950" s="217"/>
      <c r="S950" s="218" t="s">
        <v>132</v>
      </c>
    </row>
    <row r="951" spans="1:19" ht="15" customHeight="1">
      <c r="A951" s="413">
        <f t="shared" si="16"/>
        <v>951</v>
      </c>
      <c r="B951" s="26">
        <v>113</v>
      </c>
      <c r="C951" s="153" t="s">
        <v>853</v>
      </c>
      <c r="D951" s="211" t="s">
        <v>22</v>
      </c>
      <c r="E951" s="212"/>
      <c r="F951" s="213" t="s">
        <v>122</v>
      </c>
      <c r="G951" s="214" t="s">
        <v>1738</v>
      </c>
      <c r="H951" s="213" t="s">
        <v>160</v>
      </c>
      <c r="I951" s="215">
        <v>2.2000000000000002</v>
      </c>
      <c r="J951" s="216" t="s">
        <v>1057</v>
      </c>
      <c r="K951" s="216"/>
      <c r="L951" s="216"/>
      <c r="M951" s="216"/>
      <c r="N951" s="216"/>
      <c r="O951" s="217"/>
      <c r="P951" s="217"/>
      <c r="Q951" s="217"/>
      <c r="R951" s="217"/>
      <c r="S951" s="218" t="s">
        <v>133</v>
      </c>
    </row>
    <row r="952" spans="1:19" ht="15" customHeight="1">
      <c r="A952" s="413">
        <f t="shared" si="16"/>
        <v>952</v>
      </c>
      <c r="B952" s="26">
        <v>113</v>
      </c>
      <c r="C952" s="153" t="s">
        <v>853</v>
      </c>
      <c r="D952" s="211" t="s">
        <v>22</v>
      </c>
      <c r="E952" s="212"/>
      <c r="F952" s="213" t="s">
        <v>123</v>
      </c>
      <c r="G952" s="214" t="s">
        <v>1739</v>
      </c>
      <c r="H952" s="213" t="s">
        <v>109</v>
      </c>
      <c r="I952" s="215">
        <v>7.8</v>
      </c>
      <c r="J952" s="216"/>
      <c r="K952" s="216"/>
      <c r="L952" s="216"/>
      <c r="M952" s="216"/>
      <c r="N952" s="216">
        <v>26.6</v>
      </c>
      <c r="O952" s="217"/>
      <c r="P952" s="217"/>
      <c r="Q952" s="217">
        <f>I952</f>
        <v>7.8</v>
      </c>
      <c r="R952" s="217"/>
      <c r="S952" s="218" t="s">
        <v>250</v>
      </c>
    </row>
    <row r="953" spans="1:19" ht="15" customHeight="1">
      <c r="A953" s="413">
        <f t="shared" si="16"/>
        <v>953</v>
      </c>
      <c r="B953" s="26">
        <v>113</v>
      </c>
      <c r="C953" s="153" t="s">
        <v>853</v>
      </c>
      <c r="D953" s="211" t="s">
        <v>22</v>
      </c>
      <c r="E953" s="212"/>
      <c r="F953" s="213" t="s">
        <v>124</v>
      </c>
      <c r="G953" s="214">
        <v>34</v>
      </c>
      <c r="H953" s="213" t="s">
        <v>298</v>
      </c>
      <c r="I953" s="215">
        <v>2.8</v>
      </c>
      <c r="J953" s="216"/>
      <c r="K953" s="216"/>
      <c r="L953" s="216"/>
      <c r="M953" s="216">
        <v>11.5</v>
      </c>
      <c r="N953" s="216">
        <v>3.5</v>
      </c>
      <c r="O953" s="217"/>
      <c r="P953" s="217"/>
      <c r="Q953" s="217"/>
      <c r="R953" s="217">
        <f>I953</f>
        <v>2.8</v>
      </c>
      <c r="S953" s="218" t="s">
        <v>1056</v>
      </c>
    </row>
    <row r="954" spans="1:19" ht="15" customHeight="1">
      <c r="A954" s="413">
        <f t="shared" si="16"/>
        <v>954</v>
      </c>
      <c r="B954" s="26">
        <v>113</v>
      </c>
      <c r="C954" s="153" t="s">
        <v>853</v>
      </c>
      <c r="D954" s="211" t="s">
        <v>22</v>
      </c>
      <c r="E954" s="212"/>
      <c r="F954" s="213" t="s">
        <v>123</v>
      </c>
      <c r="G954" s="214" t="s">
        <v>1755</v>
      </c>
      <c r="H954" s="213" t="s">
        <v>12</v>
      </c>
      <c r="I954" s="215">
        <v>7.25</v>
      </c>
      <c r="J954" s="216"/>
      <c r="K954" s="216"/>
      <c r="L954" s="216">
        <v>26.6</v>
      </c>
      <c r="M954" s="216"/>
      <c r="N954" s="216"/>
      <c r="O954" s="217"/>
      <c r="P954" s="217">
        <f>I954</f>
        <v>7.25</v>
      </c>
      <c r="Q954" s="217"/>
      <c r="R954" s="217"/>
      <c r="S954" s="218" t="s">
        <v>137</v>
      </c>
    </row>
    <row r="955" spans="1:19" ht="15" customHeight="1">
      <c r="A955" s="413">
        <f t="shared" si="16"/>
        <v>955</v>
      </c>
      <c r="B955" s="26">
        <v>113</v>
      </c>
      <c r="C955" s="153" t="s">
        <v>853</v>
      </c>
      <c r="D955" s="211" t="s">
        <v>22</v>
      </c>
      <c r="E955" s="212"/>
      <c r="F955" s="213" t="s">
        <v>125</v>
      </c>
      <c r="G955" s="214" t="s">
        <v>1756</v>
      </c>
      <c r="H955" s="476" t="s">
        <v>298</v>
      </c>
      <c r="I955" s="513">
        <v>3</v>
      </c>
      <c r="J955" s="216"/>
      <c r="K955" s="216"/>
      <c r="L955" s="216"/>
      <c r="M955" s="514">
        <v>11.5</v>
      </c>
      <c r="N955" s="514">
        <v>3.5</v>
      </c>
      <c r="O955" s="217"/>
      <c r="P955" s="217"/>
      <c r="Q955" s="217"/>
      <c r="R955" s="217">
        <v>3</v>
      </c>
      <c r="S955" s="515" t="s">
        <v>2049</v>
      </c>
    </row>
    <row r="956" spans="1:19" ht="15" customHeight="1">
      <c r="A956" s="413">
        <f t="shared" si="16"/>
        <v>956</v>
      </c>
      <c r="B956" s="26">
        <v>113</v>
      </c>
      <c r="C956" s="153" t="s">
        <v>853</v>
      </c>
      <c r="D956" s="211" t="s">
        <v>22</v>
      </c>
      <c r="E956" s="212"/>
      <c r="F956" s="213" t="s">
        <v>126</v>
      </c>
      <c r="G956" s="214" t="s">
        <v>1757</v>
      </c>
      <c r="H956" s="213" t="s">
        <v>160</v>
      </c>
      <c r="I956" s="215">
        <v>10.4</v>
      </c>
      <c r="J956" s="216"/>
      <c r="K956" s="216"/>
      <c r="L956" s="216">
        <v>39.1</v>
      </c>
      <c r="M956" s="216"/>
      <c r="N956" s="216"/>
      <c r="O956" s="217"/>
      <c r="P956" s="217">
        <f>I956</f>
        <v>10.4</v>
      </c>
      <c r="Q956" s="217"/>
      <c r="R956" s="217"/>
      <c r="S956" s="218" t="s">
        <v>139</v>
      </c>
    </row>
    <row r="957" spans="1:19" ht="15" customHeight="1">
      <c r="A957" s="413">
        <f t="shared" si="16"/>
        <v>957</v>
      </c>
      <c r="B957" s="26">
        <v>113</v>
      </c>
      <c r="C957" s="153" t="s">
        <v>853</v>
      </c>
      <c r="D957" s="211" t="s">
        <v>22</v>
      </c>
      <c r="E957" s="212"/>
      <c r="F957" s="213" t="s">
        <v>127</v>
      </c>
      <c r="G957" s="214" t="s">
        <v>1715</v>
      </c>
      <c r="H957" s="213" t="s">
        <v>160</v>
      </c>
      <c r="I957" s="215">
        <v>20.7</v>
      </c>
      <c r="J957" s="216"/>
      <c r="K957" s="216"/>
      <c r="L957" s="216">
        <v>50.6</v>
      </c>
      <c r="M957" s="216"/>
      <c r="N957" s="216"/>
      <c r="O957" s="217"/>
      <c r="P957" s="217">
        <f>I957</f>
        <v>20.7</v>
      </c>
      <c r="Q957" s="217"/>
      <c r="R957" s="217"/>
      <c r="S957" s="218" t="s">
        <v>133</v>
      </c>
    </row>
    <row r="958" spans="1:19" ht="15" customHeight="1">
      <c r="A958" s="413">
        <f t="shared" si="16"/>
        <v>958</v>
      </c>
      <c r="B958" s="26">
        <v>113</v>
      </c>
      <c r="C958" s="153" t="s">
        <v>853</v>
      </c>
      <c r="D958" s="211" t="s">
        <v>22</v>
      </c>
      <c r="E958" s="212"/>
      <c r="F958" s="213" t="s">
        <v>128</v>
      </c>
      <c r="G958" s="214" t="s">
        <v>1758</v>
      </c>
      <c r="H958" s="213" t="s">
        <v>160</v>
      </c>
      <c r="I958" s="215">
        <v>9.4</v>
      </c>
      <c r="J958" s="216"/>
      <c r="K958" s="216"/>
      <c r="L958" s="216">
        <v>23.7</v>
      </c>
      <c r="M958" s="216"/>
      <c r="N958" s="216"/>
      <c r="O958" s="217"/>
      <c r="P958" s="217">
        <f>I958</f>
        <v>9.4</v>
      </c>
      <c r="Q958" s="217"/>
      <c r="R958" s="217"/>
      <c r="S958" s="218" t="s">
        <v>132</v>
      </c>
    </row>
    <row r="959" spans="1:19" ht="15" customHeight="1">
      <c r="A959" s="413">
        <f t="shared" si="16"/>
        <v>959</v>
      </c>
      <c r="B959" s="26">
        <v>113</v>
      </c>
      <c r="C959" s="153" t="s">
        <v>853</v>
      </c>
      <c r="D959" s="211" t="s">
        <v>22</v>
      </c>
      <c r="E959" s="212"/>
      <c r="F959" s="213" t="s">
        <v>129</v>
      </c>
      <c r="G959" s="214" t="s">
        <v>1718</v>
      </c>
      <c r="H959" s="213" t="s">
        <v>176</v>
      </c>
      <c r="I959" s="215">
        <v>25.79</v>
      </c>
      <c r="J959" s="216"/>
      <c r="K959" s="216"/>
      <c r="L959" s="216"/>
      <c r="M959" s="216"/>
      <c r="N959" s="216">
        <v>63</v>
      </c>
      <c r="O959" s="217"/>
      <c r="P959" s="217"/>
      <c r="Q959" s="217"/>
      <c r="R959" s="217"/>
      <c r="S959" s="218" t="s">
        <v>133</v>
      </c>
    </row>
    <row r="960" spans="1:19" ht="15" customHeight="1">
      <c r="A960" s="413">
        <f t="shared" si="16"/>
        <v>960</v>
      </c>
      <c r="B960" s="26">
        <v>113</v>
      </c>
      <c r="C960" s="153" t="s">
        <v>853</v>
      </c>
      <c r="D960" s="211" t="s">
        <v>22</v>
      </c>
      <c r="E960" s="212"/>
      <c r="F960" s="213" t="s">
        <v>130</v>
      </c>
      <c r="G960" s="214" t="s">
        <v>1759</v>
      </c>
      <c r="H960" s="213" t="s">
        <v>160</v>
      </c>
      <c r="I960" s="215">
        <v>46.17</v>
      </c>
      <c r="J960" s="216"/>
      <c r="K960" s="216"/>
      <c r="L960" s="216"/>
      <c r="M960" s="216"/>
      <c r="N960" s="216">
        <v>58</v>
      </c>
      <c r="O960" s="217"/>
      <c r="P960" s="217"/>
      <c r="Q960" s="217">
        <f>I960</f>
        <v>46.17</v>
      </c>
      <c r="R960" s="217"/>
      <c r="S960" s="218" t="s">
        <v>132</v>
      </c>
    </row>
    <row r="961" spans="1:19" ht="15" customHeight="1">
      <c r="A961" s="413">
        <f t="shared" si="16"/>
        <v>961</v>
      </c>
      <c r="B961" s="26">
        <v>113</v>
      </c>
      <c r="C961" s="153" t="s">
        <v>853</v>
      </c>
      <c r="D961" s="211" t="s">
        <v>22</v>
      </c>
      <c r="E961" s="212"/>
      <c r="F961" s="213" t="s">
        <v>130</v>
      </c>
      <c r="G961" s="214" t="s">
        <v>1760</v>
      </c>
      <c r="H961" s="213" t="s">
        <v>160</v>
      </c>
      <c r="I961" s="215">
        <v>47.88</v>
      </c>
      <c r="J961" s="216"/>
      <c r="K961" s="216"/>
      <c r="L961" s="216"/>
      <c r="M961" s="216"/>
      <c r="N961" s="216">
        <v>51</v>
      </c>
      <c r="O961" s="217"/>
      <c r="P961" s="217"/>
      <c r="Q961" s="217">
        <f>I961</f>
        <v>47.88</v>
      </c>
      <c r="R961" s="217"/>
      <c r="S961" s="218" t="s">
        <v>133</v>
      </c>
    </row>
    <row r="962" spans="1:19" ht="15" customHeight="1">
      <c r="A962" s="413">
        <f t="shared" si="16"/>
        <v>962</v>
      </c>
      <c r="B962" s="26">
        <v>113</v>
      </c>
      <c r="C962" s="153" t="s">
        <v>853</v>
      </c>
      <c r="D962" s="211" t="s">
        <v>22</v>
      </c>
      <c r="E962" s="212"/>
      <c r="F962" s="213" t="s">
        <v>131</v>
      </c>
      <c r="G962" s="214" t="s">
        <v>1761</v>
      </c>
      <c r="H962" s="213" t="s">
        <v>109</v>
      </c>
      <c r="I962" s="215">
        <v>46.25</v>
      </c>
      <c r="J962" s="216"/>
      <c r="K962" s="216"/>
      <c r="L962" s="216"/>
      <c r="M962" s="216"/>
      <c r="N962" s="216">
        <v>62.6</v>
      </c>
      <c r="O962" s="217"/>
      <c r="P962" s="217"/>
      <c r="Q962" s="217">
        <v>13.1</v>
      </c>
      <c r="R962" s="217"/>
      <c r="S962" s="218" t="s">
        <v>251</v>
      </c>
    </row>
    <row r="963" spans="1:19" ht="15" customHeight="1">
      <c r="A963" s="413">
        <f t="shared" ref="A963:A1026" si="17">1+A962</f>
        <v>963</v>
      </c>
      <c r="B963" s="26">
        <v>113</v>
      </c>
      <c r="C963" s="153" t="s">
        <v>853</v>
      </c>
      <c r="D963" s="211" t="s">
        <v>22</v>
      </c>
      <c r="E963" s="212"/>
      <c r="F963" s="213" t="s">
        <v>131</v>
      </c>
      <c r="G963" s="214" t="s">
        <v>1762</v>
      </c>
      <c r="H963" s="213" t="s">
        <v>160</v>
      </c>
      <c r="I963" s="215">
        <v>42.01</v>
      </c>
      <c r="J963" s="216"/>
      <c r="K963" s="216"/>
      <c r="L963" s="216"/>
      <c r="M963" s="216"/>
      <c r="N963" s="216">
        <v>63</v>
      </c>
      <c r="O963" s="217"/>
      <c r="P963" s="217"/>
      <c r="Q963" s="217">
        <v>13.1</v>
      </c>
      <c r="R963" s="217"/>
      <c r="S963" s="218" t="s">
        <v>252</v>
      </c>
    </row>
    <row r="964" spans="1:19" ht="15" customHeight="1">
      <c r="A964" s="413">
        <f t="shared" si="17"/>
        <v>964</v>
      </c>
      <c r="B964" s="26">
        <v>114</v>
      </c>
      <c r="C964" s="153" t="s">
        <v>21</v>
      </c>
      <c r="D964" s="211" t="s">
        <v>22</v>
      </c>
      <c r="E964" s="212"/>
      <c r="F964" s="213" t="s">
        <v>23</v>
      </c>
      <c r="G964" s="214" t="s">
        <v>1703</v>
      </c>
      <c r="H964" s="213" t="s">
        <v>109</v>
      </c>
      <c r="I964" s="215">
        <v>202.8</v>
      </c>
      <c r="J964" s="216">
        <f>10*3.8+16.4</f>
        <v>54.4</v>
      </c>
      <c r="K964" s="216"/>
      <c r="L964" s="216"/>
      <c r="M964" s="216"/>
      <c r="N964" s="216"/>
      <c r="O964" s="217"/>
      <c r="P964" s="217"/>
      <c r="Q964" s="217"/>
      <c r="R964" s="217">
        <f>21.5*4*1.8+1.8*1.5*18</f>
        <v>203.4</v>
      </c>
      <c r="S964" s="218" t="s">
        <v>24</v>
      </c>
    </row>
    <row r="965" spans="1:19" ht="15" customHeight="1">
      <c r="A965" s="413">
        <f t="shared" si="17"/>
        <v>965</v>
      </c>
      <c r="B965" s="26">
        <v>114</v>
      </c>
      <c r="C965" s="153" t="s">
        <v>21</v>
      </c>
      <c r="D965" s="211" t="s">
        <v>22</v>
      </c>
      <c r="E965" s="212"/>
      <c r="F965" s="213" t="s">
        <v>25</v>
      </c>
      <c r="G965" s="214" t="s">
        <v>1749</v>
      </c>
      <c r="H965" s="213" t="s">
        <v>109</v>
      </c>
      <c r="I965" s="215">
        <v>176.71</v>
      </c>
      <c r="J965" s="216">
        <v>316</v>
      </c>
      <c r="K965" s="216"/>
      <c r="L965" s="216"/>
      <c r="M965" s="216">
        <v>20</v>
      </c>
      <c r="N965" s="216"/>
      <c r="O965" s="217"/>
      <c r="P965" s="217">
        <f>176.7+16*1.4+18.9*2.4</f>
        <v>244.45999999999998</v>
      </c>
      <c r="Q965" s="217"/>
      <c r="R965" s="217"/>
      <c r="S965" s="218" t="s">
        <v>26</v>
      </c>
    </row>
    <row r="966" spans="1:19" ht="15" customHeight="1">
      <c r="A966" s="413">
        <f t="shared" si="17"/>
        <v>966</v>
      </c>
      <c r="B966" s="26">
        <v>114</v>
      </c>
      <c r="C966" s="153" t="s">
        <v>21</v>
      </c>
      <c r="D966" s="211" t="s">
        <v>22</v>
      </c>
      <c r="E966" s="212"/>
      <c r="F966" s="213" t="s">
        <v>27</v>
      </c>
      <c r="G966" s="214" t="s">
        <v>1704</v>
      </c>
      <c r="H966" s="213" t="s">
        <v>176</v>
      </c>
      <c r="I966" s="215">
        <v>3.9</v>
      </c>
      <c r="J966" s="216"/>
      <c r="K966" s="216"/>
      <c r="L966" s="216"/>
      <c r="M966" s="216"/>
      <c r="N966" s="216"/>
      <c r="O966" s="217"/>
      <c r="P966" s="217"/>
      <c r="Q966" s="217"/>
      <c r="R966" s="217">
        <f>I966</f>
        <v>3.9</v>
      </c>
      <c r="S966" s="218" t="s">
        <v>24</v>
      </c>
    </row>
    <row r="967" spans="1:19" ht="15" customHeight="1">
      <c r="A967" s="413">
        <f t="shared" si="17"/>
        <v>967</v>
      </c>
      <c r="B967" s="26">
        <v>114</v>
      </c>
      <c r="C967" s="153" t="s">
        <v>21</v>
      </c>
      <c r="D967" s="211" t="s">
        <v>22</v>
      </c>
      <c r="E967" s="212"/>
      <c r="F967" s="213" t="s">
        <v>20</v>
      </c>
      <c r="G967" s="214" t="s">
        <v>1705</v>
      </c>
      <c r="H967" s="213" t="s">
        <v>946</v>
      </c>
      <c r="I967" s="215">
        <v>57.2</v>
      </c>
      <c r="J967" s="216"/>
      <c r="K967" s="216"/>
      <c r="L967" s="216"/>
      <c r="M967" s="216"/>
      <c r="N967" s="216">
        <v>316</v>
      </c>
      <c r="O967" s="217"/>
      <c r="P967" s="217">
        <f>57.5-21</f>
        <v>36.5</v>
      </c>
      <c r="Q967" s="217">
        <v>21</v>
      </c>
      <c r="R967" s="217"/>
      <c r="S967" s="218" t="s">
        <v>24</v>
      </c>
    </row>
    <row r="968" spans="1:19" ht="15" customHeight="1">
      <c r="A968" s="413">
        <f t="shared" si="17"/>
        <v>968</v>
      </c>
      <c r="B968" s="26">
        <v>114</v>
      </c>
      <c r="C968" s="153" t="s">
        <v>21</v>
      </c>
      <c r="D968" s="211" t="s">
        <v>22</v>
      </c>
      <c r="E968" s="212"/>
      <c r="F968" s="213" t="s">
        <v>20</v>
      </c>
      <c r="G968" s="214" t="s">
        <v>1706</v>
      </c>
      <c r="H968" s="213" t="s">
        <v>109</v>
      </c>
      <c r="I968" s="215">
        <v>8.7799999999999994</v>
      </c>
      <c r="J968" s="216"/>
      <c r="K968" s="216"/>
      <c r="L968" s="216">
        <v>61</v>
      </c>
      <c r="M968" s="216"/>
      <c r="N968" s="216"/>
      <c r="O968" s="217"/>
      <c r="P968" s="217">
        <f>I968</f>
        <v>8.7799999999999994</v>
      </c>
      <c r="Q968" s="217"/>
      <c r="R968" s="217"/>
      <c r="S968" s="218" t="s">
        <v>24</v>
      </c>
    </row>
    <row r="969" spans="1:19" ht="15" customHeight="1">
      <c r="A969" s="413">
        <f t="shared" si="17"/>
        <v>969</v>
      </c>
      <c r="B969" s="26">
        <v>114</v>
      </c>
      <c r="C969" s="153" t="s">
        <v>21</v>
      </c>
      <c r="D969" s="211" t="s">
        <v>22</v>
      </c>
      <c r="E969" s="212"/>
      <c r="F969" s="213" t="s">
        <v>20</v>
      </c>
      <c r="G969" s="214" t="s">
        <v>1777</v>
      </c>
      <c r="H969" s="213" t="s">
        <v>109</v>
      </c>
      <c r="I969" s="215">
        <v>13.81</v>
      </c>
      <c r="J969" s="216"/>
      <c r="K969" s="216"/>
      <c r="L969" s="216">
        <v>67</v>
      </c>
      <c r="M969" s="216"/>
      <c r="N969" s="216"/>
      <c r="O969" s="217"/>
      <c r="P969" s="217">
        <f>I969</f>
        <v>13.81</v>
      </c>
      <c r="Q969" s="217"/>
      <c r="R969" s="217"/>
      <c r="S969" s="218" t="s">
        <v>26</v>
      </c>
    </row>
    <row r="970" spans="1:19" ht="15" customHeight="1">
      <c r="A970" s="413">
        <f t="shared" si="17"/>
        <v>970</v>
      </c>
      <c r="B970" s="26">
        <v>114</v>
      </c>
      <c r="C970" s="153" t="s">
        <v>21</v>
      </c>
      <c r="D970" s="211" t="s">
        <v>22</v>
      </c>
      <c r="E970" s="212"/>
      <c r="F970" s="213" t="s">
        <v>28</v>
      </c>
      <c r="G970" s="214" t="s">
        <v>1778</v>
      </c>
      <c r="H970" s="213" t="s">
        <v>19</v>
      </c>
      <c r="I970" s="215">
        <v>2.42</v>
      </c>
      <c r="J970" s="216"/>
      <c r="K970" s="216"/>
      <c r="L970" s="216">
        <v>29</v>
      </c>
      <c r="M970" s="216"/>
      <c r="N970" s="216"/>
      <c r="O970" s="217"/>
      <c r="P970" s="217">
        <f>I970</f>
        <v>2.42</v>
      </c>
      <c r="Q970" s="217"/>
      <c r="R970" s="217"/>
      <c r="S970" s="218" t="s">
        <v>26</v>
      </c>
    </row>
    <row r="971" spans="1:19" ht="15" customHeight="1">
      <c r="A971" s="413">
        <f t="shared" si="17"/>
        <v>971</v>
      </c>
      <c r="B971" s="26">
        <v>114</v>
      </c>
      <c r="C971" s="153" t="s">
        <v>21</v>
      </c>
      <c r="D971" s="211" t="s">
        <v>22</v>
      </c>
      <c r="E971" s="212"/>
      <c r="F971" s="213" t="s">
        <v>29</v>
      </c>
      <c r="G971" s="214" t="s">
        <v>1779</v>
      </c>
      <c r="H971" s="213" t="s">
        <v>1316</v>
      </c>
      <c r="I971" s="215">
        <v>40.619999999999997</v>
      </c>
      <c r="J971" s="216"/>
      <c r="K971" s="216"/>
      <c r="L971" s="216"/>
      <c r="M971" s="216"/>
      <c r="N971" s="216"/>
      <c r="O971" s="217"/>
      <c r="P971" s="217"/>
      <c r="Q971" s="217"/>
      <c r="R971" s="217"/>
      <c r="S971" s="218" t="s">
        <v>24</v>
      </c>
    </row>
    <row r="972" spans="1:19" ht="15" customHeight="1">
      <c r="A972" s="413">
        <f t="shared" si="17"/>
        <v>972</v>
      </c>
      <c r="B972" s="26">
        <v>114</v>
      </c>
      <c r="C972" s="153" t="s">
        <v>21</v>
      </c>
      <c r="D972" s="211" t="s">
        <v>22</v>
      </c>
      <c r="E972" s="212"/>
      <c r="F972" s="213" t="s">
        <v>30</v>
      </c>
      <c r="G972" s="214" t="s">
        <v>1780</v>
      </c>
      <c r="H972" s="213" t="s">
        <v>1316</v>
      </c>
      <c r="I972" s="215">
        <v>34.79</v>
      </c>
      <c r="J972" s="216"/>
      <c r="K972" s="216"/>
      <c r="L972" s="216"/>
      <c r="M972" s="216"/>
      <c r="N972" s="216"/>
      <c r="O972" s="217"/>
      <c r="P972" s="217"/>
      <c r="Q972" s="217"/>
      <c r="R972" s="217"/>
      <c r="S972" s="218" t="s">
        <v>24</v>
      </c>
    </row>
    <row r="973" spans="1:19" ht="15" customHeight="1">
      <c r="A973" s="413">
        <f t="shared" si="17"/>
        <v>973</v>
      </c>
      <c r="B973" s="26">
        <v>114</v>
      </c>
      <c r="C973" s="153" t="s">
        <v>21</v>
      </c>
      <c r="D973" s="211" t="s">
        <v>22</v>
      </c>
      <c r="E973" s="212"/>
      <c r="F973" s="213" t="s">
        <v>31</v>
      </c>
      <c r="G973" s="214" t="s">
        <v>1707</v>
      </c>
      <c r="H973" s="213" t="s">
        <v>109</v>
      </c>
      <c r="I973" s="215">
        <v>17.68</v>
      </c>
      <c r="J973" s="216"/>
      <c r="K973" s="216"/>
      <c r="L973" s="216"/>
      <c r="M973" s="216"/>
      <c r="N973" s="216">
        <v>70</v>
      </c>
      <c r="O973" s="217"/>
      <c r="P973" s="217"/>
      <c r="Q973" s="217">
        <f>I973</f>
        <v>17.68</v>
      </c>
      <c r="R973" s="217"/>
      <c r="S973" s="218" t="s">
        <v>24</v>
      </c>
    </row>
    <row r="974" spans="1:19" ht="15" customHeight="1">
      <c r="A974" s="413">
        <f t="shared" si="17"/>
        <v>974</v>
      </c>
      <c r="B974" s="26">
        <v>114</v>
      </c>
      <c r="C974" s="153" t="s">
        <v>21</v>
      </c>
      <c r="D974" s="211" t="s">
        <v>22</v>
      </c>
      <c r="E974" s="212"/>
      <c r="F974" s="213" t="s">
        <v>32</v>
      </c>
      <c r="G974" s="214" t="s">
        <v>1770</v>
      </c>
      <c r="H974" s="213" t="s">
        <v>109</v>
      </c>
      <c r="I974" s="215">
        <v>8.16</v>
      </c>
      <c r="J974" s="216"/>
      <c r="K974" s="216"/>
      <c r="L974" s="216">
        <v>36.799999999999997</v>
      </c>
      <c r="M974" s="216"/>
      <c r="N974" s="216"/>
      <c r="O974" s="217"/>
      <c r="P974" s="217">
        <f>I974</f>
        <v>8.16</v>
      </c>
      <c r="Q974" s="217"/>
      <c r="R974" s="217"/>
      <c r="S974" s="218" t="s">
        <v>33</v>
      </c>
    </row>
    <row r="975" spans="1:19" ht="15" customHeight="1">
      <c r="A975" s="413">
        <f t="shared" si="17"/>
        <v>975</v>
      </c>
      <c r="B975" s="26">
        <v>114</v>
      </c>
      <c r="C975" s="153" t="s">
        <v>21</v>
      </c>
      <c r="D975" s="211" t="s">
        <v>22</v>
      </c>
      <c r="E975" s="212"/>
      <c r="F975" s="213" t="s">
        <v>34</v>
      </c>
      <c r="G975" s="214" t="s">
        <v>1771</v>
      </c>
      <c r="H975" s="213" t="s">
        <v>176</v>
      </c>
      <c r="I975" s="215">
        <v>14.31</v>
      </c>
      <c r="J975" s="216"/>
      <c r="K975" s="216"/>
      <c r="L975" s="216"/>
      <c r="M975" s="216"/>
      <c r="N975" s="216">
        <v>64</v>
      </c>
      <c r="O975" s="217"/>
      <c r="P975" s="217"/>
      <c r="Q975" s="217">
        <f>I975</f>
        <v>14.31</v>
      </c>
      <c r="R975" s="217"/>
      <c r="S975" s="218" t="s">
        <v>26</v>
      </c>
    </row>
    <row r="976" spans="1:19" ht="15" customHeight="1">
      <c r="A976" s="413">
        <f t="shared" si="17"/>
        <v>976</v>
      </c>
      <c r="B976" s="26">
        <v>114</v>
      </c>
      <c r="C976" s="153" t="s">
        <v>21</v>
      </c>
      <c r="D976" s="211" t="s">
        <v>22</v>
      </c>
      <c r="E976" s="212"/>
      <c r="F976" s="213" t="s">
        <v>35</v>
      </c>
      <c r="G976" s="214" t="s">
        <v>1708</v>
      </c>
      <c r="H976" s="213" t="s">
        <v>109</v>
      </c>
      <c r="I976" s="215">
        <v>14.9</v>
      </c>
      <c r="J976" s="216"/>
      <c r="K976" s="216"/>
      <c r="L976" s="216">
        <v>65</v>
      </c>
      <c r="M976" s="216"/>
      <c r="N976" s="216"/>
      <c r="O976" s="217"/>
      <c r="P976" s="217">
        <f>I976</f>
        <v>14.9</v>
      </c>
      <c r="Q976" s="217"/>
      <c r="R976" s="217"/>
      <c r="S976" s="218" t="s">
        <v>24</v>
      </c>
    </row>
    <row r="977" spans="1:19" ht="15" customHeight="1">
      <c r="A977" s="413">
        <f t="shared" si="17"/>
        <v>977</v>
      </c>
      <c r="B977" s="26">
        <v>114</v>
      </c>
      <c r="C977" s="153" t="s">
        <v>21</v>
      </c>
      <c r="D977" s="211" t="s">
        <v>22</v>
      </c>
      <c r="E977" s="212"/>
      <c r="F977" s="213" t="s">
        <v>36</v>
      </c>
      <c r="G977" s="214" t="s">
        <v>1750</v>
      </c>
      <c r="H977" s="213" t="s">
        <v>109</v>
      </c>
      <c r="I977" s="215">
        <v>11.71</v>
      </c>
      <c r="J977" s="216"/>
      <c r="K977" s="216"/>
      <c r="L977" s="216">
        <v>58</v>
      </c>
      <c r="M977" s="216"/>
      <c r="N977" s="216"/>
      <c r="O977" s="217"/>
      <c r="P977" s="217">
        <f>I977</f>
        <v>11.71</v>
      </c>
      <c r="Q977" s="217"/>
      <c r="R977" s="217"/>
      <c r="S977" s="218" t="s">
        <v>26</v>
      </c>
    </row>
    <row r="978" spans="1:19" ht="15" customHeight="1">
      <c r="A978" s="413">
        <f t="shared" si="17"/>
        <v>978</v>
      </c>
      <c r="B978" s="26">
        <v>114</v>
      </c>
      <c r="C978" s="153" t="s">
        <v>21</v>
      </c>
      <c r="D978" s="211" t="s">
        <v>22</v>
      </c>
      <c r="E978" s="212"/>
      <c r="F978" s="213" t="s">
        <v>37</v>
      </c>
      <c r="G978" s="214" t="s">
        <v>1709</v>
      </c>
      <c r="H978" s="213" t="s">
        <v>109</v>
      </c>
      <c r="I978" s="215">
        <v>21.55</v>
      </c>
      <c r="J978" s="216"/>
      <c r="K978" s="216"/>
      <c r="L978" s="216">
        <v>76</v>
      </c>
      <c r="M978" s="216"/>
      <c r="N978" s="216"/>
      <c r="O978" s="217"/>
      <c r="P978" s="217">
        <f>I978</f>
        <v>21.55</v>
      </c>
      <c r="Q978" s="217"/>
      <c r="R978" s="217"/>
      <c r="S978" s="218" t="s">
        <v>24</v>
      </c>
    </row>
    <row r="979" spans="1:19" ht="15" customHeight="1">
      <c r="A979" s="413">
        <f t="shared" si="17"/>
        <v>979</v>
      </c>
      <c r="B979" s="26">
        <v>114</v>
      </c>
      <c r="C979" s="153" t="s">
        <v>21</v>
      </c>
      <c r="D979" s="211" t="s">
        <v>22</v>
      </c>
      <c r="E979" s="212"/>
      <c r="F979" s="213" t="s">
        <v>38</v>
      </c>
      <c r="G979" s="214" t="s">
        <v>1710</v>
      </c>
      <c r="H979" s="213" t="s">
        <v>176</v>
      </c>
      <c r="I979" s="215">
        <v>10.62</v>
      </c>
      <c r="J979" s="216"/>
      <c r="K979" s="216"/>
      <c r="L979" s="216"/>
      <c r="M979" s="216"/>
      <c r="N979" s="216">
        <v>54</v>
      </c>
      <c r="O979" s="217"/>
      <c r="P979" s="217"/>
      <c r="Q979" s="217"/>
      <c r="R979" s="217">
        <f>I979</f>
        <v>10.62</v>
      </c>
      <c r="S979" s="218" t="s">
        <v>24</v>
      </c>
    </row>
    <row r="980" spans="1:19" ht="15" customHeight="1">
      <c r="A980" s="413">
        <f t="shared" si="17"/>
        <v>980</v>
      </c>
      <c r="B980" s="26">
        <v>114</v>
      </c>
      <c r="C980" s="153" t="s">
        <v>21</v>
      </c>
      <c r="D980" s="211" t="s">
        <v>22</v>
      </c>
      <c r="E980" s="212"/>
      <c r="F980" s="213" t="s">
        <v>39</v>
      </c>
      <c r="G980" s="214" t="s">
        <v>1752</v>
      </c>
      <c r="H980" s="213" t="s">
        <v>176</v>
      </c>
      <c r="I980" s="215">
        <v>24.6</v>
      </c>
      <c r="J980" s="216"/>
      <c r="K980" s="216"/>
      <c r="L980" s="216"/>
      <c r="M980" s="216"/>
      <c r="N980" s="216">
        <v>69</v>
      </c>
      <c r="O980" s="217"/>
      <c r="P980" s="217"/>
      <c r="Q980" s="217"/>
      <c r="R980" s="217">
        <f>I980</f>
        <v>24.6</v>
      </c>
      <c r="S980" s="218" t="s">
        <v>24</v>
      </c>
    </row>
    <row r="981" spans="1:19" ht="15" customHeight="1">
      <c r="A981" s="413">
        <f t="shared" si="17"/>
        <v>981</v>
      </c>
      <c r="B981" s="26">
        <v>114</v>
      </c>
      <c r="C981" s="153" t="s">
        <v>21</v>
      </c>
      <c r="D981" s="211" t="s">
        <v>22</v>
      </c>
      <c r="E981" s="212"/>
      <c r="F981" s="213" t="s">
        <v>40</v>
      </c>
      <c r="G981" s="214" t="s">
        <v>1772</v>
      </c>
      <c r="H981" s="213" t="s">
        <v>109</v>
      </c>
      <c r="I981" s="215">
        <v>9.32</v>
      </c>
      <c r="J981" s="216">
        <v>51</v>
      </c>
      <c r="K981" s="216"/>
      <c r="L981" s="216"/>
      <c r="M981" s="216"/>
      <c r="N981" s="216"/>
      <c r="O981" s="217"/>
      <c r="P981" s="217">
        <f>I981</f>
        <v>9.32</v>
      </c>
      <c r="Q981" s="217"/>
      <c r="R981" s="217"/>
      <c r="S981" s="218" t="s">
        <v>24</v>
      </c>
    </row>
    <row r="982" spans="1:19" ht="15" customHeight="1">
      <c r="A982" s="413">
        <f t="shared" si="17"/>
        <v>982</v>
      </c>
      <c r="B982" s="26">
        <v>114</v>
      </c>
      <c r="C982" s="153" t="s">
        <v>21</v>
      </c>
      <c r="D982" s="211" t="s">
        <v>22</v>
      </c>
      <c r="E982" s="212"/>
      <c r="F982" s="213" t="s">
        <v>41</v>
      </c>
      <c r="G982" s="214" t="s">
        <v>1781</v>
      </c>
      <c r="H982" s="213" t="s">
        <v>109</v>
      </c>
      <c r="I982" s="215">
        <v>13.85</v>
      </c>
      <c r="J982" s="216">
        <v>67</v>
      </c>
      <c r="K982" s="216"/>
      <c r="L982" s="216"/>
      <c r="M982" s="216"/>
      <c r="N982" s="216"/>
      <c r="O982" s="217"/>
      <c r="P982" s="217">
        <f>I982</f>
        <v>13.85</v>
      </c>
      <c r="Q982" s="217"/>
      <c r="R982" s="217"/>
      <c r="S982" s="218" t="s">
        <v>24</v>
      </c>
    </row>
    <row r="983" spans="1:19" ht="15" customHeight="1">
      <c r="A983" s="413">
        <f t="shared" si="17"/>
        <v>983</v>
      </c>
      <c r="B983" s="26">
        <v>114</v>
      </c>
      <c r="C983" s="153" t="s">
        <v>21</v>
      </c>
      <c r="D983" s="211" t="s">
        <v>22</v>
      </c>
      <c r="E983" s="212"/>
      <c r="F983" s="213" t="s">
        <v>42</v>
      </c>
      <c r="G983" s="214" t="s">
        <v>1753</v>
      </c>
      <c r="H983" s="213" t="s">
        <v>109</v>
      </c>
      <c r="I983" s="215">
        <v>4.0199999999999996</v>
      </c>
      <c r="J983" s="216">
        <v>31</v>
      </c>
      <c r="K983" s="216"/>
      <c r="L983" s="216"/>
      <c r="M983" s="216"/>
      <c r="N983" s="216"/>
      <c r="O983" s="217"/>
      <c r="P983" s="217"/>
      <c r="Q983" s="217"/>
      <c r="R983" s="217">
        <f>I983</f>
        <v>4.0199999999999996</v>
      </c>
      <c r="S983" s="218" t="s">
        <v>24</v>
      </c>
    </row>
    <row r="984" spans="1:19" ht="15" customHeight="1">
      <c r="A984" s="413">
        <f t="shared" si="17"/>
        <v>984</v>
      </c>
      <c r="B984" s="26">
        <v>114</v>
      </c>
      <c r="C984" s="153" t="s">
        <v>21</v>
      </c>
      <c r="D984" s="211" t="s">
        <v>22</v>
      </c>
      <c r="E984" s="212"/>
      <c r="F984" s="213" t="s">
        <v>43</v>
      </c>
      <c r="G984" s="214" t="s">
        <v>1737</v>
      </c>
      <c r="H984" s="213" t="s">
        <v>44</v>
      </c>
      <c r="I984" s="215">
        <v>6.53</v>
      </c>
      <c r="J984" s="216"/>
      <c r="K984" s="216"/>
      <c r="L984" s="216">
        <v>44</v>
      </c>
      <c r="M984" s="216"/>
      <c r="N984" s="216"/>
      <c r="O984" s="217"/>
      <c r="P984" s="217">
        <f>I984</f>
        <v>6.53</v>
      </c>
      <c r="Q984" s="217"/>
      <c r="R984" s="217"/>
      <c r="S984" s="218" t="s">
        <v>24</v>
      </c>
    </row>
    <row r="985" spans="1:19" ht="15" customHeight="1">
      <c r="A985" s="413">
        <f t="shared" si="17"/>
        <v>985</v>
      </c>
      <c r="B985" s="26">
        <v>114</v>
      </c>
      <c r="C985" s="153" t="s">
        <v>21</v>
      </c>
      <c r="D985" s="211" t="s">
        <v>22</v>
      </c>
      <c r="E985" s="212"/>
      <c r="F985" s="213" t="s">
        <v>45</v>
      </c>
      <c r="G985" s="214" t="s">
        <v>1738</v>
      </c>
      <c r="H985" s="213" t="s">
        <v>109</v>
      </c>
      <c r="I985" s="215">
        <v>7</v>
      </c>
      <c r="J985" s="216">
        <v>14.9</v>
      </c>
      <c r="K985" s="216"/>
      <c r="L985" s="216"/>
      <c r="M985" s="216"/>
      <c r="N985" s="216">
        <v>54.4</v>
      </c>
      <c r="O985" s="217"/>
      <c r="P985" s="217">
        <f>I985</f>
        <v>7</v>
      </c>
      <c r="Q985" s="217"/>
      <c r="R985" s="217"/>
      <c r="S985" s="218" t="s">
        <v>24</v>
      </c>
    </row>
    <row r="986" spans="1:19" ht="15" customHeight="1">
      <c r="A986" s="413">
        <f t="shared" si="17"/>
        <v>986</v>
      </c>
      <c r="B986" s="26">
        <v>114</v>
      </c>
      <c r="C986" s="153" t="s">
        <v>21</v>
      </c>
      <c r="D986" s="211" t="s">
        <v>22</v>
      </c>
      <c r="E986" s="212"/>
      <c r="F986" s="213" t="s">
        <v>46</v>
      </c>
      <c r="G986" s="214" t="s">
        <v>1782</v>
      </c>
      <c r="H986" s="213" t="s">
        <v>298</v>
      </c>
      <c r="I986" s="215">
        <v>6.61</v>
      </c>
      <c r="J986" s="216"/>
      <c r="K986" s="216"/>
      <c r="L986" s="216"/>
      <c r="M986" s="216">
        <v>2.3849999999999998</v>
      </c>
      <c r="N986" s="216"/>
      <c r="O986" s="217"/>
      <c r="P986" s="217"/>
      <c r="Q986" s="217"/>
      <c r="R986" s="217">
        <f>I986</f>
        <v>6.61</v>
      </c>
      <c r="S986" s="218" t="s">
        <v>1059</v>
      </c>
    </row>
    <row r="987" spans="1:19" ht="15" customHeight="1">
      <c r="A987" s="413">
        <f t="shared" si="17"/>
        <v>987</v>
      </c>
      <c r="B987" s="26">
        <v>114</v>
      </c>
      <c r="C987" s="153" t="s">
        <v>21</v>
      </c>
      <c r="D987" s="211" t="s">
        <v>22</v>
      </c>
      <c r="E987" s="212"/>
      <c r="F987" s="213" t="s">
        <v>47</v>
      </c>
      <c r="G987" s="214" t="s">
        <v>1740</v>
      </c>
      <c r="H987" s="213" t="s">
        <v>44</v>
      </c>
      <c r="I987" s="215">
        <v>18.2</v>
      </c>
      <c r="J987" s="216"/>
      <c r="K987" s="216"/>
      <c r="L987" s="216"/>
      <c r="M987" s="216"/>
      <c r="N987" s="216">
        <v>78</v>
      </c>
      <c r="O987" s="217"/>
      <c r="P987" s="217"/>
      <c r="Q987" s="217">
        <f>I987</f>
        <v>18.2</v>
      </c>
      <c r="R987" s="217"/>
      <c r="S987" s="218" t="s">
        <v>24</v>
      </c>
    </row>
    <row r="988" spans="1:19" ht="15" customHeight="1">
      <c r="A988" s="413">
        <f t="shared" si="17"/>
        <v>988</v>
      </c>
      <c r="B988" s="26">
        <v>114</v>
      </c>
      <c r="C988" s="153" t="s">
        <v>21</v>
      </c>
      <c r="D988" s="211" t="s">
        <v>22</v>
      </c>
      <c r="E988" s="212"/>
      <c r="F988" s="213" t="s">
        <v>48</v>
      </c>
      <c r="G988" s="214" t="s">
        <v>1755</v>
      </c>
      <c r="H988" s="213" t="s">
        <v>109</v>
      </c>
      <c r="I988" s="215">
        <v>6.36</v>
      </c>
      <c r="J988" s="216"/>
      <c r="K988" s="216"/>
      <c r="L988" s="216">
        <v>47</v>
      </c>
      <c r="M988" s="216"/>
      <c r="N988" s="216"/>
      <c r="O988" s="217"/>
      <c r="P988" s="217">
        <f>I988</f>
        <v>6.36</v>
      </c>
      <c r="Q988" s="217"/>
      <c r="R988" s="217"/>
      <c r="S988" s="218" t="s">
        <v>26</v>
      </c>
    </row>
    <row r="989" spans="1:19" ht="15" customHeight="1">
      <c r="A989" s="413">
        <f t="shared" si="17"/>
        <v>989</v>
      </c>
      <c r="B989" s="26">
        <v>114</v>
      </c>
      <c r="C989" s="153" t="s">
        <v>21</v>
      </c>
      <c r="D989" s="211" t="s">
        <v>22</v>
      </c>
      <c r="E989" s="212"/>
      <c r="F989" s="213" t="s">
        <v>49</v>
      </c>
      <c r="G989" s="214" t="s">
        <v>1756</v>
      </c>
      <c r="H989" s="213" t="s">
        <v>109</v>
      </c>
      <c r="I989" s="215">
        <v>2.23</v>
      </c>
      <c r="J989" s="216"/>
      <c r="K989" s="216"/>
      <c r="L989" s="216"/>
      <c r="M989" s="216"/>
      <c r="N989" s="216">
        <v>51</v>
      </c>
      <c r="O989" s="217"/>
      <c r="P989" s="217"/>
      <c r="Q989" s="217">
        <f>I989</f>
        <v>2.23</v>
      </c>
      <c r="R989" s="217"/>
      <c r="S989" s="218" t="s">
        <v>26</v>
      </c>
    </row>
    <row r="990" spans="1:19" ht="15" customHeight="1">
      <c r="A990" s="413">
        <f t="shared" si="17"/>
        <v>990</v>
      </c>
      <c r="B990" s="26">
        <v>114</v>
      </c>
      <c r="C990" s="153" t="s">
        <v>21</v>
      </c>
      <c r="D990" s="211" t="s">
        <v>22</v>
      </c>
      <c r="E990" s="212"/>
      <c r="F990" s="213" t="s">
        <v>50</v>
      </c>
      <c r="G990" s="214" t="s">
        <v>1783</v>
      </c>
      <c r="H990" s="213" t="s">
        <v>109</v>
      </c>
      <c r="I990" s="215">
        <v>5.0199999999999996</v>
      </c>
      <c r="J990" s="216"/>
      <c r="K990" s="216"/>
      <c r="L990" s="216"/>
      <c r="M990" s="216"/>
      <c r="N990" s="216">
        <v>37</v>
      </c>
      <c r="O990" s="217"/>
      <c r="P990" s="217"/>
      <c r="Q990" s="217">
        <f>I990</f>
        <v>5.0199999999999996</v>
      </c>
      <c r="R990" s="217"/>
      <c r="S990" s="218" t="s">
        <v>26</v>
      </c>
    </row>
    <row r="991" spans="1:19" ht="15" customHeight="1">
      <c r="A991" s="413">
        <f t="shared" si="17"/>
        <v>991</v>
      </c>
      <c r="B991" s="26">
        <v>114</v>
      </c>
      <c r="C991" s="153" t="s">
        <v>21</v>
      </c>
      <c r="D991" s="211" t="s">
        <v>22</v>
      </c>
      <c r="E991" s="212"/>
      <c r="F991" s="213" t="s">
        <v>51</v>
      </c>
      <c r="G991" s="214" t="s">
        <v>1784</v>
      </c>
      <c r="H991" s="213" t="s">
        <v>298</v>
      </c>
      <c r="I991" s="215">
        <v>4.07</v>
      </c>
      <c r="J991" s="216"/>
      <c r="K991" s="216"/>
      <c r="L991" s="216"/>
      <c r="M991" s="216">
        <v>15.9</v>
      </c>
      <c r="N991" s="216"/>
      <c r="O991" s="217"/>
      <c r="P991" s="217"/>
      <c r="Q991" s="217"/>
      <c r="R991" s="217">
        <f>I991</f>
        <v>4.07</v>
      </c>
      <c r="S991" s="218" t="s">
        <v>1060</v>
      </c>
    </row>
    <row r="992" spans="1:19" ht="15" customHeight="1">
      <c r="A992" s="413">
        <f t="shared" si="17"/>
        <v>992</v>
      </c>
      <c r="B992" s="26">
        <v>114</v>
      </c>
      <c r="C992" s="153" t="s">
        <v>21</v>
      </c>
      <c r="D992" s="211" t="s">
        <v>22</v>
      </c>
      <c r="E992" s="212"/>
      <c r="F992" s="213" t="s">
        <v>52</v>
      </c>
      <c r="G992" s="214" t="s">
        <v>1785</v>
      </c>
      <c r="H992" s="213" t="s">
        <v>109</v>
      </c>
      <c r="I992" s="215">
        <v>32.75</v>
      </c>
      <c r="J992" s="216"/>
      <c r="K992" s="216"/>
      <c r="L992" s="216"/>
      <c r="M992" s="216"/>
      <c r="N992" s="216">
        <v>38.299999999999997</v>
      </c>
      <c r="O992" s="217"/>
      <c r="P992" s="217"/>
      <c r="Q992" s="217">
        <f>I992</f>
        <v>32.75</v>
      </c>
      <c r="R992" s="217"/>
      <c r="S992" s="218" t="s">
        <v>24</v>
      </c>
    </row>
    <row r="993" spans="1:19" ht="15" customHeight="1">
      <c r="A993" s="413">
        <f t="shared" si="17"/>
        <v>993</v>
      </c>
      <c r="B993" s="26">
        <v>114</v>
      </c>
      <c r="C993" s="153" t="s">
        <v>21</v>
      </c>
      <c r="D993" s="211" t="s">
        <v>22</v>
      </c>
      <c r="E993" s="212"/>
      <c r="F993" s="213" t="s">
        <v>53</v>
      </c>
      <c r="G993" s="214" t="s">
        <v>1714</v>
      </c>
      <c r="H993" s="213" t="s">
        <v>44</v>
      </c>
      <c r="I993" s="215">
        <v>15.07</v>
      </c>
      <c r="J993" s="216"/>
      <c r="K993" s="216"/>
      <c r="L993" s="216"/>
      <c r="M993" s="216"/>
      <c r="N993" s="216">
        <v>64</v>
      </c>
      <c r="O993" s="217"/>
      <c r="P993" s="217">
        <f>I993</f>
        <v>15.07</v>
      </c>
      <c r="Q993" s="217"/>
      <c r="R993" s="217"/>
      <c r="S993" s="218" t="s">
        <v>24</v>
      </c>
    </row>
    <row r="994" spans="1:19" ht="15" customHeight="1">
      <c r="A994" s="413">
        <f t="shared" si="17"/>
        <v>994</v>
      </c>
      <c r="B994" s="26">
        <v>114</v>
      </c>
      <c r="C994" s="153" t="s">
        <v>21</v>
      </c>
      <c r="D994" s="211" t="s">
        <v>22</v>
      </c>
      <c r="E994" s="212"/>
      <c r="F994" s="213" t="s">
        <v>54</v>
      </c>
      <c r="G994" s="214" t="s">
        <v>1697</v>
      </c>
      <c r="H994" s="213" t="s">
        <v>113</v>
      </c>
      <c r="I994" s="215">
        <v>1503.07</v>
      </c>
      <c r="J994" s="216"/>
      <c r="K994" s="216"/>
      <c r="L994" s="216"/>
      <c r="M994" s="216"/>
      <c r="N994" s="216"/>
      <c r="O994" s="217">
        <f>152.39*10.09</f>
        <v>1537.6150999999998</v>
      </c>
      <c r="P994" s="217"/>
      <c r="Q994" s="217"/>
      <c r="R994" s="217"/>
      <c r="S994" s="218"/>
    </row>
    <row r="995" spans="1:19" ht="15" customHeight="1">
      <c r="A995" s="413">
        <f t="shared" si="17"/>
        <v>995</v>
      </c>
      <c r="B995" s="26">
        <v>114</v>
      </c>
      <c r="C995" s="153" t="s">
        <v>21</v>
      </c>
      <c r="D995" s="211" t="s">
        <v>22</v>
      </c>
      <c r="E995" s="212"/>
      <c r="F995" s="213" t="s">
        <v>55</v>
      </c>
      <c r="G995" s="214" t="s">
        <v>1786</v>
      </c>
      <c r="H995" s="213" t="s">
        <v>109</v>
      </c>
      <c r="I995" s="215">
        <v>35.49</v>
      </c>
      <c r="J995" s="216"/>
      <c r="K995" s="216"/>
      <c r="L995" s="216"/>
      <c r="M995" s="216"/>
      <c r="N995" s="216">
        <v>123</v>
      </c>
      <c r="O995" s="217"/>
      <c r="P995" s="217"/>
      <c r="Q995" s="217">
        <f>I995</f>
        <v>35.49</v>
      </c>
      <c r="R995" s="217"/>
      <c r="S995" s="218" t="s">
        <v>26</v>
      </c>
    </row>
    <row r="996" spans="1:19" ht="15" customHeight="1">
      <c r="A996" s="413">
        <f t="shared" si="17"/>
        <v>996</v>
      </c>
      <c r="B996" s="26">
        <v>114</v>
      </c>
      <c r="C996" s="153" t="s">
        <v>21</v>
      </c>
      <c r="D996" s="211" t="s">
        <v>22</v>
      </c>
      <c r="E996" s="212"/>
      <c r="F996" s="213" t="s">
        <v>56</v>
      </c>
      <c r="G996" s="214" t="s">
        <v>1787</v>
      </c>
      <c r="H996" s="213" t="s">
        <v>109</v>
      </c>
      <c r="I996" s="215">
        <v>34.61</v>
      </c>
      <c r="J996" s="216"/>
      <c r="K996" s="216"/>
      <c r="L996" s="216"/>
      <c r="M996" s="216"/>
      <c r="N996" s="216">
        <v>111</v>
      </c>
      <c r="O996" s="217"/>
      <c r="P996" s="217"/>
      <c r="Q996" s="217">
        <f>I996</f>
        <v>34.61</v>
      </c>
      <c r="R996" s="217"/>
      <c r="S996" s="218" t="s">
        <v>24</v>
      </c>
    </row>
    <row r="997" spans="1:19" ht="15" customHeight="1">
      <c r="A997" s="413">
        <f t="shared" si="17"/>
        <v>997</v>
      </c>
      <c r="B997" s="26">
        <v>114</v>
      </c>
      <c r="C997" s="153" t="s">
        <v>21</v>
      </c>
      <c r="D997" s="211" t="s">
        <v>22</v>
      </c>
      <c r="E997" s="212"/>
      <c r="F997" s="213" t="s">
        <v>57</v>
      </c>
      <c r="G997" s="214" t="s">
        <v>58</v>
      </c>
      <c r="H997" s="213" t="s">
        <v>68</v>
      </c>
      <c r="I997" s="215">
        <v>42</v>
      </c>
      <c r="J997" s="216" t="s">
        <v>1055</v>
      </c>
      <c r="K997" s="216"/>
      <c r="L997" s="216"/>
      <c r="M997" s="216"/>
      <c r="N997" s="216"/>
      <c r="O997" s="217"/>
      <c r="P997" s="217"/>
      <c r="Q997" s="217"/>
      <c r="R997" s="217"/>
      <c r="S997" s="218" t="s">
        <v>102</v>
      </c>
    </row>
    <row r="998" spans="1:19" ht="15" customHeight="1">
      <c r="A998" s="413">
        <f t="shared" si="17"/>
        <v>998</v>
      </c>
      <c r="B998" s="26">
        <v>114</v>
      </c>
      <c r="C998" s="153" t="s">
        <v>21</v>
      </c>
      <c r="D998" s="211" t="s">
        <v>22</v>
      </c>
      <c r="E998" s="212"/>
      <c r="F998" s="213" t="s">
        <v>60</v>
      </c>
      <c r="G998" s="214" t="s">
        <v>58</v>
      </c>
      <c r="H998" s="213" t="s">
        <v>68</v>
      </c>
      <c r="I998" s="215">
        <v>42</v>
      </c>
      <c r="J998" s="216" t="s">
        <v>1055</v>
      </c>
      <c r="K998" s="216"/>
      <c r="L998" s="216"/>
      <c r="M998" s="216"/>
      <c r="N998" s="216"/>
      <c r="O998" s="217"/>
      <c r="P998" s="217"/>
      <c r="Q998" s="217"/>
      <c r="R998" s="217"/>
      <c r="S998" s="218" t="s">
        <v>102</v>
      </c>
    </row>
    <row r="999" spans="1:19" ht="15" customHeight="1">
      <c r="A999" s="413">
        <f t="shared" si="17"/>
        <v>999</v>
      </c>
      <c r="B999" s="26">
        <v>114</v>
      </c>
      <c r="C999" s="153" t="s">
        <v>21</v>
      </c>
      <c r="D999" s="211" t="s">
        <v>22</v>
      </c>
      <c r="E999" s="212"/>
      <c r="F999" s="213" t="s">
        <v>61</v>
      </c>
      <c r="G999" s="214" t="s">
        <v>58</v>
      </c>
      <c r="H999" s="213" t="s">
        <v>1312</v>
      </c>
      <c r="I999" s="215">
        <v>26.25</v>
      </c>
      <c r="J999" s="216" t="s">
        <v>1055</v>
      </c>
      <c r="K999" s="216"/>
      <c r="L999" s="216"/>
      <c r="M999" s="216"/>
      <c r="N999" s="216"/>
      <c r="O999" s="217"/>
      <c r="P999" s="217"/>
      <c r="Q999" s="217"/>
      <c r="R999" s="217"/>
      <c r="S999" s="218" t="s">
        <v>59</v>
      </c>
    </row>
    <row r="1000" spans="1:19" ht="15" customHeight="1">
      <c r="A1000" s="413">
        <f t="shared" si="17"/>
        <v>1000</v>
      </c>
      <c r="B1000" s="26">
        <v>114</v>
      </c>
      <c r="C1000" s="153" t="s">
        <v>21</v>
      </c>
      <c r="D1000" s="211" t="s">
        <v>22</v>
      </c>
      <c r="E1000" s="212"/>
      <c r="F1000" s="213" t="s">
        <v>62</v>
      </c>
      <c r="G1000" s="214" t="s">
        <v>58</v>
      </c>
      <c r="H1000" s="213" t="s">
        <v>820</v>
      </c>
      <c r="I1000" s="215">
        <v>26.25</v>
      </c>
      <c r="J1000" s="216" t="s">
        <v>1055</v>
      </c>
      <c r="K1000" s="216"/>
      <c r="L1000" s="216"/>
      <c r="M1000" s="216"/>
      <c r="N1000" s="216"/>
      <c r="O1000" s="217"/>
      <c r="P1000" s="217"/>
      <c r="Q1000" s="217"/>
      <c r="R1000" s="217"/>
      <c r="S1000" s="218" t="s">
        <v>59</v>
      </c>
    </row>
    <row r="1001" spans="1:19" ht="15" customHeight="1">
      <c r="A1001" s="413">
        <f t="shared" si="17"/>
        <v>1001</v>
      </c>
      <c r="B1001" s="26">
        <v>115</v>
      </c>
      <c r="C1001" s="153" t="s">
        <v>73</v>
      </c>
      <c r="D1001" s="211" t="s">
        <v>74</v>
      </c>
      <c r="E1001" s="212"/>
      <c r="F1001" s="213" t="s">
        <v>71</v>
      </c>
      <c r="G1001" s="214" t="s">
        <v>1703</v>
      </c>
      <c r="H1001" s="213" t="s">
        <v>109</v>
      </c>
      <c r="I1001" s="215">
        <v>182.62</v>
      </c>
      <c r="J1001" s="216"/>
      <c r="K1001" s="216"/>
      <c r="L1001" s="216"/>
      <c r="M1001" s="216">
        <v>20</v>
      </c>
      <c r="N1001" s="216">
        <v>577</v>
      </c>
      <c r="O1001" s="217"/>
      <c r="P1001" s="217">
        <f>161.2-27.6</f>
        <v>133.6</v>
      </c>
      <c r="Q1001" s="217"/>
      <c r="R1001" s="217"/>
      <c r="S1001" s="218" t="s">
        <v>1063</v>
      </c>
    </row>
    <row r="1002" spans="1:19" ht="15" customHeight="1">
      <c r="A1002" s="413">
        <f t="shared" si="17"/>
        <v>1002</v>
      </c>
      <c r="B1002" s="26">
        <v>115</v>
      </c>
      <c r="C1002" s="153" t="s">
        <v>73</v>
      </c>
      <c r="D1002" s="211" t="s">
        <v>74</v>
      </c>
      <c r="E1002" s="212"/>
      <c r="F1002" s="213" t="s">
        <v>71</v>
      </c>
      <c r="G1002" s="214" t="s">
        <v>1749</v>
      </c>
      <c r="H1002" s="213" t="s">
        <v>109</v>
      </c>
      <c r="I1002" s="215">
        <v>128.96</v>
      </c>
      <c r="J1002" s="216"/>
      <c r="K1002" s="216"/>
      <c r="L1002" s="216"/>
      <c r="M1002" s="216"/>
      <c r="N1002" s="216">
        <v>418</v>
      </c>
      <c r="O1002" s="217"/>
      <c r="P1002" s="217"/>
      <c r="Q1002" s="217">
        <v>198</v>
      </c>
      <c r="R1002" s="217"/>
      <c r="S1002" s="218" t="s">
        <v>24</v>
      </c>
    </row>
    <row r="1003" spans="1:19" ht="15" customHeight="1">
      <c r="A1003" s="413">
        <f t="shared" si="17"/>
        <v>1003</v>
      </c>
      <c r="B1003" s="26">
        <v>115</v>
      </c>
      <c r="C1003" s="153" t="s">
        <v>73</v>
      </c>
      <c r="D1003" s="211" t="s">
        <v>74</v>
      </c>
      <c r="E1003" s="212"/>
      <c r="F1003" s="213" t="s">
        <v>67</v>
      </c>
      <c r="G1003" s="214" t="s">
        <v>1788</v>
      </c>
      <c r="H1003" s="213" t="s">
        <v>113</v>
      </c>
      <c r="I1003" s="215">
        <v>1699.37</v>
      </c>
      <c r="J1003" s="216"/>
      <c r="K1003" s="216"/>
      <c r="L1003" s="216"/>
      <c r="M1003" s="216"/>
      <c r="N1003" s="216">
        <v>70</v>
      </c>
      <c r="O1003" s="217">
        <f>121.5*12</f>
        <v>1458</v>
      </c>
      <c r="P1003" s="217"/>
      <c r="Q1003" s="217"/>
      <c r="R1003" s="217"/>
      <c r="S1003" s="218"/>
    </row>
    <row r="1004" spans="1:19" ht="15" customHeight="1">
      <c r="A1004" s="413">
        <f t="shared" si="17"/>
        <v>1004</v>
      </c>
      <c r="B1004" s="26">
        <v>115</v>
      </c>
      <c r="C1004" s="153" t="s">
        <v>73</v>
      </c>
      <c r="D1004" s="211" t="s">
        <v>74</v>
      </c>
      <c r="E1004" s="212"/>
      <c r="F1004" s="213" t="s">
        <v>76</v>
      </c>
      <c r="G1004" s="214" t="s">
        <v>1704</v>
      </c>
      <c r="H1004" s="213" t="s">
        <v>109</v>
      </c>
      <c r="I1004" s="215">
        <v>11.01</v>
      </c>
      <c r="J1004" s="216"/>
      <c r="K1004" s="216"/>
      <c r="L1004" s="216"/>
      <c r="M1004" s="216"/>
      <c r="N1004" s="216">
        <v>50</v>
      </c>
      <c r="O1004" s="217"/>
      <c r="P1004" s="217"/>
      <c r="Q1004" s="217">
        <f>I1004</f>
        <v>11.01</v>
      </c>
      <c r="R1004" s="217"/>
      <c r="S1004" s="218" t="s">
        <v>26</v>
      </c>
    </row>
    <row r="1005" spans="1:19" ht="15" customHeight="1">
      <c r="A1005" s="413">
        <f t="shared" si="17"/>
        <v>1005</v>
      </c>
      <c r="B1005" s="26">
        <v>115</v>
      </c>
      <c r="C1005" s="153" t="s">
        <v>73</v>
      </c>
      <c r="D1005" s="211" t="s">
        <v>74</v>
      </c>
      <c r="E1005" s="212"/>
      <c r="F1005" s="213" t="s">
        <v>20</v>
      </c>
      <c r="G1005" s="214" t="s">
        <v>1705</v>
      </c>
      <c r="H1005" s="213" t="s">
        <v>109</v>
      </c>
      <c r="I1005" s="215">
        <v>3.89</v>
      </c>
      <c r="J1005" s="216"/>
      <c r="K1005" s="216"/>
      <c r="L1005" s="216"/>
      <c r="M1005" s="216"/>
      <c r="N1005" s="216">
        <v>20</v>
      </c>
      <c r="O1005" s="217"/>
      <c r="P1005" s="217"/>
      <c r="Q1005" s="217">
        <f>I1005</f>
        <v>3.89</v>
      </c>
      <c r="R1005" s="217"/>
      <c r="S1005" s="218" t="s">
        <v>26</v>
      </c>
    </row>
    <row r="1006" spans="1:19" ht="15" customHeight="1">
      <c r="A1006" s="413">
        <f t="shared" si="17"/>
        <v>1006</v>
      </c>
      <c r="B1006" s="26">
        <v>115</v>
      </c>
      <c r="C1006" s="153" t="s">
        <v>73</v>
      </c>
      <c r="D1006" s="211" t="s">
        <v>74</v>
      </c>
      <c r="E1006" s="212"/>
      <c r="F1006" s="213" t="s">
        <v>20</v>
      </c>
      <c r="G1006" s="214" t="s">
        <v>1706</v>
      </c>
      <c r="H1006" s="213" t="s">
        <v>109</v>
      </c>
      <c r="I1006" s="215">
        <v>19.579999999999998</v>
      </c>
      <c r="J1006" s="216"/>
      <c r="K1006" s="216"/>
      <c r="L1006" s="216"/>
      <c r="M1006" s="216"/>
      <c r="N1006" s="216">
        <v>73</v>
      </c>
      <c r="O1006" s="217"/>
      <c r="P1006" s="217"/>
      <c r="Q1006" s="217">
        <f>I1006</f>
        <v>19.579999999999998</v>
      </c>
      <c r="R1006" s="217"/>
      <c r="S1006" s="218" t="s">
        <v>1064</v>
      </c>
    </row>
    <row r="1007" spans="1:19" ht="15" customHeight="1">
      <c r="A1007" s="413">
        <f t="shared" si="17"/>
        <v>1007</v>
      </c>
      <c r="B1007" s="26">
        <v>115</v>
      </c>
      <c r="C1007" s="153" t="s">
        <v>73</v>
      </c>
      <c r="D1007" s="211" t="s">
        <v>74</v>
      </c>
      <c r="E1007" s="212"/>
      <c r="F1007" s="213" t="s">
        <v>20</v>
      </c>
      <c r="G1007" s="214" t="s">
        <v>1777</v>
      </c>
      <c r="H1007" s="213" t="s">
        <v>109</v>
      </c>
      <c r="I1007" s="215">
        <v>18.52</v>
      </c>
      <c r="J1007" s="216"/>
      <c r="K1007" s="216"/>
      <c r="L1007" s="216"/>
      <c r="M1007" s="216"/>
      <c r="N1007" s="216">
        <v>70</v>
      </c>
      <c r="O1007" s="217"/>
      <c r="P1007" s="217"/>
      <c r="Q1007" s="217">
        <f>I1007</f>
        <v>18.52</v>
      </c>
      <c r="R1007" s="217"/>
      <c r="S1007" s="218" t="s">
        <v>253</v>
      </c>
    </row>
    <row r="1008" spans="1:19" ht="15" customHeight="1">
      <c r="A1008" s="413">
        <f t="shared" si="17"/>
        <v>1008</v>
      </c>
      <c r="B1008" s="26">
        <v>115</v>
      </c>
      <c r="C1008" s="153" t="s">
        <v>73</v>
      </c>
      <c r="D1008" s="211" t="s">
        <v>74</v>
      </c>
      <c r="E1008" s="212"/>
      <c r="F1008" s="213" t="s">
        <v>78</v>
      </c>
      <c r="G1008" s="214" t="s">
        <v>1789</v>
      </c>
      <c r="H1008" s="213" t="s">
        <v>109</v>
      </c>
      <c r="I1008" s="215">
        <v>20.94</v>
      </c>
      <c r="J1008" s="216"/>
      <c r="K1008" s="216"/>
      <c r="L1008" s="216"/>
      <c r="M1008" s="216"/>
      <c r="N1008" s="216">
        <v>58.3</v>
      </c>
      <c r="O1008" s="217"/>
      <c r="P1008" s="217"/>
      <c r="Q1008" s="217">
        <f>I1008</f>
        <v>20.94</v>
      </c>
      <c r="R1008" s="217"/>
      <c r="S1008" s="218" t="s">
        <v>253</v>
      </c>
    </row>
    <row r="1009" spans="1:19" ht="15" customHeight="1">
      <c r="A1009" s="413">
        <f t="shared" si="17"/>
        <v>1009</v>
      </c>
      <c r="B1009" s="26">
        <v>115</v>
      </c>
      <c r="C1009" s="153" t="s">
        <v>73</v>
      </c>
      <c r="D1009" s="211" t="s">
        <v>74</v>
      </c>
      <c r="E1009" s="212"/>
      <c r="F1009" s="213" t="s">
        <v>79</v>
      </c>
      <c r="G1009" s="214" t="s">
        <v>1735</v>
      </c>
      <c r="H1009" s="213" t="s">
        <v>176</v>
      </c>
      <c r="I1009" s="215">
        <v>34.950000000000003</v>
      </c>
      <c r="J1009" s="216"/>
      <c r="K1009" s="216"/>
      <c r="L1009" s="216">
        <v>74</v>
      </c>
      <c r="M1009" s="216"/>
      <c r="N1009" s="216"/>
      <c r="O1009" s="217"/>
      <c r="P1009" s="217">
        <f>I1009</f>
        <v>34.950000000000003</v>
      </c>
      <c r="Q1009" s="217"/>
      <c r="R1009" s="217"/>
      <c r="S1009" s="218" t="s">
        <v>253</v>
      </c>
    </row>
    <row r="1010" spans="1:19" ht="15" customHeight="1">
      <c r="A1010" s="413">
        <f t="shared" si="17"/>
        <v>1010</v>
      </c>
      <c r="B1010" s="26">
        <v>115</v>
      </c>
      <c r="C1010" s="153" t="s">
        <v>73</v>
      </c>
      <c r="D1010" s="211" t="s">
        <v>74</v>
      </c>
      <c r="E1010" s="212"/>
      <c r="F1010" s="213" t="s">
        <v>80</v>
      </c>
      <c r="G1010" s="214" t="s">
        <v>1790</v>
      </c>
      <c r="H1010" s="213" t="s">
        <v>176</v>
      </c>
      <c r="I1010" s="215">
        <v>28.37</v>
      </c>
      <c r="J1010" s="216"/>
      <c r="K1010" s="216"/>
      <c r="L1010" s="216">
        <v>62.4</v>
      </c>
      <c r="M1010" s="216"/>
      <c r="N1010" s="216"/>
      <c r="O1010" s="217"/>
      <c r="P1010" s="217">
        <f>I1010</f>
        <v>28.37</v>
      </c>
      <c r="Q1010" s="217"/>
      <c r="R1010" s="217"/>
      <c r="S1010" s="218" t="s">
        <v>253</v>
      </c>
    </row>
    <row r="1011" spans="1:19" ht="15" customHeight="1">
      <c r="A1011" s="413">
        <f t="shared" si="17"/>
        <v>1011</v>
      </c>
      <c r="B1011" s="26">
        <v>115</v>
      </c>
      <c r="C1011" s="153" t="s">
        <v>73</v>
      </c>
      <c r="D1011" s="211" t="s">
        <v>74</v>
      </c>
      <c r="E1011" s="212"/>
      <c r="F1011" s="213" t="s">
        <v>81</v>
      </c>
      <c r="G1011" s="214" t="s">
        <v>1791</v>
      </c>
      <c r="H1011" s="213" t="s">
        <v>176</v>
      </c>
      <c r="I1011" s="215">
        <v>15.1</v>
      </c>
      <c r="J1011" s="216"/>
      <c r="K1011" s="216"/>
      <c r="L1011" s="216">
        <v>50</v>
      </c>
      <c r="M1011" s="216"/>
      <c r="N1011" s="216"/>
      <c r="O1011" s="217"/>
      <c r="P1011" s="217">
        <f>I1011</f>
        <v>15.1</v>
      </c>
      <c r="Q1011" s="217"/>
      <c r="R1011" s="217"/>
      <c r="S1011" s="218" t="s">
        <v>253</v>
      </c>
    </row>
    <row r="1012" spans="1:19" ht="15" customHeight="1">
      <c r="A1012" s="413">
        <f t="shared" si="17"/>
        <v>1012</v>
      </c>
      <c r="B1012" s="26">
        <v>115</v>
      </c>
      <c r="C1012" s="153" t="s">
        <v>73</v>
      </c>
      <c r="D1012" s="211" t="s">
        <v>74</v>
      </c>
      <c r="E1012" s="212"/>
      <c r="F1012" s="213" t="s">
        <v>69</v>
      </c>
      <c r="G1012" s="214" t="s">
        <v>1707</v>
      </c>
      <c r="H1012" s="213" t="s">
        <v>176</v>
      </c>
      <c r="I1012" s="215">
        <v>14.18</v>
      </c>
      <c r="J1012" s="216"/>
      <c r="K1012" s="216"/>
      <c r="L1012" s="216"/>
      <c r="M1012" s="216"/>
      <c r="N1012" s="216">
        <v>49</v>
      </c>
      <c r="O1012" s="217"/>
      <c r="P1012" s="217"/>
      <c r="Q1012" s="217">
        <f>I1012</f>
        <v>14.18</v>
      </c>
      <c r="R1012" s="217"/>
      <c r="S1012" s="218" t="s">
        <v>26</v>
      </c>
    </row>
    <row r="1013" spans="1:19" ht="15" customHeight="1">
      <c r="A1013" s="413">
        <f t="shared" si="17"/>
        <v>1013</v>
      </c>
      <c r="B1013" s="26">
        <v>115</v>
      </c>
      <c r="C1013" s="153" t="s">
        <v>73</v>
      </c>
      <c r="D1013" s="211" t="s">
        <v>74</v>
      </c>
      <c r="E1013" s="212"/>
      <c r="F1013" s="213" t="s">
        <v>32</v>
      </c>
      <c r="G1013" s="214" t="s">
        <v>1757</v>
      </c>
      <c r="H1013" s="213" t="s">
        <v>109</v>
      </c>
      <c r="I1013" s="215">
        <v>12.53</v>
      </c>
      <c r="J1013" s="216"/>
      <c r="K1013" s="216"/>
      <c r="L1013" s="216">
        <v>63</v>
      </c>
      <c r="M1013" s="216"/>
      <c r="N1013" s="216"/>
      <c r="O1013" s="217"/>
      <c r="P1013" s="217">
        <f t="shared" ref="P1013:P1018" si="18">I1013</f>
        <v>12.53</v>
      </c>
      <c r="Q1013" s="217"/>
      <c r="R1013" s="217"/>
      <c r="S1013" s="218" t="s">
        <v>26</v>
      </c>
    </row>
    <row r="1014" spans="1:19" ht="15" customHeight="1">
      <c r="A1014" s="413">
        <f t="shared" si="17"/>
        <v>1014</v>
      </c>
      <c r="B1014" s="26">
        <v>115</v>
      </c>
      <c r="C1014" s="153" t="s">
        <v>73</v>
      </c>
      <c r="D1014" s="211" t="s">
        <v>74</v>
      </c>
      <c r="E1014" s="212"/>
      <c r="F1014" s="213" t="s">
        <v>82</v>
      </c>
      <c r="G1014" s="214" t="s">
        <v>1708</v>
      </c>
      <c r="H1014" s="213" t="s">
        <v>109</v>
      </c>
      <c r="I1014" s="215">
        <v>11.08</v>
      </c>
      <c r="J1014" s="216"/>
      <c r="K1014" s="216"/>
      <c r="L1014" s="216">
        <v>50</v>
      </c>
      <c r="M1014" s="216"/>
      <c r="N1014" s="216"/>
      <c r="O1014" s="217"/>
      <c r="P1014" s="217">
        <f t="shared" si="18"/>
        <v>11.08</v>
      </c>
      <c r="Q1014" s="217"/>
      <c r="R1014" s="217"/>
      <c r="S1014" s="218" t="s">
        <v>26</v>
      </c>
    </row>
    <row r="1015" spans="1:19" ht="15" customHeight="1">
      <c r="A1015" s="413">
        <f t="shared" si="17"/>
        <v>1015</v>
      </c>
      <c r="B1015" s="26">
        <v>115</v>
      </c>
      <c r="C1015" s="153" t="s">
        <v>73</v>
      </c>
      <c r="D1015" s="211" t="s">
        <v>74</v>
      </c>
      <c r="E1015" s="212"/>
      <c r="F1015" s="213" t="s">
        <v>82</v>
      </c>
      <c r="G1015" s="214" t="s">
        <v>1750</v>
      </c>
      <c r="H1015" s="213" t="s">
        <v>109</v>
      </c>
      <c r="I1015" s="215">
        <v>6.91</v>
      </c>
      <c r="J1015" s="216"/>
      <c r="K1015" s="216"/>
      <c r="L1015" s="216">
        <v>40</v>
      </c>
      <c r="M1015" s="216"/>
      <c r="N1015" s="216"/>
      <c r="O1015" s="217"/>
      <c r="P1015" s="217">
        <f t="shared" si="18"/>
        <v>6.91</v>
      </c>
      <c r="Q1015" s="217"/>
      <c r="R1015" s="217"/>
      <c r="S1015" s="218" t="s">
        <v>24</v>
      </c>
    </row>
    <row r="1016" spans="1:19" ht="15" customHeight="1">
      <c r="A1016" s="413">
        <f t="shared" si="17"/>
        <v>1016</v>
      </c>
      <c r="B1016" s="26">
        <v>115</v>
      </c>
      <c r="C1016" s="153" t="s">
        <v>73</v>
      </c>
      <c r="D1016" s="211" t="s">
        <v>74</v>
      </c>
      <c r="E1016" s="212"/>
      <c r="F1016" s="213" t="s">
        <v>83</v>
      </c>
      <c r="G1016" s="214" t="s">
        <v>1709</v>
      </c>
      <c r="H1016" s="213" t="s">
        <v>109</v>
      </c>
      <c r="I1016" s="215">
        <v>14.75</v>
      </c>
      <c r="J1016" s="216"/>
      <c r="K1016" s="216"/>
      <c r="L1016" s="216">
        <v>61</v>
      </c>
      <c r="M1016" s="216"/>
      <c r="N1016" s="216"/>
      <c r="O1016" s="217"/>
      <c r="P1016" s="217">
        <f t="shared" si="18"/>
        <v>14.75</v>
      </c>
      <c r="Q1016" s="217"/>
      <c r="R1016" s="217"/>
      <c r="S1016" s="218" t="s">
        <v>26</v>
      </c>
    </row>
    <row r="1017" spans="1:19" ht="15" customHeight="1">
      <c r="A1017" s="413">
        <f t="shared" si="17"/>
        <v>1017</v>
      </c>
      <c r="B1017" s="26">
        <v>115</v>
      </c>
      <c r="C1017" s="153" t="s">
        <v>73</v>
      </c>
      <c r="D1017" s="211" t="s">
        <v>74</v>
      </c>
      <c r="E1017" s="212"/>
      <c r="F1017" s="213" t="s">
        <v>84</v>
      </c>
      <c r="G1017" s="214" t="s">
        <v>1710</v>
      </c>
      <c r="H1017" s="213" t="s">
        <v>109</v>
      </c>
      <c r="I1017" s="215">
        <v>5.93</v>
      </c>
      <c r="J1017" s="216"/>
      <c r="K1017" s="216"/>
      <c r="L1017" s="216">
        <v>31</v>
      </c>
      <c r="M1017" s="216"/>
      <c r="N1017" s="216"/>
      <c r="O1017" s="217"/>
      <c r="P1017" s="217">
        <f t="shared" si="18"/>
        <v>5.93</v>
      </c>
      <c r="Q1017" s="217"/>
      <c r="R1017" s="217"/>
      <c r="S1017" s="218" t="s">
        <v>1065</v>
      </c>
    </row>
    <row r="1018" spans="1:19" ht="15" customHeight="1">
      <c r="A1018" s="413">
        <f t="shared" si="17"/>
        <v>1018</v>
      </c>
      <c r="B1018" s="26">
        <v>115</v>
      </c>
      <c r="C1018" s="153" t="s">
        <v>73</v>
      </c>
      <c r="D1018" s="211" t="s">
        <v>74</v>
      </c>
      <c r="E1018" s="212"/>
      <c r="F1018" s="213" t="s">
        <v>85</v>
      </c>
      <c r="G1018" s="214" t="s">
        <v>1752</v>
      </c>
      <c r="H1018" s="213" t="s">
        <v>109</v>
      </c>
      <c r="I1018" s="215">
        <v>4.38</v>
      </c>
      <c r="J1018" s="216"/>
      <c r="K1018" s="216"/>
      <c r="L1018" s="216">
        <v>25</v>
      </c>
      <c r="M1018" s="216"/>
      <c r="N1018" s="216"/>
      <c r="O1018" s="217"/>
      <c r="P1018" s="217">
        <f t="shared" si="18"/>
        <v>4.38</v>
      </c>
      <c r="Q1018" s="217"/>
      <c r="R1018" s="217"/>
      <c r="S1018" s="218" t="s">
        <v>26</v>
      </c>
    </row>
    <row r="1019" spans="1:19" ht="15" customHeight="1">
      <c r="A1019" s="413">
        <f t="shared" si="17"/>
        <v>1019</v>
      </c>
      <c r="B1019" s="26">
        <v>115</v>
      </c>
      <c r="C1019" s="153" t="s">
        <v>73</v>
      </c>
      <c r="D1019" s="211" t="s">
        <v>74</v>
      </c>
      <c r="E1019" s="212"/>
      <c r="F1019" s="213" t="s">
        <v>70</v>
      </c>
      <c r="G1019" s="214" t="s">
        <v>1772</v>
      </c>
      <c r="H1019" s="213" t="s">
        <v>109</v>
      </c>
      <c r="I1019" s="215">
        <v>13.63</v>
      </c>
      <c r="J1019" s="216"/>
      <c r="K1019" s="216"/>
      <c r="L1019" s="216"/>
      <c r="M1019" s="216"/>
      <c r="N1019" s="216">
        <v>51</v>
      </c>
      <c r="O1019" s="217"/>
      <c r="P1019" s="217"/>
      <c r="Q1019" s="217">
        <f>I1019</f>
        <v>13.63</v>
      </c>
      <c r="R1019" s="217"/>
      <c r="S1019" s="218" t="s">
        <v>26</v>
      </c>
    </row>
    <row r="1020" spans="1:19" ht="15" customHeight="1">
      <c r="A1020" s="413">
        <f t="shared" si="17"/>
        <v>1020</v>
      </c>
      <c r="B1020" s="26">
        <v>115</v>
      </c>
      <c r="C1020" s="153" t="s">
        <v>73</v>
      </c>
      <c r="D1020" s="211" t="s">
        <v>74</v>
      </c>
      <c r="E1020" s="212"/>
      <c r="F1020" s="213" t="s">
        <v>86</v>
      </c>
      <c r="G1020" s="214" t="s">
        <v>1753</v>
      </c>
      <c r="H1020" s="213" t="s">
        <v>148</v>
      </c>
      <c r="I1020" s="215">
        <v>3.76</v>
      </c>
      <c r="J1020" s="216">
        <v>16</v>
      </c>
      <c r="K1020" s="216"/>
      <c r="L1020" s="216"/>
      <c r="M1020" s="216"/>
      <c r="N1020" s="216"/>
      <c r="O1020" s="217"/>
      <c r="P1020" s="217"/>
      <c r="Q1020" s="217"/>
      <c r="R1020" s="217">
        <f>I1020</f>
        <v>3.76</v>
      </c>
      <c r="S1020" s="218" t="s">
        <v>26</v>
      </c>
    </row>
    <row r="1021" spans="1:19" ht="15" customHeight="1">
      <c r="A1021" s="413">
        <f t="shared" si="17"/>
        <v>1021</v>
      </c>
      <c r="B1021" s="26">
        <v>115</v>
      </c>
      <c r="C1021" s="153" t="s">
        <v>73</v>
      </c>
      <c r="D1021" s="211" t="s">
        <v>74</v>
      </c>
      <c r="E1021" s="212"/>
      <c r="F1021" s="213" t="s">
        <v>87</v>
      </c>
      <c r="G1021" s="214" t="s">
        <v>1754</v>
      </c>
      <c r="H1021" s="213" t="s">
        <v>148</v>
      </c>
      <c r="I1021" s="215">
        <v>3.75</v>
      </c>
      <c r="J1021" s="216">
        <v>16</v>
      </c>
      <c r="K1021" s="216"/>
      <c r="L1021" s="216"/>
      <c r="M1021" s="216"/>
      <c r="N1021" s="216"/>
      <c r="O1021" s="217"/>
      <c r="P1021" s="217"/>
      <c r="Q1021" s="217"/>
      <c r="R1021" s="217">
        <f>I1021</f>
        <v>3.75</v>
      </c>
      <c r="S1021" s="218" t="s">
        <v>26</v>
      </c>
    </row>
    <row r="1022" spans="1:19" ht="15" customHeight="1">
      <c r="A1022" s="413">
        <f t="shared" si="17"/>
        <v>1022</v>
      </c>
      <c r="B1022" s="26">
        <v>115</v>
      </c>
      <c r="C1022" s="153" t="s">
        <v>73</v>
      </c>
      <c r="D1022" s="211" t="s">
        <v>74</v>
      </c>
      <c r="E1022" s="212"/>
      <c r="F1022" s="213" t="s">
        <v>88</v>
      </c>
      <c r="G1022" s="214" t="s">
        <v>1739</v>
      </c>
      <c r="H1022" s="213" t="s">
        <v>109</v>
      </c>
      <c r="I1022" s="215">
        <v>2.2000000000000002</v>
      </c>
      <c r="J1022" s="216"/>
      <c r="K1022" s="216"/>
      <c r="L1022" s="216"/>
      <c r="M1022" s="216"/>
      <c r="N1022" s="216">
        <v>20</v>
      </c>
      <c r="O1022" s="217"/>
      <c r="P1022" s="217"/>
      <c r="Q1022" s="217">
        <f>I1022</f>
        <v>2.2000000000000002</v>
      </c>
      <c r="R1022" s="217"/>
      <c r="S1022" s="218" t="s">
        <v>26</v>
      </c>
    </row>
    <row r="1023" spans="1:19" ht="15" customHeight="1">
      <c r="A1023" s="413">
        <f t="shared" si="17"/>
        <v>1023</v>
      </c>
      <c r="B1023" s="26">
        <v>115</v>
      </c>
      <c r="C1023" s="153" t="s">
        <v>73</v>
      </c>
      <c r="D1023" s="211" t="s">
        <v>74</v>
      </c>
      <c r="E1023" s="212"/>
      <c r="F1023" s="213" t="s">
        <v>65</v>
      </c>
      <c r="G1023" s="214" t="s">
        <v>1740</v>
      </c>
      <c r="H1023" s="213" t="s">
        <v>109</v>
      </c>
      <c r="I1023" s="215">
        <v>5.55</v>
      </c>
      <c r="J1023" s="216"/>
      <c r="K1023" s="216"/>
      <c r="L1023" s="216"/>
      <c r="M1023" s="216"/>
      <c r="N1023" s="216">
        <v>31</v>
      </c>
      <c r="O1023" s="217"/>
      <c r="P1023" s="217"/>
      <c r="Q1023" s="217">
        <f>I1023</f>
        <v>5.55</v>
      </c>
      <c r="R1023" s="217"/>
      <c r="S1023" s="218" t="s">
        <v>26</v>
      </c>
    </row>
    <row r="1024" spans="1:19" ht="15" customHeight="1">
      <c r="A1024" s="413">
        <f t="shared" si="17"/>
        <v>1024</v>
      </c>
      <c r="B1024" s="26">
        <v>115</v>
      </c>
      <c r="C1024" s="153" t="s">
        <v>73</v>
      </c>
      <c r="D1024" s="211" t="s">
        <v>74</v>
      </c>
      <c r="E1024" s="212"/>
      <c r="F1024" s="213" t="s">
        <v>89</v>
      </c>
      <c r="G1024" s="214" t="s">
        <v>1756</v>
      </c>
      <c r="H1024" s="213" t="s">
        <v>109</v>
      </c>
      <c r="I1024" s="215">
        <v>3.36</v>
      </c>
      <c r="J1024" s="216"/>
      <c r="K1024" s="216"/>
      <c r="L1024" s="216">
        <v>25</v>
      </c>
      <c r="M1024" s="216"/>
      <c r="N1024" s="216"/>
      <c r="O1024" s="217"/>
      <c r="P1024" s="217">
        <f t="shared" ref="P1024:P1030" si="19">I1024</f>
        <v>3.36</v>
      </c>
      <c r="Q1024" s="217"/>
      <c r="R1024" s="217"/>
      <c r="S1024" s="218" t="s">
        <v>26</v>
      </c>
    </row>
    <row r="1025" spans="1:19" ht="15" customHeight="1">
      <c r="A1025" s="413">
        <f t="shared" si="17"/>
        <v>1025</v>
      </c>
      <c r="B1025" s="26">
        <v>115</v>
      </c>
      <c r="C1025" s="153" t="s">
        <v>73</v>
      </c>
      <c r="D1025" s="211" t="s">
        <v>74</v>
      </c>
      <c r="E1025" s="212"/>
      <c r="F1025" s="213" t="s">
        <v>90</v>
      </c>
      <c r="G1025" s="214" t="s">
        <v>1783</v>
      </c>
      <c r="H1025" s="213" t="s">
        <v>109</v>
      </c>
      <c r="I1025" s="215">
        <v>10.53</v>
      </c>
      <c r="J1025" s="216"/>
      <c r="K1025" s="216"/>
      <c r="L1025" s="216">
        <v>39</v>
      </c>
      <c r="M1025" s="216"/>
      <c r="N1025" s="216"/>
      <c r="O1025" s="217"/>
      <c r="P1025" s="217">
        <f t="shared" si="19"/>
        <v>10.53</v>
      </c>
      <c r="Q1025" s="217"/>
      <c r="R1025" s="217"/>
      <c r="S1025" s="218" t="s">
        <v>77</v>
      </c>
    </row>
    <row r="1026" spans="1:19" ht="15" customHeight="1">
      <c r="A1026" s="413">
        <f t="shared" si="17"/>
        <v>1026</v>
      </c>
      <c r="B1026" s="26">
        <v>115</v>
      </c>
      <c r="C1026" s="153" t="s">
        <v>73</v>
      </c>
      <c r="D1026" s="211" t="s">
        <v>74</v>
      </c>
      <c r="E1026" s="212"/>
      <c r="F1026" s="213" t="s">
        <v>91</v>
      </c>
      <c r="G1026" s="214" t="s">
        <v>1714</v>
      </c>
      <c r="H1026" s="213" t="s">
        <v>109</v>
      </c>
      <c r="I1026" s="215">
        <v>6.55</v>
      </c>
      <c r="J1026" s="216"/>
      <c r="K1026" s="216"/>
      <c r="L1026" s="216">
        <v>11.7</v>
      </c>
      <c r="M1026" s="216"/>
      <c r="N1026" s="216"/>
      <c r="O1026" s="217"/>
      <c r="P1026" s="217">
        <f t="shared" si="19"/>
        <v>6.55</v>
      </c>
      <c r="Q1026" s="217"/>
      <c r="R1026" s="217"/>
      <c r="S1026" s="218" t="s">
        <v>1066</v>
      </c>
    </row>
    <row r="1027" spans="1:19" ht="15" customHeight="1">
      <c r="A1027" s="413">
        <f t="shared" ref="A1027:A1090" si="20">1+A1026</f>
        <v>1027</v>
      </c>
      <c r="B1027" s="26">
        <v>115</v>
      </c>
      <c r="C1027" s="153" t="s">
        <v>73</v>
      </c>
      <c r="D1027" s="211" t="s">
        <v>74</v>
      </c>
      <c r="E1027" s="212"/>
      <c r="F1027" s="213" t="s">
        <v>17</v>
      </c>
      <c r="G1027" s="214" t="s">
        <v>1715</v>
      </c>
      <c r="H1027" s="213" t="s">
        <v>109</v>
      </c>
      <c r="I1027" s="215">
        <v>6.25</v>
      </c>
      <c r="J1027" s="216"/>
      <c r="K1027" s="216"/>
      <c r="L1027" s="216">
        <v>35</v>
      </c>
      <c r="M1027" s="216"/>
      <c r="N1027" s="216"/>
      <c r="O1027" s="217"/>
      <c r="P1027" s="217">
        <f t="shared" si="19"/>
        <v>6.25</v>
      </c>
      <c r="Q1027" s="217"/>
      <c r="R1027" s="217"/>
      <c r="S1027" s="218" t="s">
        <v>26</v>
      </c>
    </row>
    <row r="1028" spans="1:19" ht="15" customHeight="1">
      <c r="A1028" s="413">
        <f t="shared" si="20"/>
        <v>1028</v>
      </c>
      <c r="B1028" s="26">
        <v>115</v>
      </c>
      <c r="C1028" s="153" t="s">
        <v>73</v>
      </c>
      <c r="D1028" s="211" t="s">
        <v>74</v>
      </c>
      <c r="E1028" s="212"/>
      <c r="F1028" s="213" t="s">
        <v>92</v>
      </c>
      <c r="G1028" s="214" t="s">
        <v>1758</v>
      </c>
      <c r="H1028" s="213" t="s">
        <v>109</v>
      </c>
      <c r="I1028" s="215">
        <v>5.25</v>
      </c>
      <c r="J1028" s="216"/>
      <c r="K1028" s="216"/>
      <c r="L1028" s="216">
        <v>35</v>
      </c>
      <c r="M1028" s="216"/>
      <c r="N1028" s="216"/>
      <c r="O1028" s="217"/>
      <c r="P1028" s="217">
        <f t="shared" si="19"/>
        <v>5.25</v>
      </c>
      <c r="Q1028" s="217"/>
      <c r="R1028" s="217"/>
      <c r="S1028" s="218" t="s">
        <v>1067</v>
      </c>
    </row>
    <row r="1029" spans="1:19" ht="15" customHeight="1">
      <c r="A1029" s="413">
        <f t="shared" si="20"/>
        <v>1029</v>
      </c>
      <c r="B1029" s="26">
        <v>115</v>
      </c>
      <c r="C1029" s="153" t="s">
        <v>73</v>
      </c>
      <c r="D1029" s="211" t="s">
        <v>74</v>
      </c>
      <c r="E1029" s="212"/>
      <c r="F1029" s="213" t="s">
        <v>93</v>
      </c>
      <c r="G1029" s="214" t="s">
        <v>1792</v>
      </c>
      <c r="H1029" s="213" t="s">
        <v>109</v>
      </c>
      <c r="I1029" s="215">
        <v>11.57</v>
      </c>
      <c r="J1029" s="216"/>
      <c r="K1029" s="216"/>
      <c r="L1029" s="216">
        <v>39</v>
      </c>
      <c r="M1029" s="216"/>
      <c r="N1029" s="216"/>
      <c r="O1029" s="217"/>
      <c r="P1029" s="217">
        <f t="shared" si="19"/>
        <v>11.57</v>
      </c>
      <c r="Q1029" s="217"/>
      <c r="R1029" s="217"/>
      <c r="S1029" s="218" t="s">
        <v>77</v>
      </c>
    </row>
    <row r="1030" spans="1:19" ht="15" customHeight="1">
      <c r="A1030" s="413">
        <f t="shared" si="20"/>
        <v>1030</v>
      </c>
      <c r="B1030" s="26">
        <v>115</v>
      </c>
      <c r="C1030" s="153" t="s">
        <v>73</v>
      </c>
      <c r="D1030" s="211" t="s">
        <v>74</v>
      </c>
      <c r="E1030" s="212"/>
      <c r="F1030" s="213" t="s">
        <v>94</v>
      </c>
      <c r="G1030" s="214" t="s">
        <v>1793</v>
      </c>
      <c r="H1030" s="213" t="s">
        <v>176</v>
      </c>
      <c r="I1030" s="215">
        <v>8.6300000000000008</v>
      </c>
      <c r="J1030" s="216"/>
      <c r="K1030" s="216"/>
      <c r="L1030" s="216">
        <v>32</v>
      </c>
      <c r="M1030" s="216"/>
      <c r="N1030" s="216"/>
      <c r="O1030" s="217"/>
      <c r="P1030" s="217">
        <f t="shared" si="19"/>
        <v>8.6300000000000008</v>
      </c>
      <c r="Q1030" s="217"/>
      <c r="R1030" s="217"/>
      <c r="S1030" s="218" t="s">
        <v>77</v>
      </c>
    </row>
    <row r="1031" spans="1:19" ht="15" customHeight="1">
      <c r="A1031" s="413">
        <f t="shared" si="20"/>
        <v>1031</v>
      </c>
      <c r="B1031" s="26">
        <v>115</v>
      </c>
      <c r="C1031" s="153" t="s">
        <v>73</v>
      </c>
      <c r="D1031" s="211" t="s">
        <v>74</v>
      </c>
      <c r="E1031" s="212"/>
      <c r="F1031" s="213" t="s">
        <v>95</v>
      </c>
      <c r="G1031" s="214" t="s">
        <v>1794</v>
      </c>
      <c r="H1031" s="213" t="s">
        <v>176</v>
      </c>
      <c r="I1031" s="215">
        <v>16.23</v>
      </c>
      <c r="J1031" s="216"/>
      <c r="K1031" s="216"/>
      <c r="L1031" s="216"/>
      <c r="M1031" s="216"/>
      <c r="N1031" s="216">
        <v>61</v>
      </c>
      <c r="O1031" s="217"/>
      <c r="P1031" s="217"/>
      <c r="Q1031" s="217">
        <f>I1031</f>
        <v>16.23</v>
      </c>
      <c r="R1031" s="217"/>
      <c r="S1031" s="218" t="s">
        <v>26</v>
      </c>
    </row>
    <row r="1032" spans="1:19" ht="15" customHeight="1">
      <c r="A1032" s="413">
        <f t="shared" si="20"/>
        <v>1032</v>
      </c>
      <c r="B1032" s="26">
        <v>115</v>
      </c>
      <c r="C1032" s="153" t="s">
        <v>73</v>
      </c>
      <c r="D1032" s="211" t="s">
        <v>74</v>
      </c>
      <c r="E1032" s="212"/>
      <c r="F1032" s="213" t="s">
        <v>96</v>
      </c>
      <c r="G1032" s="214" t="s">
        <v>1699</v>
      </c>
      <c r="H1032" s="213" t="s">
        <v>68</v>
      </c>
      <c r="I1032" s="215">
        <f>10.3*2.6*1.5+1.7*3*1.5+28.1</f>
        <v>75.92</v>
      </c>
      <c r="J1032" s="216" t="s">
        <v>1055</v>
      </c>
      <c r="K1032" s="216"/>
      <c r="L1032" s="216"/>
      <c r="M1032" s="216"/>
      <c r="N1032" s="216"/>
      <c r="O1032" s="217"/>
      <c r="P1032" s="217"/>
      <c r="Q1032" s="217"/>
      <c r="R1032" s="217"/>
      <c r="S1032" s="218" t="s">
        <v>24</v>
      </c>
    </row>
    <row r="1033" spans="1:19" ht="15" customHeight="1">
      <c r="A1033" s="413">
        <f t="shared" si="20"/>
        <v>1033</v>
      </c>
      <c r="B1033" s="26">
        <v>115</v>
      </c>
      <c r="C1033" s="153" t="s">
        <v>73</v>
      </c>
      <c r="D1033" s="211" t="s">
        <v>74</v>
      </c>
      <c r="E1033" s="212"/>
      <c r="F1033" s="213" t="s">
        <v>96</v>
      </c>
      <c r="G1033" s="214" t="s">
        <v>1700</v>
      </c>
      <c r="H1033" s="213" t="s">
        <v>68</v>
      </c>
      <c r="I1033" s="215">
        <v>62.4</v>
      </c>
      <c r="J1033" s="216" t="s">
        <v>1055</v>
      </c>
      <c r="K1033" s="216"/>
      <c r="L1033" s="216"/>
      <c r="M1033" s="216"/>
      <c r="N1033" s="216"/>
      <c r="O1033" s="217"/>
      <c r="P1033" s="217"/>
      <c r="Q1033" s="217"/>
      <c r="R1033" s="217"/>
      <c r="S1033" s="218" t="s">
        <v>26</v>
      </c>
    </row>
    <row r="1034" spans="1:19" ht="15" customHeight="1">
      <c r="A1034" s="413">
        <f t="shared" si="20"/>
        <v>1034</v>
      </c>
      <c r="B1034" s="26">
        <v>115</v>
      </c>
      <c r="C1034" s="153" t="s">
        <v>73</v>
      </c>
      <c r="D1034" s="211" t="s">
        <v>74</v>
      </c>
      <c r="E1034" s="212"/>
      <c r="F1034" s="213" t="s">
        <v>65</v>
      </c>
      <c r="G1034" s="214" t="s">
        <v>1761</v>
      </c>
      <c r="H1034" s="213" t="s">
        <v>109</v>
      </c>
      <c r="I1034" s="215">
        <v>13.76</v>
      </c>
      <c r="J1034" s="216"/>
      <c r="K1034" s="216"/>
      <c r="L1034" s="216"/>
      <c r="M1034" s="216"/>
      <c r="N1034" s="216">
        <v>38</v>
      </c>
      <c r="O1034" s="217"/>
      <c r="P1034" s="217"/>
      <c r="Q1034" s="217">
        <f>I1034</f>
        <v>13.76</v>
      </c>
      <c r="R1034" s="217"/>
      <c r="S1034" s="218"/>
    </row>
    <row r="1035" spans="1:19" ht="15" customHeight="1">
      <c r="A1035" s="413">
        <f t="shared" si="20"/>
        <v>1035</v>
      </c>
      <c r="B1035" s="26">
        <v>115</v>
      </c>
      <c r="C1035" s="153" t="s">
        <v>73</v>
      </c>
      <c r="D1035" s="211" t="s">
        <v>74</v>
      </c>
      <c r="E1035" s="212"/>
      <c r="F1035" s="213" t="s">
        <v>88</v>
      </c>
      <c r="G1035" s="214" t="s">
        <v>1762</v>
      </c>
      <c r="H1035" s="213" t="s">
        <v>109</v>
      </c>
      <c r="I1035" s="215">
        <v>25.15</v>
      </c>
      <c r="J1035" s="216"/>
      <c r="K1035" s="216"/>
      <c r="L1035" s="216"/>
      <c r="M1035" s="216"/>
      <c r="N1035" s="216">
        <v>175.6</v>
      </c>
      <c r="O1035" s="217"/>
      <c r="P1035" s="217"/>
      <c r="Q1035" s="217">
        <v>13.1</v>
      </c>
      <c r="R1035" s="217"/>
      <c r="S1035" s="218" t="s">
        <v>1068</v>
      </c>
    </row>
    <row r="1036" spans="1:19" ht="15" customHeight="1">
      <c r="A1036" s="413">
        <f t="shared" si="20"/>
        <v>1036</v>
      </c>
      <c r="B1036" s="26">
        <v>115</v>
      </c>
      <c r="C1036" s="153" t="s">
        <v>73</v>
      </c>
      <c r="D1036" s="211" t="s">
        <v>74</v>
      </c>
      <c r="E1036" s="212"/>
      <c r="F1036" s="213" t="s">
        <v>88</v>
      </c>
      <c r="G1036" s="214" t="s">
        <v>1701</v>
      </c>
      <c r="H1036" s="213" t="s">
        <v>109</v>
      </c>
      <c r="I1036" s="215">
        <v>33.200000000000003</v>
      </c>
      <c r="J1036" s="216"/>
      <c r="K1036" s="216"/>
      <c r="L1036" s="216"/>
      <c r="M1036" s="216"/>
      <c r="N1036" s="216">
        <v>57</v>
      </c>
      <c r="O1036" s="217"/>
      <c r="P1036" s="217"/>
      <c r="Q1036" s="217">
        <f>I1036</f>
        <v>33.200000000000003</v>
      </c>
      <c r="R1036" s="217"/>
      <c r="S1036" s="218" t="s">
        <v>26</v>
      </c>
    </row>
    <row r="1037" spans="1:19" ht="15" customHeight="1">
      <c r="A1037" s="413">
        <f t="shared" si="20"/>
        <v>1037</v>
      </c>
      <c r="B1037" s="26">
        <v>115</v>
      </c>
      <c r="C1037" s="153" t="s">
        <v>73</v>
      </c>
      <c r="D1037" s="211" t="s">
        <v>74</v>
      </c>
      <c r="E1037" s="212"/>
      <c r="F1037" s="213" t="s">
        <v>98</v>
      </c>
      <c r="G1037" s="214" t="s">
        <v>1760</v>
      </c>
      <c r="H1037" s="213" t="s">
        <v>1312</v>
      </c>
      <c r="I1037" s="215">
        <v>33.6</v>
      </c>
      <c r="J1037" s="216"/>
      <c r="K1037" s="216"/>
      <c r="L1037" s="216"/>
      <c r="M1037" s="216"/>
      <c r="N1037" s="216"/>
      <c r="O1037" s="217"/>
      <c r="P1037" s="217"/>
      <c r="Q1037" s="217"/>
      <c r="R1037" s="217"/>
      <c r="S1037" s="218" t="s">
        <v>26</v>
      </c>
    </row>
    <row r="1038" spans="1:19" ht="15" customHeight="1">
      <c r="A1038" s="413">
        <f t="shared" si="20"/>
        <v>1038</v>
      </c>
      <c r="B1038" s="26">
        <v>115</v>
      </c>
      <c r="C1038" s="153" t="s">
        <v>73</v>
      </c>
      <c r="D1038" s="211" t="s">
        <v>74</v>
      </c>
      <c r="E1038" s="212"/>
      <c r="F1038" s="213" t="s">
        <v>98</v>
      </c>
      <c r="G1038" s="214" t="s">
        <v>1760</v>
      </c>
      <c r="H1038" s="213" t="s">
        <v>1312</v>
      </c>
      <c r="I1038" s="215">
        <v>33.6</v>
      </c>
      <c r="J1038" s="216"/>
      <c r="K1038" s="216"/>
      <c r="L1038" s="216"/>
      <c r="M1038" s="216"/>
      <c r="N1038" s="216"/>
      <c r="O1038" s="217"/>
      <c r="P1038" s="217"/>
      <c r="Q1038" s="217"/>
      <c r="R1038" s="217"/>
      <c r="S1038" s="218" t="s">
        <v>24</v>
      </c>
    </row>
    <row r="1039" spans="1:19" ht="15" customHeight="1">
      <c r="A1039" s="413">
        <f t="shared" si="20"/>
        <v>1039</v>
      </c>
      <c r="B1039" s="26">
        <v>115</v>
      </c>
      <c r="C1039" s="153" t="s">
        <v>73</v>
      </c>
      <c r="D1039" s="211" t="s">
        <v>74</v>
      </c>
      <c r="E1039" s="212"/>
      <c r="F1039" s="213" t="s">
        <v>91</v>
      </c>
      <c r="G1039" s="214" t="s">
        <v>1795</v>
      </c>
      <c r="H1039" s="213" t="s">
        <v>109</v>
      </c>
      <c r="I1039" s="215">
        <v>14.91</v>
      </c>
      <c r="J1039" s="216"/>
      <c r="K1039" s="216"/>
      <c r="L1039" s="216"/>
      <c r="M1039" s="216"/>
      <c r="N1039" s="216">
        <v>48</v>
      </c>
      <c r="O1039" s="217"/>
      <c r="P1039" s="217"/>
      <c r="Q1039" s="217">
        <f>I1039</f>
        <v>14.91</v>
      </c>
      <c r="R1039" s="217"/>
      <c r="S1039" s="218" t="s">
        <v>24</v>
      </c>
    </row>
    <row r="1040" spans="1:19" ht="15" customHeight="1">
      <c r="A1040" s="413">
        <f t="shared" si="20"/>
        <v>1040</v>
      </c>
      <c r="B1040" s="26">
        <v>115</v>
      </c>
      <c r="C1040" s="153" t="s">
        <v>73</v>
      </c>
      <c r="D1040" s="211" t="s">
        <v>74</v>
      </c>
      <c r="E1040" s="212"/>
      <c r="F1040" s="213" t="s">
        <v>99</v>
      </c>
      <c r="G1040" s="214" t="s">
        <v>1796</v>
      </c>
      <c r="H1040" s="213" t="s">
        <v>298</v>
      </c>
      <c r="I1040" s="215">
        <v>2.4</v>
      </c>
      <c r="J1040" s="216"/>
      <c r="K1040" s="216"/>
      <c r="L1040" s="216"/>
      <c r="M1040" s="216">
        <v>11.5</v>
      </c>
      <c r="N1040" s="216">
        <v>3.5</v>
      </c>
      <c r="O1040" s="217"/>
      <c r="P1040" s="217"/>
      <c r="Q1040" s="217"/>
      <c r="R1040" s="217">
        <f>I1040</f>
        <v>2.4</v>
      </c>
      <c r="S1040" s="218" t="s">
        <v>1060</v>
      </c>
    </row>
    <row r="1041" spans="1:19" ht="15" customHeight="1">
      <c r="A1041" s="413">
        <f t="shared" si="20"/>
        <v>1041</v>
      </c>
      <c r="B1041" s="26">
        <v>115</v>
      </c>
      <c r="C1041" s="153" t="s">
        <v>73</v>
      </c>
      <c r="D1041" s="211" t="s">
        <v>74</v>
      </c>
      <c r="E1041" s="212"/>
      <c r="F1041" s="213" t="s">
        <v>100</v>
      </c>
      <c r="G1041" s="214" t="s">
        <v>101</v>
      </c>
      <c r="H1041" s="213" t="s">
        <v>298</v>
      </c>
      <c r="I1041" s="215">
        <v>2.4</v>
      </c>
      <c r="J1041" s="216"/>
      <c r="K1041" s="216"/>
      <c r="L1041" s="216"/>
      <c r="M1041" s="216">
        <v>11.5</v>
      </c>
      <c r="N1041" s="216">
        <v>3.5</v>
      </c>
      <c r="O1041" s="217"/>
      <c r="P1041" s="217"/>
      <c r="Q1041" s="217"/>
      <c r="R1041" s="217">
        <f>I1041</f>
        <v>2.4</v>
      </c>
      <c r="S1041" s="218" t="s">
        <v>1059</v>
      </c>
    </row>
    <row r="1042" spans="1:19" ht="15" customHeight="1">
      <c r="A1042" s="413">
        <f t="shared" si="20"/>
        <v>1042</v>
      </c>
      <c r="B1042" s="26">
        <v>116</v>
      </c>
      <c r="C1042" s="153" t="s">
        <v>237</v>
      </c>
      <c r="D1042" s="211" t="s">
        <v>22</v>
      </c>
      <c r="E1042" s="212"/>
      <c r="F1042" s="213" t="s">
        <v>168</v>
      </c>
      <c r="G1042" s="214" t="s">
        <v>200</v>
      </c>
      <c r="H1042" s="213" t="s">
        <v>160</v>
      </c>
      <c r="I1042" s="215">
        <v>35</v>
      </c>
      <c r="J1042" s="216"/>
      <c r="K1042" s="216">
        <v>186</v>
      </c>
      <c r="L1042" s="216"/>
      <c r="M1042" s="216"/>
      <c r="N1042" s="216"/>
      <c r="O1042" s="217"/>
      <c r="P1042" s="217"/>
      <c r="Q1042" s="217">
        <f>I1042</f>
        <v>35</v>
      </c>
      <c r="R1042" s="217"/>
      <c r="S1042" s="218"/>
    </row>
    <row r="1043" spans="1:19" ht="15" customHeight="1">
      <c r="A1043" s="413">
        <f t="shared" si="20"/>
        <v>1043</v>
      </c>
      <c r="B1043" s="26">
        <v>116</v>
      </c>
      <c r="C1043" s="153" t="s">
        <v>237</v>
      </c>
      <c r="D1043" s="211" t="s">
        <v>22</v>
      </c>
      <c r="E1043" s="212"/>
      <c r="F1043" s="213" t="s">
        <v>123</v>
      </c>
      <c r="G1043" s="214" t="s">
        <v>202</v>
      </c>
      <c r="H1043" s="213" t="s">
        <v>109</v>
      </c>
      <c r="I1043" s="215">
        <v>5</v>
      </c>
      <c r="J1043" s="216"/>
      <c r="K1043" s="216">
        <v>35</v>
      </c>
      <c r="L1043" s="216"/>
      <c r="M1043" s="216"/>
      <c r="N1043" s="216"/>
      <c r="O1043" s="217"/>
      <c r="P1043" s="217"/>
      <c r="Q1043" s="217">
        <f>I1043</f>
        <v>5</v>
      </c>
      <c r="R1043" s="217"/>
      <c r="S1043" s="218"/>
    </row>
    <row r="1044" spans="1:19" ht="15" customHeight="1">
      <c r="A1044" s="413">
        <f t="shared" si="20"/>
        <v>1044</v>
      </c>
      <c r="B1044" s="26">
        <v>116</v>
      </c>
      <c r="C1044" s="153" t="s">
        <v>237</v>
      </c>
      <c r="D1044" s="211" t="s">
        <v>22</v>
      </c>
      <c r="E1044" s="212"/>
      <c r="F1044" s="213" t="s">
        <v>238</v>
      </c>
      <c r="G1044" s="214" t="s">
        <v>170</v>
      </c>
      <c r="H1044" s="213" t="s">
        <v>12</v>
      </c>
      <c r="I1044" s="215">
        <v>19</v>
      </c>
      <c r="J1044" s="216"/>
      <c r="K1044" s="216"/>
      <c r="L1044" s="216">
        <v>30</v>
      </c>
      <c r="M1044" s="216"/>
      <c r="N1044" s="216"/>
      <c r="O1044" s="217"/>
      <c r="P1044" s="217">
        <f t="shared" ref="P1044:P1049" si="21">I1044</f>
        <v>19</v>
      </c>
      <c r="Q1044" s="217"/>
      <c r="R1044" s="217"/>
      <c r="S1044" s="218"/>
    </row>
    <row r="1045" spans="1:19" ht="15" customHeight="1">
      <c r="A1045" s="413">
        <f t="shared" si="20"/>
        <v>1045</v>
      </c>
      <c r="B1045" s="26">
        <v>116</v>
      </c>
      <c r="C1045" s="153" t="s">
        <v>237</v>
      </c>
      <c r="D1045" s="211" t="s">
        <v>22</v>
      </c>
      <c r="E1045" s="212"/>
      <c r="F1045" s="213" t="s">
        <v>220</v>
      </c>
      <c r="G1045" s="214" t="s">
        <v>171</v>
      </c>
      <c r="H1045" s="213" t="s">
        <v>12</v>
      </c>
      <c r="I1045" s="215">
        <v>15</v>
      </c>
      <c r="J1045" s="216"/>
      <c r="K1045" s="216"/>
      <c r="L1045" s="216">
        <v>22</v>
      </c>
      <c r="M1045" s="216"/>
      <c r="N1045" s="216"/>
      <c r="O1045" s="217"/>
      <c r="P1045" s="217">
        <f t="shared" si="21"/>
        <v>15</v>
      </c>
      <c r="Q1045" s="217"/>
      <c r="R1045" s="217"/>
      <c r="S1045" s="218"/>
    </row>
    <row r="1046" spans="1:19" ht="15" customHeight="1">
      <c r="A1046" s="413">
        <f t="shared" si="20"/>
        <v>1046</v>
      </c>
      <c r="B1046" s="26">
        <v>116</v>
      </c>
      <c r="C1046" s="153" t="s">
        <v>237</v>
      </c>
      <c r="D1046" s="211" t="s">
        <v>22</v>
      </c>
      <c r="E1046" s="212"/>
      <c r="F1046" s="213" t="s">
        <v>239</v>
      </c>
      <c r="G1046" s="214" t="s">
        <v>172</v>
      </c>
      <c r="H1046" s="213" t="s">
        <v>12</v>
      </c>
      <c r="I1046" s="215">
        <v>13</v>
      </c>
      <c r="J1046" s="216"/>
      <c r="K1046" s="216"/>
      <c r="L1046" s="216">
        <v>21</v>
      </c>
      <c r="M1046" s="216"/>
      <c r="N1046" s="216"/>
      <c r="O1046" s="217"/>
      <c r="P1046" s="217">
        <f t="shared" si="21"/>
        <v>13</v>
      </c>
      <c r="Q1046" s="217"/>
      <c r="R1046" s="217"/>
      <c r="S1046" s="218"/>
    </row>
    <row r="1047" spans="1:19" ht="15" customHeight="1">
      <c r="A1047" s="413">
        <f t="shared" si="20"/>
        <v>1047</v>
      </c>
      <c r="B1047" s="26">
        <v>116</v>
      </c>
      <c r="C1047" s="153" t="s">
        <v>237</v>
      </c>
      <c r="D1047" s="211" t="s">
        <v>22</v>
      </c>
      <c r="E1047" s="212"/>
      <c r="F1047" s="213" t="s">
        <v>240</v>
      </c>
      <c r="G1047" s="214" t="s">
        <v>173</v>
      </c>
      <c r="H1047" s="213" t="s">
        <v>12</v>
      </c>
      <c r="I1047" s="215">
        <v>3</v>
      </c>
      <c r="J1047" s="216"/>
      <c r="K1047" s="216"/>
      <c r="L1047" s="216">
        <v>16</v>
      </c>
      <c r="M1047" s="216"/>
      <c r="N1047" s="216"/>
      <c r="O1047" s="217"/>
      <c r="P1047" s="217">
        <f t="shared" si="21"/>
        <v>3</v>
      </c>
      <c r="Q1047" s="217"/>
      <c r="R1047" s="217"/>
      <c r="S1047" s="218"/>
    </row>
    <row r="1048" spans="1:19" ht="15" customHeight="1">
      <c r="A1048" s="413">
        <f t="shared" si="20"/>
        <v>1048</v>
      </c>
      <c r="B1048" s="26">
        <v>116</v>
      </c>
      <c r="C1048" s="153" t="s">
        <v>237</v>
      </c>
      <c r="D1048" s="211" t="s">
        <v>22</v>
      </c>
      <c r="E1048" s="212"/>
      <c r="F1048" s="213" t="s">
        <v>241</v>
      </c>
      <c r="G1048" s="214" t="s">
        <v>1797</v>
      </c>
      <c r="H1048" s="213" t="s">
        <v>169</v>
      </c>
      <c r="I1048" s="215">
        <v>158</v>
      </c>
      <c r="J1048" s="216"/>
      <c r="K1048" s="216"/>
      <c r="L1048" s="216">
        <v>75</v>
      </c>
      <c r="M1048" s="216"/>
      <c r="N1048" s="216"/>
      <c r="O1048" s="217"/>
      <c r="P1048" s="217">
        <f t="shared" si="21"/>
        <v>158</v>
      </c>
      <c r="Q1048" s="217"/>
      <c r="R1048" s="217"/>
      <c r="S1048" s="218"/>
    </row>
    <row r="1049" spans="1:19" ht="15" customHeight="1">
      <c r="A1049" s="413">
        <f t="shared" si="20"/>
        <v>1049</v>
      </c>
      <c r="B1049" s="26">
        <v>116</v>
      </c>
      <c r="C1049" s="153" t="s">
        <v>237</v>
      </c>
      <c r="D1049" s="211" t="s">
        <v>22</v>
      </c>
      <c r="E1049" s="212"/>
      <c r="F1049" s="213" t="s">
        <v>242</v>
      </c>
      <c r="G1049" s="214" t="s">
        <v>1798</v>
      </c>
      <c r="H1049" s="213" t="s">
        <v>12</v>
      </c>
      <c r="I1049" s="215">
        <v>33</v>
      </c>
      <c r="J1049" s="216"/>
      <c r="K1049" s="216"/>
      <c r="L1049" s="216">
        <v>33</v>
      </c>
      <c r="M1049" s="216"/>
      <c r="N1049" s="216"/>
      <c r="O1049" s="217"/>
      <c r="P1049" s="217">
        <f t="shared" si="21"/>
        <v>33</v>
      </c>
      <c r="Q1049" s="217"/>
      <c r="R1049" s="217"/>
      <c r="S1049" s="218"/>
    </row>
    <row r="1050" spans="1:19" ht="15" customHeight="1">
      <c r="A1050" s="413">
        <f t="shared" si="20"/>
        <v>1050</v>
      </c>
      <c r="B1050" s="26">
        <v>116</v>
      </c>
      <c r="C1050" s="153" t="s">
        <v>237</v>
      </c>
      <c r="D1050" s="211" t="s">
        <v>22</v>
      </c>
      <c r="E1050" s="212"/>
      <c r="F1050" s="213" t="s">
        <v>143</v>
      </c>
      <c r="G1050" s="214" t="s">
        <v>63</v>
      </c>
      <c r="H1050" s="213" t="s">
        <v>109</v>
      </c>
      <c r="I1050" s="215">
        <v>140</v>
      </c>
      <c r="J1050" s="216"/>
      <c r="K1050" s="216">
        <v>395</v>
      </c>
      <c r="L1050" s="216"/>
      <c r="M1050" s="216"/>
      <c r="N1050" s="216"/>
      <c r="O1050" s="217"/>
      <c r="P1050" s="217"/>
      <c r="Q1050" s="217">
        <f>I1050</f>
        <v>140</v>
      </c>
      <c r="R1050" s="217"/>
      <c r="S1050" s="218"/>
    </row>
    <row r="1051" spans="1:19" ht="15" customHeight="1">
      <c r="A1051" s="413">
        <f t="shared" si="20"/>
        <v>1051</v>
      </c>
      <c r="B1051" s="26">
        <v>116</v>
      </c>
      <c r="C1051" s="153" t="s">
        <v>237</v>
      </c>
      <c r="D1051" s="211" t="s">
        <v>22</v>
      </c>
      <c r="E1051" s="212"/>
      <c r="F1051" s="213" t="s">
        <v>64</v>
      </c>
      <c r="G1051" s="214" t="s">
        <v>223</v>
      </c>
      <c r="H1051" s="213" t="s">
        <v>68</v>
      </c>
      <c r="I1051" s="215">
        <v>7</v>
      </c>
      <c r="J1051" s="216" t="s">
        <v>316</v>
      </c>
      <c r="K1051" s="216"/>
      <c r="L1051" s="216"/>
      <c r="M1051" s="216"/>
      <c r="N1051" s="216"/>
      <c r="O1051" s="217"/>
      <c r="P1051" s="217"/>
      <c r="Q1051" s="217">
        <f>I1051</f>
        <v>7</v>
      </c>
      <c r="R1051" s="217"/>
      <c r="S1051" s="218"/>
    </row>
    <row r="1052" spans="1:19" ht="15" customHeight="1">
      <c r="A1052" s="413">
        <f t="shared" si="20"/>
        <v>1052</v>
      </c>
      <c r="B1052" s="26">
        <v>116</v>
      </c>
      <c r="C1052" s="153" t="s">
        <v>237</v>
      </c>
      <c r="D1052" s="211" t="s">
        <v>22</v>
      </c>
      <c r="E1052" s="212"/>
      <c r="F1052" s="213" t="s">
        <v>175</v>
      </c>
      <c r="G1052" s="214" t="s">
        <v>16</v>
      </c>
      <c r="H1052" s="213" t="s">
        <v>160</v>
      </c>
      <c r="I1052" s="215">
        <v>5</v>
      </c>
      <c r="J1052" s="216"/>
      <c r="K1052" s="216"/>
      <c r="L1052" s="216">
        <v>21</v>
      </c>
      <c r="M1052" s="216"/>
      <c r="N1052" s="216"/>
      <c r="O1052" s="217"/>
      <c r="P1052" s="217">
        <f>I1052</f>
        <v>5</v>
      </c>
      <c r="Q1052" s="217"/>
      <c r="R1052" s="217"/>
      <c r="S1052" s="218"/>
    </row>
    <row r="1053" spans="1:19" ht="15" customHeight="1">
      <c r="A1053" s="413">
        <f t="shared" si="20"/>
        <v>1053</v>
      </c>
      <c r="B1053" s="26">
        <v>116</v>
      </c>
      <c r="C1053" s="153" t="s">
        <v>237</v>
      </c>
      <c r="D1053" s="211" t="s">
        <v>22</v>
      </c>
      <c r="E1053" s="212"/>
      <c r="F1053" s="213" t="s">
        <v>175</v>
      </c>
      <c r="G1053" s="214" t="s">
        <v>182</v>
      </c>
      <c r="H1053" s="213" t="s">
        <v>109</v>
      </c>
      <c r="I1053" s="215">
        <v>6</v>
      </c>
      <c r="J1053" s="216"/>
      <c r="K1053" s="216">
        <v>30</v>
      </c>
      <c r="L1053" s="216"/>
      <c r="M1053" s="216"/>
      <c r="N1053" s="216"/>
      <c r="O1053" s="217"/>
      <c r="P1053" s="217"/>
      <c r="Q1053" s="217">
        <f>I1053</f>
        <v>6</v>
      </c>
      <c r="R1053" s="217"/>
      <c r="S1053" s="218"/>
    </row>
    <row r="1054" spans="1:19" ht="15" customHeight="1">
      <c r="A1054" s="413">
        <f t="shared" si="20"/>
        <v>1054</v>
      </c>
      <c r="B1054" s="26">
        <v>116</v>
      </c>
      <c r="C1054" s="153" t="s">
        <v>237</v>
      </c>
      <c r="D1054" s="211" t="s">
        <v>22</v>
      </c>
      <c r="E1054" s="212"/>
      <c r="F1054" s="213" t="s">
        <v>36</v>
      </c>
      <c r="G1054" s="214" t="s">
        <v>1746</v>
      </c>
      <c r="H1054" s="213" t="s">
        <v>160</v>
      </c>
      <c r="I1054" s="215">
        <v>20</v>
      </c>
      <c r="J1054" s="216"/>
      <c r="K1054" s="216"/>
      <c r="L1054" s="216">
        <v>58</v>
      </c>
      <c r="M1054" s="216"/>
      <c r="N1054" s="216"/>
      <c r="O1054" s="217"/>
      <c r="P1054" s="217">
        <f>I1054</f>
        <v>20</v>
      </c>
      <c r="Q1054" s="217"/>
      <c r="R1054" s="217"/>
      <c r="S1054" s="218"/>
    </row>
    <row r="1055" spans="1:19" ht="15" customHeight="1">
      <c r="A1055" s="413">
        <f t="shared" si="20"/>
        <v>1055</v>
      </c>
      <c r="B1055" s="26">
        <v>116</v>
      </c>
      <c r="C1055" s="153" t="s">
        <v>237</v>
      </c>
      <c r="D1055" s="211" t="s">
        <v>22</v>
      </c>
      <c r="E1055" s="212"/>
      <c r="F1055" s="213" t="s">
        <v>37</v>
      </c>
      <c r="G1055" s="214" t="s">
        <v>1799</v>
      </c>
      <c r="H1055" s="213" t="s">
        <v>160</v>
      </c>
      <c r="I1055" s="215">
        <v>9</v>
      </c>
      <c r="J1055" s="216"/>
      <c r="K1055" s="216"/>
      <c r="L1055" s="216">
        <v>29</v>
      </c>
      <c r="M1055" s="216"/>
      <c r="N1055" s="216"/>
      <c r="O1055" s="217"/>
      <c r="P1055" s="217">
        <f>I1055</f>
        <v>9</v>
      </c>
      <c r="Q1055" s="217"/>
      <c r="R1055" s="217"/>
      <c r="S1055" s="218"/>
    </row>
    <row r="1056" spans="1:19" ht="15" customHeight="1">
      <c r="A1056" s="413">
        <f t="shared" si="20"/>
        <v>1056</v>
      </c>
      <c r="B1056" s="26">
        <v>116</v>
      </c>
      <c r="C1056" s="153" t="s">
        <v>237</v>
      </c>
      <c r="D1056" s="211" t="s">
        <v>22</v>
      </c>
      <c r="E1056" s="212"/>
      <c r="F1056" s="213" t="s">
        <v>243</v>
      </c>
      <c r="G1056" s="214" t="s">
        <v>1800</v>
      </c>
      <c r="H1056" s="213" t="s">
        <v>160</v>
      </c>
      <c r="I1056" s="215">
        <v>6</v>
      </c>
      <c r="J1056" s="216"/>
      <c r="K1056" s="216">
        <v>39</v>
      </c>
      <c r="L1056" s="216"/>
      <c r="M1056" s="216"/>
      <c r="N1056" s="216"/>
      <c r="O1056" s="217"/>
      <c r="P1056" s="217"/>
      <c r="Q1056" s="217">
        <f>I1056</f>
        <v>6</v>
      </c>
      <c r="R1056" s="217"/>
      <c r="S1056" s="218"/>
    </row>
    <row r="1057" spans="1:19" ht="15" customHeight="1">
      <c r="A1057" s="413">
        <f t="shared" si="20"/>
        <v>1057</v>
      </c>
      <c r="B1057" s="26">
        <v>116</v>
      </c>
      <c r="C1057" s="153" t="s">
        <v>237</v>
      </c>
      <c r="D1057" s="211" t="s">
        <v>22</v>
      </c>
      <c r="E1057" s="212"/>
      <c r="F1057" s="213" t="s">
        <v>41</v>
      </c>
      <c r="G1057" s="214" t="s">
        <v>188</v>
      </c>
      <c r="H1057" s="213" t="s">
        <v>160</v>
      </c>
      <c r="I1057" s="215">
        <v>7</v>
      </c>
      <c r="J1057" s="216"/>
      <c r="K1057" s="216">
        <v>33</v>
      </c>
      <c r="L1057" s="216"/>
      <c r="M1057" s="216"/>
      <c r="N1057" s="216"/>
      <c r="O1057" s="217"/>
      <c r="P1057" s="217"/>
      <c r="Q1057" s="217">
        <f>I1057</f>
        <v>7</v>
      </c>
      <c r="R1057" s="217"/>
      <c r="S1057" s="218"/>
    </row>
    <row r="1058" spans="1:19" ht="15" customHeight="1">
      <c r="A1058" s="413">
        <f t="shared" si="20"/>
        <v>1058</v>
      </c>
      <c r="B1058" s="26">
        <v>116</v>
      </c>
      <c r="C1058" s="153" t="s">
        <v>237</v>
      </c>
      <c r="D1058" s="211" t="s">
        <v>22</v>
      </c>
      <c r="E1058" s="212"/>
      <c r="F1058" s="213" t="s">
        <v>244</v>
      </c>
      <c r="G1058" s="214" t="s">
        <v>1801</v>
      </c>
      <c r="H1058" s="213" t="s">
        <v>148</v>
      </c>
      <c r="I1058" s="215">
        <v>3</v>
      </c>
      <c r="J1058" s="216">
        <v>18</v>
      </c>
      <c r="K1058" s="216"/>
      <c r="L1058" s="216"/>
      <c r="M1058" s="216"/>
      <c r="N1058" s="216"/>
      <c r="O1058" s="217"/>
      <c r="P1058" s="217"/>
      <c r="Q1058" s="217"/>
      <c r="R1058" s="217">
        <f>I1058</f>
        <v>3</v>
      </c>
      <c r="S1058" s="218"/>
    </row>
    <row r="1059" spans="1:19" ht="15" customHeight="1">
      <c r="A1059" s="413">
        <f t="shared" si="20"/>
        <v>1059</v>
      </c>
      <c r="B1059" s="26">
        <v>116</v>
      </c>
      <c r="C1059" s="153" t="s">
        <v>237</v>
      </c>
      <c r="D1059" s="211" t="s">
        <v>22</v>
      </c>
      <c r="E1059" s="212"/>
      <c r="F1059" s="213" t="s">
        <v>245</v>
      </c>
      <c r="G1059" s="214" t="s">
        <v>1747</v>
      </c>
      <c r="H1059" s="213" t="s">
        <v>148</v>
      </c>
      <c r="I1059" s="215">
        <v>3</v>
      </c>
      <c r="J1059" s="216">
        <v>18</v>
      </c>
      <c r="K1059" s="216"/>
      <c r="L1059" s="216"/>
      <c r="M1059" s="216"/>
      <c r="N1059" s="216"/>
      <c r="O1059" s="217"/>
      <c r="P1059" s="217"/>
      <c r="Q1059" s="217"/>
      <c r="R1059" s="217">
        <f>I1059</f>
        <v>3</v>
      </c>
      <c r="S1059" s="218"/>
    </row>
    <row r="1060" spans="1:19" ht="15" customHeight="1">
      <c r="A1060" s="413">
        <f t="shared" si="20"/>
        <v>1060</v>
      </c>
      <c r="B1060" s="26">
        <v>116</v>
      </c>
      <c r="C1060" s="153" t="s">
        <v>237</v>
      </c>
      <c r="D1060" s="211" t="s">
        <v>22</v>
      </c>
      <c r="E1060" s="212"/>
      <c r="F1060" s="213" t="s">
        <v>168</v>
      </c>
      <c r="G1060" s="214" t="s">
        <v>1802</v>
      </c>
      <c r="H1060" s="213" t="s">
        <v>160</v>
      </c>
      <c r="I1060" s="215">
        <v>20</v>
      </c>
      <c r="J1060" s="216" t="s">
        <v>325</v>
      </c>
      <c r="K1060" s="216"/>
      <c r="L1060" s="216"/>
      <c r="M1060" s="216"/>
      <c r="N1060" s="216"/>
      <c r="O1060" s="217"/>
      <c r="P1060" s="217"/>
      <c r="Q1060" s="217">
        <f>I1060</f>
        <v>20</v>
      </c>
      <c r="R1060" s="217"/>
      <c r="S1060" s="218"/>
    </row>
    <row r="1061" spans="1:19" ht="15" customHeight="1">
      <c r="A1061" s="413">
        <f t="shared" si="20"/>
        <v>1061</v>
      </c>
      <c r="B1061" s="26">
        <v>116</v>
      </c>
      <c r="C1061" s="153" t="s">
        <v>237</v>
      </c>
      <c r="D1061" s="211" t="s">
        <v>22</v>
      </c>
      <c r="E1061" s="212"/>
      <c r="F1061" s="213" t="s">
        <v>125</v>
      </c>
      <c r="G1061" s="214" t="s">
        <v>191</v>
      </c>
      <c r="H1061" s="213" t="s">
        <v>298</v>
      </c>
      <c r="I1061" s="215">
        <v>4</v>
      </c>
      <c r="J1061" s="216"/>
      <c r="K1061" s="216"/>
      <c r="L1061" s="216"/>
      <c r="M1061" s="216">
        <v>15</v>
      </c>
      <c r="N1061" s="216"/>
      <c r="O1061" s="217"/>
      <c r="P1061" s="217"/>
      <c r="Q1061" s="217"/>
      <c r="R1061" s="217">
        <f>I1061</f>
        <v>4</v>
      </c>
      <c r="S1061" s="218"/>
    </row>
    <row r="1062" spans="1:19" ht="15" customHeight="1">
      <c r="A1062" s="413">
        <f t="shared" si="20"/>
        <v>1062</v>
      </c>
      <c r="B1062" s="26">
        <v>116</v>
      </c>
      <c r="C1062" s="153" t="s">
        <v>237</v>
      </c>
      <c r="D1062" s="211" t="s">
        <v>22</v>
      </c>
      <c r="E1062" s="212"/>
      <c r="F1062" s="213" t="s">
        <v>246</v>
      </c>
      <c r="G1062" s="214" t="s">
        <v>207</v>
      </c>
      <c r="H1062" s="213" t="s">
        <v>12</v>
      </c>
      <c r="I1062" s="215">
        <v>9</v>
      </c>
      <c r="J1062" s="216"/>
      <c r="K1062" s="216"/>
      <c r="L1062" s="216">
        <v>18</v>
      </c>
      <c r="M1062" s="216"/>
      <c r="N1062" s="216"/>
      <c r="O1062" s="217"/>
      <c r="P1062" s="217">
        <f>I1062</f>
        <v>9</v>
      </c>
      <c r="Q1062" s="217"/>
      <c r="R1062" s="217"/>
      <c r="S1062" s="218"/>
    </row>
    <row r="1063" spans="1:19" ht="15" customHeight="1">
      <c r="A1063" s="413">
        <f t="shared" si="20"/>
        <v>1063</v>
      </c>
      <c r="B1063" s="26">
        <v>116</v>
      </c>
      <c r="C1063" s="153" t="s">
        <v>237</v>
      </c>
      <c r="D1063" s="211" t="s">
        <v>22</v>
      </c>
      <c r="E1063" s="212"/>
      <c r="F1063" s="213" t="s">
        <v>152</v>
      </c>
      <c r="G1063" s="214" t="s">
        <v>209</v>
      </c>
      <c r="H1063" s="213" t="s">
        <v>176</v>
      </c>
      <c r="I1063" s="215">
        <v>18</v>
      </c>
      <c r="J1063" s="216"/>
      <c r="K1063" s="216">
        <v>58</v>
      </c>
      <c r="L1063" s="216"/>
      <c r="M1063" s="216"/>
      <c r="N1063" s="216"/>
      <c r="O1063" s="217"/>
      <c r="P1063" s="217"/>
      <c r="Q1063" s="217">
        <f>I1063</f>
        <v>18</v>
      </c>
      <c r="R1063" s="217"/>
      <c r="S1063" s="218"/>
    </row>
    <row r="1064" spans="1:19" ht="15" customHeight="1">
      <c r="A1064" s="413">
        <f t="shared" si="20"/>
        <v>1064</v>
      </c>
      <c r="B1064" s="26">
        <v>116</v>
      </c>
      <c r="C1064" s="153" t="s">
        <v>237</v>
      </c>
      <c r="D1064" s="211" t="s">
        <v>22</v>
      </c>
      <c r="E1064" s="212"/>
      <c r="F1064" s="213" t="s">
        <v>247</v>
      </c>
      <c r="G1064" s="214" t="s">
        <v>197</v>
      </c>
      <c r="H1064" s="213" t="s">
        <v>109</v>
      </c>
      <c r="I1064" s="215">
        <v>26</v>
      </c>
      <c r="J1064" s="216" t="s">
        <v>316</v>
      </c>
      <c r="K1064" s="216"/>
      <c r="L1064" s="216"/>
      <c r="M1064" s="216"/>
      <c r="N1064" s="216"/>
      <c r="O1064" s="217"/>
      <c r="P1064" s="217"/>
      <c r="Q1064" s="217">
        <f>I1064</f>
        <v>26</v>
      </c>
      <c r="R1064" s="217"/>
      <c r="S1064" s="218"/>
    </row>
    <row r="1065" spans="1:19" ht="15" customHeight="1">
      <c r="A1065" s="413">
        <f t="shared" si="20"/>
        <v>1065</v>
      </c>
      <c r="B1065" s="26">
        <v>116</v>
      </c>
      <c r="C1065" s="153" t="s">
        <v>237</v>
      </c>
      <c r="D1065" s="211" t="s">
        <v>22</v>
      </c>
      <c r="E1065" s="212"/>
      <c r="F1065" s="213" t="s">
        <v>175</v>
      </c>
      <c r="G1065" s="214" t="s">
        <v>1803</v>
      </c>
      <c r="H1065" s="213" t="s">
        <v>160</v>
      </c>
      <c r="I1065" s="215">
        <v>15</v>
      </c>
      <c r="J1065" s="216"/>
      <c r="K1065" s="216"/>
      <c r="L1065" s="216">
        <v>75</v>
      </c>
      <c r="M1065" s="216"/>
      <c r="N1065" s="216"/>
      <c r="O1065" s="217"/>
      <c r="P1065" s="217">
        <f>I1065</f>
        <v>15</v>
      </c>
      <c r="Q1065" s="217"/>
      <c r="R1065" s="217"/>
      <c r="S1065" s="218"/>
    </row>
    <row r="1066" spans="1:19" ht="15" customHeight="1">
      <c r="A1066" s="413">
        <f t="shared" si="20"/>
        <v>1066</v>
      </c>
      <c r="B1066" s="26">
        <v>116</v>
      </c>
      <c r="C1066" s="153" t="s">
        <v>237</v>
      </c>
      <c r="D1066" s="211" t="s">
        <v>22</v>
      </c>
      <c r="E1066" s="212"/>
      <c r="F1066" s="213" t="s">
        <v>213</v>
      </c>
      <c r="G1066" s="214" t="s">
        <v>1804</v>
      </c>
      <c r="H1066" s="213" t="s">
        <v>176</v>
      </c>
      <c r="I1066" s="215">
        <v>16</v>
      </c>
      <c r="J1066" s="216"/>
      <c r="K1066" s="216">
        <v>75</v>
      </c>
      <c r="L1066" s="216"/>
      <c r="M1066" s="216"/>
      <c r="N1066" s="216"/>
      <c r="O1066" s="217"/>
      <c r="P1066" s="217"/>
      <c r="Q1066" s="217">
        <f>I1066</f>
        <v>16</v>
      </c>
      <c r="R1066" s="217"/>
      <c r="S1066" s="218"/>
    </row>
    <row r="1067" spans="1:19" ht="15" customHeight="1">
      <c r="A1067" s="413">
        <f t="shared" si="20"/>
        <v>1067</v>
      </c>
      <c r="B1067" s="26">
        <v>116</v>
      </c>
      <c r="C1067" s="153" t="s">
        <v>237</v>
      </c>
      <c r="D1067" s="211" t="s">
        <v>22</v>
      </c>
      <c r="E1067" s="212"/>
      <c r="F1067" s="213" t="s">
        <v>130</v>
      </c>
      <c r="G1067" s="214" t="s">
        <v>1805</v>
      </c>
      <c r="H1067" s="213" t="s">
        <v>160</v>
      </c>
      <c r="I1067" s="215">
        <v>76</v>
      </c>
      <c r="J1067" s="216"/>
      <c r="K1067" s="216">
        <v>180</v>
      </c>
      <c r="L1067" s="216"/>
      <c r="M1067" s="216"/>
      <c r="N1067" s="216"/>
      <c r="O1067" s="217"/>
      <c r="P1067" s="217"/>
      <c r="Q1067" s="217">
        <f>I1067</f>
        <v>76</v>
      </c>
      <c r="R1067" s="217"/>
      <c r="S1067" s="218"/>
    </row>
    <row r="1068" spans="1:19" ht="15" customHeight="1">
      <c r="A1068" s="413">
        <f t="shared" si="20"/>
        <v>1068</v>
      </c>
      <c r="B1068" s="26">
        <v>116</v>
      </c>
      <c r="C1068" s="153" t="s">
        <v>237</v>
      </c>
      <c r="D1068" s="211" t="s">
        <v>22</v>
      </c>
      <c r="E1068" s="212"/>
      <c r="F1068" s="213" t="s">
        <v>299</v>
      </c>
      <c r="G1068" s="214" t="s">
        <v>1806</v>
      </c>
      <c r="H1068" s="213" t="s">
        <v>160</v>
      </c>
      <c r="I1068" s="215">
        <v>13</v>
      </c>
      <c r="J1068" s="216" t="s">
        <v>325</v>
      </c>
      <c r="K1068" s="216"/>
      <c r="L1068" s="216"/>
      <c r="M1068" s="216"/>
      <c r="N1068" s="216"/>
      <c r="O1068" s="217"/>
      <c r="P1068" s="217"/>
      <c r="Q1068" s="217">
        <f>I1068</f>
        <v>13</v>
      </c>
      <c r="R1068" s="217"/>
      <c r="S1068" s="218"/>
    </row>
    <row r="1069" spans="1:19" ht="15" customHeight="1">
      <c r="A1069" s="413">
        <f t="shared" si="20"/>
        <v>1069</v>
      </c>
      <c r="B1069" s="26">
        <v>116</v>
      </c>
      <c r="C1069" s="153" t="s">
        <v>237</v>
      </c>
      <c r="D1069" s="211" t="s">
        <v>22</v>
      </c>
      <c r="E1069" s="212"/>
      <c r="F1069" s="213" t="s">
        <v>248</v>
      </c>
      <c r="G1069" s="214" t="s">
        <v>1807</v>
      </c>
      <c r="H1069" s="213" t="s">
        <v>160</v>
      </c>
      <c r="I1069" s="215">
        <v>1</v>
      </c>
      <c r="J1069" s="216"/>
      <c r="K1069" s="216"/>
      <c r="L1069" s="216">
        <v>8</v>
      </c>
      <c r="M1069" s="216"/>
      <c r="N1069" s="216"/>
      <c r="O1069" s="217"/>
      <c r="P1069" s="217">
        <f>I1069</f>
        <v>1</v>
      </c>
      <c r="Q1069" s="217"/>
      <c r="R1069" s="217"/>
      <c r="S1069" s="218"/>
    </row>
    <row r="1070" spans="1:19" ht="15" customHeight="1">
      <c r="A1070" s="413">
        <f t="shared" si="20"/>
        <v>1070</v>
      </c>
      <c r="B1070" s="26">
        <v>116</v>
      </c>
      <c r="C1070" s="153" t="s">
        <v>237</v>
      </c>
      <c r="D1070" s="211" t="s">
        <v>22</v>
      </c>
      <c r="E1070" s="212"/>
      <c r="F1070" s="213" t="s">
        <v>248</v>
      </c>
      <c r="G1070" s="214" t="s">
        <v>1808</v>
      </c>
      <c r="H1070" s="213" t="s">
        <v>160</v>
      </c>
      <c r="I1070" s="215">
        <v>1</v>
      </c>
      <c r="J1070" s="216"/>
      <c r="K1070" s="216"/>
      <c r="L1070" s="216">
        <v>8</v>
      </c>
      <c r="M1070" s="216"/>
      <c r="N1070" s="216"/>
      <c r="O1070" s="217"/>
      <c r="P1070" s="217">
        <f>I1070</f>
        <v>1</v>
      </c>
      <c r="Q1070" s="217"/>
      <c r="R1070" s="217"/>
      <c r="S1070" s="218"/>
    </row>
    <row r="1071" spans="1:19" ht="15" customHeight="1">
      <c r="A1071" s="413">
        <f t="shared" si="20"/>
        <v>1071</v>
      </c>
      <c r="B1071" s="26">
        <v>116</v>
      </c>
      <c r="C1071" s="153" t="s">
        <v>237</v>
      </c>
      <c r="D1071" s="211" t="s">
        <v>22</v>
      </c>
      <c r="E1071" s="212"/>
      <c r="F1071" s="213" t="s">
        <v>249</v>
      </c>
      <c r="G1071" s="214" t="s">
        <v>1809</v>
      </c>
      <c r="H1071" s="213" t="s">
        <v>166</v>
      </c>
      <c r="I1071" s="215">
        <v>1</v>
      </c>
      <c r="J1071" s="216"/>
      <c r="K1071" s="216"/>
      <c r="L1071" s="216">
        <v>73</v>
      </c>
      <c r="M1071" s="216"/>
      <c r="N1071" s="216"/>
      <c r="O1071" s="217"/>
      <c r="P1071" s="217">
        <f>I1071</f>
        <v>1</v>
      </c>
      <c r="Q1071" s="217"/>
      <c r="R1071" s="217"/>
      <c r="S1071" s="218"/>
    </row>
    <row r="1072" spans="1:19" ht="15" customHeight="1">
      <c r="A1072" s="413">
        <f t="shared" si="20"/>
        <v>1072</v>
      </c>
      <c r="B1072" s="26">
        <v>116</v>
      </c>
      <c r="C1072" s="153" t="s">
        <v>237</v>
      </c>
      <c r="D1072" s="211" t="s">
        <v>22</v>
      </c>
      <c r="E1072" s="212"/>
      <c r="F1072" s="213" t="s">
        <v>54</v>
      </c>
      <c r="G1072" s="214" t="s">
        <v>1810</v>
      </c>
      <c r="H1072" s="213" t="s">
        <v>113</v>
      </c>
      <c r="I1072" s="215">
        <v>1648</v>
      </c>
      <c r="J1072" s="216"/>
      <c r="K1072" s="216">
        <v>76</v>
      </c>
      <c r="L1072" s="216"/>
      <c r="M1072" s="216"/>
      <c r="N1072" s="216"/>
      <c r="O1072" s="217">
        <v>1184</v>
      </c>
      <c r="P1072" s="217"/>
      <c r="Q1072" s="217"/>
      <c r="R1072" s="217"/>
      <c r="S1072" s="218"/>
    </row>
    <row r="1073" spans="1:19" ht="15" customHeight="1">
      <c r="A1073" s="413">
        <f t="shared" si="20"/>
        <v>1073</v>
      </c>
      <c r="B1073" s="26">
        <v>116</v>
      </c>
      <c r="C1073" s="153" t="s">
        <v>237</v>
      </c>
      <c r="D1073" s="211" t="s">
        <v>22</v>
      </c>
      <c r="E1073" s="212"/>
      <c r="F1073" s="213" t="s">
        <v>164</v>
      </c>
      <c r="G1073" s="214" t="s">
        <v>1811</v>
      </c>
      <c r="H1073" s="213" t="s">
        <v>820</v>
      </c>
      <c r="I1073" s="215">
        <v>27</v>
      </c>
      <c r="J1073" s="216" t="s">
        <v>316</v>
      </c>
      <c r="K1073" s="216"/>
      <c r="L1073" s="216"/>
      <c r="M1073" s="216"/>
      <c r="N1073" s="216"/>
      <c r="O1073" s="217"/>
      <c r="P1073" s="217"/>
      <c r="Q1073" s="217">
        <f>I1073</f>
        <v>27</v>
      </c>
      <c r="R1073" s="217"/>
      <c r="S1073" s="218"/>
    </row>
    <row r="1074" spans="1:19" ht="15" customHeight="1">
      <c r="A1074" s="413">
        <f t="shared" si="20"/>
        <v>1074</v>
      </c>
      <c r="B1074" s="26">
        <v>117</v>
      </c>
      <c r="C1074" s="153" t="s">
        <v>296</v>
      </c>
      <c r="D1074" s="211" t="s">
        <v>22</v>
      </c>
      <c r="E1074" s="212"/>
      <c r="F1074" s="213" t="s">
        <v>175</v>
      </c>
      <c r="G1074" s="214" t="s">
        <v>1812</v>
      </c>
      <c r="H1074" s="213" t="s">
        <v>160</v>
      </c>
      <c r="I1074" s="215">
        <v>13</v>
      </c>
      <c r="J1074" s="216"/>
      <c r="K1074" s="216"/>
      <c r="L1074" s="216">
        <v>34</v>
      </c>
      <c r="M1074" s="216"/>
      <c r="N1074" s="216"/>
      <c r="O1074" s="217"/>
      <c r="P1074" s="217">
        <f>I1074</f>
        <v>13</v>
      </c>
      <c r="Q1074" s="217"/>
      <c r="R1074" s="217"/>
      <c r="S1074" s="218"/>
    </row>
    <row r="1075" spans="1:19" ht="15" customHeight="1">
      <c r="A1075" s="413">
        <f t="shared" si="20"/>
        <v>1075</v>
      </c>
      <c r="B1075" s="26">
        <v>117</v>
      </c>
      <c r="C1075" s="153" t="s">
        <v>296</v>
      </c>
      <c r="D1075" s="211" t="s">
        <v>22</v>
      </c>
      <c r="E1075" s="212"/>
      <c r="F1075" s="213" t="s">
        <v>175</v>
      </c>
      <c r="G1075" s="214" t="s">
        <v>212</v>
      </c>
      <c r="H1075" s="213" t="s">
        <v>160</v>
      </c>
      <c r="I1075" s="215">
        <v>11</v>
      </c>
      <c r="J1075" s="216"/>
      <c r="K1075" s="216">
        <v>27</v>
      </c>
      <c r="L1075" s="216"/>
      <c r="M1075" s="216"/>
      <c r="N1075" s="216"/>
      <c r="O1075" s="217"/>
      <c r="P1075" s="217"/>
      <c r="Q1075" s="217">
        <f>I1075</f>
        <v>11</v>
      </c>
      <c r="R1075" s="217"/>
      <c r="S1075" s="218"/>
    </row>
    <row r="1076" spans="1:19" ht="15" customHeight="1">
      <c r="A1076" s="413">
        <f t="shared" si="20"/>
        <v>1076</v>
      </c>
      <c r="B1076" s="26">
        <v>117</v>
      </c>
      <c r="C1076" s="153" t="s">
        <v>296</v>
      </c>
      <c r="D1076" s="211" t="s">
        <v>22</v>
      </c>
      <c r="E1076" s="212"/>
      <c r="F1076" s="213" t="s">
        <v>213</v>
      </c>
      <c r="G1076" s="214" t="s">
        <v>1813</v>
      </c>
      <c r="H1076" s="213" t="s">
        <v>176</v>
      </c>
      <c r="I1076" s="215">
        <v>26</v>
      </c>
      <c r="J1076" s="216"/>
      <c r="K1076" s="216">
        <v>65</v>
      </c>
      <c r="L1076" s="216"/>
      <c r="M1076" s="216"/>
      <c r="N1076" s="216"/>
      <c r="O1076" s="217"/>
      <c r="P1076" s="217"/>
      <c r="Q1076" s="217">
        <f>I1076</f>
        <v>26</v>
      </c>
      <c r="R1076" s="217"/>
      <c r="S1076" s="218"/>
    </row>
    <row r="1077" spans="1:19" ht="15" customHeight="1">
      <c r="A1077" s="413">
        <f t="shared" si="20"/>
        <v>1077</v>
      </c>
      <c r="B1077" s="26">
        <v>117</v>
      </c>
      <c r="C1077" s="153" t="s">
        <v>296</v>
      </c>
      <c r="D1077" s="211" t="s">
        <v>22</v>
      </c>
      <c r="E1077" s="212"/>
      <c r="F1077" s="213" t="s">
        <v>214</v>
      </c>
      <c r="G1077" s="214" t="s">
        <v>215</v>
      </c>
      <c r="H1077" s="213" t="s">
        <v>176</v>
      </c>
      <c r="I1077" s="215">
        <v>7</v>
      </c>
      <c r="J1077" s="216"/>
      <c r="K1077" s="216">
        <v>26</v>
      </c>
      <c r="L1077" s="216"/>
      <c r="M1077" s="216"/>
      <c r="N1077" s="216"/>
      <c r="O1077" s="217"/>
      <c r="P1077" s="217"/>
      <c r="Q1077" s="217">
        <f>I1077</f>
        <v>7</v>
      </c>
      <c r="R1077" s="217"/>
      <c r="S1077" s="218"/>
    </row>
    <row r="1078" spans="1:19" ht="15" customHeight="1">
      <c r="A1078" s="413">
        <f t="shared" si="20"/>
        <v>1078</v>
      </c>
      <c r="B1078" s="26">
        <v>117</v>
      </c>
      <c r="C1078" s="153" t="s">
        <v>296</v>
      </c>
      <c r="D1078" s="211" t="s">
        <v>22</v>
      </c>
      <c r="E1078" s="212"/>
      <c r="F1078" s="213" t="s">
        <v>177</v>
      </c>
      <c r="G1078" s="214" t="s">
        <v>1814</v>
      </c>
      <c r="H1078" s="213" t="s">
        <v>160</v>
      </c>
      <c r="I1078" s="215">
        <v>13</v>
      </c>
      <c r="J1078" s="216"/>
      <c r="K1078" s="216"/>
      <c r="L1078" s="216">
        <v>37</v>
      </c>
      <c r="M1078" s="216"/>
      <c r="N1078" s="216"/>
      <c r="O1078" s="217"/>
      <c r="P1078" s="217">
        <f>I1078</f>
        <v>13</v>
      </c>
      <c r="Q1078" s="217"/>
      <c r="R1078" s="217"/>
      <c r="S1078" s="218"/>
    </row>
    <row r="1079" spans="1:19" ht="15" customHeight="1">
      <c r="A1079" s="413">
        <f t="shared" si="20"/>
        <v>1079</v>
      </c>
      <c r="B1079" s="26">
        <v>117</v>
      </c>
      <c r="C1079" s="153" t="s">
        <v>296</v>
      </c>
      <c r="D1079" s="211" t="s">
        <v>22</v>
      </c>
      <c r="E1079" s="212"/>
      <c r="F1079" s="213" t="s">
        <v>177</v>
      </c>
      <c r="G1079" s="214" t="s">
        <v>1815</v>
      </c>
      <c r="H1079" s="213" t="s">
        <v>160</v>
      </c>
      <c r="I1079" s="215">
        <v>19</v>
      </c>
      <c r="J1079" s="216"/>
      <c r="K1079" s="216"/>
      <c r="L1079" s="216">
        <v>44</v>
      </c>
      <c r="M1079" s="216"/>
      <c r="N1079" s="216"/>
      <c r="O1079" s="217"/>
      <c r="P1079" s="217">
        <f>I1079</f>
        <v>19</v>
      </c>
      <c r="Q1079" s="217"/>
      <c r="R1079" s="217"/>
      <c r="S1079" s="218"/>
    </row>
    <row r="1080" spans="1:19" ht="15" customHeight="1">
      <c r="A1080" s="413">
        <f t="shared" si="20"/>
        <v>1080</v>
      </c>
      <c r="B1080" s="26">
        <v>117</v>
      </c>
      <c r="C1080" s="153" t="s">
        <v>296</v>
      </c>
      <c r="D1080" s="211" t="s">
        <v>22</v>
      </c>
      <c r="E1080" s="212"/>
      <c r="F1080" s="213" t="s">
        <v>37</v>
      </c>
      <c r="G1080" s="214" t="s">
        <v>1816</v>
      </c>
      <c r="H1080" s="213" t="s">
        <v>160</v>
      </c>
      <c r="I1080" s="215">
        <v>16</v>
      </c>
      <c r="J1080" s="216"/>
      <c r="K1080" s="216"/>
      <c r="L1080" s="216">
        <v>39</v>
      </c>
      <c r="M1080" s="216"/>
      <c r="N1080" s="216"/>
      <c r="O1080" s="217"/>
      <c r="P1080" s="217">
        <f>I1080</f>
        <v>16</v>
      </c>
      <c r="Q1080" s="217"/>
      <c r="R1080" s="217"/>
      <c r="S1080" s="218"/>
    </row>
    <row r="1081" spans="1:19" ht="15" customHeight="1">
      <c r="A1081" s="413">
        <f t="shared" si="20"/>
        <v>1081</v>
      </c>
      <c r="B1081" s="26">
        <v>117</v>
      </c>
      <c r="C1081" s="153" t="s">
        <v>296</v>
      </c>
      <c r="D1081" s="211" t="s">
        <v>22</v>
      </c>
      <c r="E1081" s="212"/>
      <c r="F1081" s="213" t="s">
        <v>201</v>
      </c>
      <c r="G1081" s="214" t="s">
        <v>200</v>
      </c>
      <c r="H1081" s="213" t="s">
        <v>160</v>
      </c>
      <c r="I1081" s="215">
        <v>28</v>
      </c>
      <c r="J1081" s="216"/>
      <c r="K1081" s="216">
        <v>51</v>
      </c>
      <c r="L1081" s="216"/>
      <c r="M1081" s="216"/>
      <c r="N1081" s="216"/>
      <c r="O1081" s="217"/>
      <c r="P1081" s="217"/>
      <c r="Q1081" s="217">
        <f>I1081</f>
        <v>28</v>
      </c>
      <c r="R1081" s="217"/>
      <c r="S1081" s="218"/>
    </row>
    <row r="1082" spans="1:19" ht="15" customHeight="1">
      <c r="A1082" s="413">
        <f t="shared" si="20"/>
        <v>1082</v>
      </c>
      <c r="B1082" s="26">
        <v>117</v>
      </c>
      <c r="C1082" s="153" t="s">
        <v>296</v>
      </c>
      <c r="D1082" s="211" t="s">
        <v>22</v>
      </c>
      <c r="E1082" s="212"/>
      <c r="F1082" s="213" t="s">
        <v>199</v>
      </c>
      <c r="G1082" s="214" t="s">
        <v>202</v>
      </c>
      <c r="H1082" s="213" t="s">
        <v>109</v>
      </c>
      <c r="I1082" s="215">
        <v>10</v>
      </c>
      <c r="J1082" s="216"/>
      <c r="K1082" s="216">
        <v>29</v>
      </c>
      <c r="L1082" s="216"/>
      <c r="M1082" s="216"/>
      <c r="N1082" s="216"/>
      <c r="O1082" s="217"/>
      <c r="P1082" s="217"/>
      <c r="Q1082" s="217">
        <f>I1082</f>
        <v>10</v>
      </c>
      <c r="R1082" s="217"/>
      <c r="S1082" s="218"/>
    </row>
    <row r="1083" spans="1:19" ht="15" customHeight="1">
      <c r="A1083" s="413">
        <f t="shared" si="20"/>
        <v>1083</v>
      </c>
      <c r="B1083" s="26">
        <v>117</v>
      </c>
      <c r="C1083" s="153" t="s">
        <v>296</v>
      </c>
      <c r="D1083" s="211" t="s">
        <v>22</v>
      </c>
      <c r="E1083" s="212"/>
      <c r="F1083" s="213" t="s">
        <v>201</v>
      </c>
      <c r="G1083" s="214" t="s">
        <v>216</v>
      </c>
      <c r="H1083" s="213" t="s">
        <v>160</v>
      </c>
      <c r="I1083" s="215">
        <v>18</v>
      </c>
      <c r="J1083" s="216"/>
      <c r="K1083" s="216">
        <v>55</v>
      </c>
      <c r="L1083" s="216"/>
      <c r="M1083" s="216"/>
      <c r="N1083" s="216"/>
      <c r="O1083" s="217"/>
      <c r="P1083" s="217"/>
      <c r="Q1083" s="217">
        <f>I1083</f>
        <v>18</v>
      </c>
      <c r="R1083" s="217"/>
      <c r="S1083" s="218"/>
    </row>
    <row r="1084" spans="1:19" ht="15" customHeight="1">
      <c r="A1084" s="413">
        <f t="shared" si="20"/>
        <v>1084</v>
      </c>
      <c r="B1084" s="26">
        <v>117</v>
      </c>
      <c r="C1084" s="153" t="s">
        <v>296</v>
      </c>
      <c r="D1084" s="211" t="s">
        <v>22</v>
      </c>
      <c r="E1084" s="212"/>
      <c r="F1084" s="213" t="s">
        <v>217</v>
      </c>
      <c r="G1084" s="214" t="s">
        <v>1817</v>
      </c>
      <c r="H1084" s="213" t="s">
        <v>160</v>
      </c>
      <c r="I1084" s="215">
        <v>4</v>
      </c>
      <c r="J1084" s="216"/>
      <c r="K1084" s="216">
        <v>19</v>
      </c>
      <c r="L1084" s="216"/>
      <c r="M1084" s="216"/>
      <c r="N1084" s="216"/>
      <c r="O1084" s="217"/>
      <c r="P1084" s="217"/>
      <c r="Q1084" s="217">
        <f>I1084</f>
        <v>4</v>
      </c>
      <c r="R1084" s="217"/>
      <c r="S1084" s="218"/>
    </row>
    <row r="1085" spans="1:19" ht="15" customHeight="1">
      <c r="A1085" s="413">
        <f t="shared" si="20"/>
        <v>1085</v>
      </c>
      <c r="B1085" s="26">
        <v>117</v>
      </c>
      <c r="C1085" s="153" t="s">
        <v>296</v>
      </c>
      <c r="D1085" s="211" t="s">
        <v>22</v>
      </c>
      <c r="E1085" s="212"/>
      <c r="F1085" s="213" t="s">
        <v>218</v>
      </c>
      <c r="G1085" s="214" t="s">
        <v>1818</v>
      </c>
      <c r="H1085" s="213" t="s">
        <v>12</v>
      </c>
      <c r="I1085" s="215">
        <v>4</v>
      </c>
      <c r="J1085" s="216"/>
      <c r="K1085" s="216"/>
      <c r="L1085" s="216">
        <v>4</v>
      </c>
      <c r="M1085" s="216"/>
      <c r="N1085" s="216"/>
      <c r="O1085" s="217"/>
      <c r="P1085" s="217">
        <f>I1085</f>
        <v>4</v>
      </c>
      <c r="Q1085" s="217"/>
      <c r="R1085" s="217"/>
      <c r="S1085" s="218"/>
    </row>
    <row r="1086" spans="1:19" ht="15" customHeight="1">
      <c r="A1086" s="413">
        <f t="shared" si="20"/>
        <v>1086</v>
      </c>
      <c r="B1086" s="26">
        <v>117</v>
      </c>
      <c r="C1086" s="153" t="s">
        <v>296</v>
      </c>
      <c r="D1086" s="211" t="s">
        <v>22</v>
      </c>
      <c r="E1086" s="212"/>
      <c r="F1086" s="213" t="s">
        <v>219</v>
      </c>
      <c r="G1086" s="214" t="s">
        <v>170</v>
      </c>
      <c r="H1086" s="213" t="s">
        <v>174</v>
      </c>
      <c r="I1086" s="215">
        <v>144</v>
      </c>
      <c r="J1086" s="216"/>
      <c r="K1086" s="216"/>
      <c r="L1086" s="216">
        <v>68</v>
      </c>
      <c r="M1086" s="216"/>
      <c r="N1086" s="216"/>
      <c r="O1086" s="217"/>
      <c r="P1086" s="217">
        <f>I1086</f>
        <v>144</v>
      </c>
      <c r="Q1086" s="217"/>
      <c r="R1086" s="217"/>
      <c r="S1086" s="218"/>
    </row>
    <row r="1087" spans="1:19" ht="15" customHeight="1">
      <c r="A1087" s="413">
        <f t="shared" si="20"/>
        <v>1087</v>
      </c>
      <c r="B1087" s="26">
        <v>117</v>
      </c>
      <c r="C1087" s="153" t="s">
        <v>296</v>
      </c>
      <c r="D1087" s="211" t="s">
        <v>22</v>
      </c>
      <c r="E1087" s="212"/>
      <c r="F1087" s="213" t="s">
        <v>220</v>
      </c>
      <c r="G1087" s="214" t="s">
        <v>171</v>
      </c>
      <c r="H1087" s="213" t="s">
        <v>12</v>
      </c>
      <c r="I1087" s="215">
        <v>11</v>
      </c>
      <c r="J1087" s="216"/>
      <c r="K1087" s="216"/>
      <c r="L1087" s="216">
        <v>24</v>
      </c>
      <c r="M1087" s="216"/>
      <c r="N1087" s="216"/>
      <c r="O1087" s="217"/>
      <c r="P1087" s="217">
        <f>I1087</f>
        <v>11</v>
      </c>
      <c r="Q1087" s="217"/>
      <c r="R1087" s="217"/>
      <c r="S1087" s="218"/>
    </row>
    <row r="1088" spans="1:19" ht="15" customHeight="1">
      <c r="A1088" s="413">
        <f t="shared" si="20"/>
        <v>1088</v>
      </c>
      <c r="B1088" s="26">
        <v>117</v>
      </c>
      <c r="C1088" s="153" t="s">
        <v>296</v>
      </c>
      <c r="D1088" s="211" t="s">
        <v>22</v>
      </c>
      <c r="E1088" s="212"/>
      <c r="F1088" s="213" t="s">
        <v>221</v>
      </c>
      <c r="G1088" s="214" t="s">
        <v>172</v>
      </c>
      <c r="H1088" s="213" t="s">
        <v>12</v>
      </c>
      <c r="I1088" s="215">
        <v>19</v>
      </c>
      <c r="J1088" s="216"/>
      <c r="K1088" s="216"/>
      <c r="L1088" s="216">
        <v>23</v>
      </c>
      <c r="M1088" s="216"/>
      <c r="N1088" s="216"/>
      <c r="O1088" s="217"/>
      <c r="P1088" s="217">
        <f>I1088</f>
        <v>19</v>
      </c>
      <c r="Q1088" s="217"/>
      <c r="R1088" s="217"/>
      <c r="S1088" s="218"/>
    </row>
    <row r="1089" spans="1:19" ht="15" customHeight="1">
      <c r="A1089" s="413">
        <f t="shared" si="20"/>
        <v>1089</v>
      </c>
      <c r="B1089" s="26">
        <v>117</v>
      </c>
      <c r="C1089" s="153" t="s">
        <v>296</v>
      </c>
      <c r="D1089" s="211" t="s">
        <v>22</v>
      </c>
      <c r="E1089" s="212"/>
      <c r="F1089" s="213" t="s">
        <v>222</v>
      </c>
      <c r="G1089" s="214" t="s">
        <v>173</v>
      </c>
      <c r="H1089" s="213" t="s">
        <v>1316</v>
      </c>
      <c r="I1089" s="215">
        <v>50</v>
      </c>
      <c r="J1089" s="216"/>
      <c r="K1089" s="216"/>
      <c r="L1089" s="216">
        <v>110</v>
      </c>
      <c r="M1089" s="216"/>
      <c r="N1089" s="216"/>
      <c r="O1089" s="217"/>
      <c r="P1089" s="217"/>
      <c r="Q1089" s="217">
        <f>I1089</f>
        <v>50</v>
      </c>
      <c r="R1089" s="217"/>
      <c r="S1089" s="218"/>
    </row>
    <row r="1090" spans="1:19" ht="15" customHeight="1">
      <c r="A1090" s="413">
        <f t="shared" si="20"/>
        <v>1090</v>
      </c>
      <c r="B1090" s="26">
        <v>117</v>
      </c>
      <c r="C1090" s="153" t="s">
        <v>296</v>
      </c>
      <c r="D1090" s="211" t="s">
        <v>22</v>
      </c>
      <c r="E1090" s="212"/>
      <c r="F1090" s="213" t="s">
        <v>110</v>
      </c>
      <c r="G1090" s="214" t="s">
        <v>63</v>
      </c>
      <c r="H1090" s="213" t="s">
        <v>109</v>
      </c>
      <c r="I1090" s="215">
        <v>115</v>
      </c>
      <c r="J1090" s="216"/>
      <c r="K1090" s="216">
        <v>700</v>
      </c>
      <c r="L1090" s="216"/>
      <c r="M1090" s="216"/>
      <c r="N1090" s="216"/>
      <c r="O1090" s="217"/>
      <c r="P1090" s="217"/>
      <c r="Q1090" s="217">
        <f>I1090</f>
        <v>115</v>
      </c>
      <c r="R1090" s="217"/>
      <c r="S1090" s="218"/>
    </row>
    <row r="1091" spans="1:19" ht="15" customHeight="1">
      <c r="A1091" s="413">
        <f t="shared" ref="A1091:A1154" si="22">1+A1090</f>
        <v>1091</v>
      </c>
      <c r="B1091" s="26">
        <v>117</v>
      </c>
      <c r="C1091" s="153" t="s">
        <v>296</v>
      </c>
      <c r="D1091" s="211" t="s">
        <v>22</v>
      </c>
      <c r="E1091" s="212"/>
      <c r="F1091" s="213" t="s">
        <v>108</v>
      </c>
      <c r="G1091" s="214" t="s">
        <v>223</v>
      </c>
      <c r="H1091" s="213" t="s">
        <v>109</v>
      </c>
      <c r="I1091" s="215">
        <v>67</v>
      </c>
      <c r="J1091" s="216"/>
      <c r="K1091" s="216">
        <v>365</v>
      </c>
      <c r="L1091" s="216"/>
      <c r="M1091" s="216"/>
      <c r="N1091" s="216"/>
      <c r="O1091" s="217"/>
      <c r="P1091" s="217"/>
      <c r="Q1091" s="217">
        <f>I1091</f>
        <v>67</v>
      </c>
      <c r="R1091" s="217"/>
      <c r="S1091" s="218"/>
    </row>
    <row r="1092" spans="1:19" ht="15" customHeight="1">
      <c r="A1092" s="413">
        <f t="shared" si="22"/>
        <v>1092</v>
      </c>
      <c r="B1092" s="26">
        <v>117</v>
      </c>
      <c r="C1092" s="153" t="s">
        <v>296</v>
      </c>
      <c r="D1092" s="211" t="s">
        <v>22</v>
      </c>
      <c r="E1092" s="212"/>
      <c r="F1092" s="213" t="s">
        <v>175</v>
      </c>
      <c r="G1092" s="214" t="s">
        <v>16</v>
      </c>
      <c r="H1092" s="213" t="s">
        <v>160</v>
      </c>
      <c r="I1092" s="215">
        <v>3</v>
      </c>
      <c r="J1092" s="216" t="s">
        <v>324</v>
      </c>
      <c r="K1092" s="216"/>
      <c r="L1092" s="216"/>
      <c r="M1092" s="216"/>
      <c r="N1092" s="216"/>
      <c r="O1092" s="217"/>
      <c r="P1092" s="217">
        <f>I1092</f>
        <v>3</v>
      </c>
      <c r="Q1092" s="217"/>
      <c r="R1092" s="217"/>
      <c r="S1092" s="218"/>
    </row>
    <row r="1093" spans="1:19" ht="15" customHeight="1">
      <c r="A1093" s="413">
        <f t="shared" si="22"/>
        <v>1093</v>
      </c>
      <c r="B1093" s="26">
        <v>117</v>
      </c>
      <c r="C1093" s="153" t="s">
        <v>296</v>
      </c>
      <c r="D1093" s="211" t="s">
        <v>22</v>
      </c>
      <c r="E1093" s="212"/>
      <c r="F1093" s="213" t="s">
        <v>175</v>
      </c>
      <c r="G1093" s="214" t="s">
        <v>182</v>
      </c>
      <c r="H1093" s="213" t="s">
        <v>109</v>
      </c>
      <c r="I1093" s="215">
        <v>7</v>
      </c>
      <c r="J1093" s="216"/>
      <c r="K1093" s="216">
        <v>50</v>
      </c>
      <c r="L1093" s="216"/>
      <c r="M1093" s="216"/>
      <c r="N1093" s="216"/>
      <c r="O1093" s="217"/>
      <c r="P1093" s="217"/>
      <c r="Q1093" s="217">
        <f>I1093</f>
        <v>7</v>
      </c>
      <c r="R1093" s="217"/>
      <c r="S1093" s="218"/>
    </row>
    <row r="1094" spans="1:19" ht="15" customHeight="1">
      <c r="A1094" s="413">
        <f t="shared" si="22"/>
        <v>1094</v>
      </c>
      <c r="B1094" s="26">
        <v>117</v>
      </c>
      <c r="C1094" s="153" t="s">
        <v>296</v>
      </c>
      <c r="D1094" s="211" t="s">
        <v>22</v>
      </c>
      <c r="E1094" s="212"/>
      <c r="F1094" s="213" t="s">
        <v>175</v>
      </c>
      <c r="G1094" s="214" t="s">
        <v>183</v>
      </c>
      <c r="H1094" s="213" t="s">
        <v>109</v>
      </c>
      <c r="I1094" s="215">
        <v>19</v>
      </c>
      <c r="J1094" s="216"/>
      <c r="K1094" s="216">
        <v>31</v>
      </c>
      <c r="L1094" s="216"/>
      <c r="M1094" s="216"/>
      <c r="N1094" s="216"/>
      <c r="O1094" s="217"/>
      <c r="P1094" s="217">
        <f>I1094</f>
        <v>19</v>
      </c>
      <c r="Q1094" s="217"/>
      <c r="R1094" s="217"/>
      <c r="S1094" s="218"/>
    </row>
    <row r="1095" spans="1:19" ht="15" customHeight="1">
      <c r="A1095" s="413">
        <f t="shared" si="22"/>
        <v>1095</v>
      </c>
      <c r="B1095" s="26">
        <v>117</v>
      </c>
      <c r="C1095" s="153" t="s">
        <v>296</v>
      </c>
      <c r="D1095" s="211" t="s">
        <v>22</v>
      </c>
      <c r="E1095" s="212"/>
      <c r="F1095" s="213" t="s">
        <v>224</v>
      </c>
      <c r="G1095" s="214" t="s">
        <v>1694</v>
      </c>
      <c r="H1095" s="213" t="s">
        <v>1313</v>
      </c>
      <c r="I1095" s="215">
        <v>15</v>
      </c>
      <c r="J1095" s="216"/>
      <c r="K1095" s="216">
        <v>51</v>
      </c>
      <c r="L1095" s="216"/>
      <c r="M1095" s="216"/>
      <c r="N1095" s="216"/>
      <c r="O1095" s="217"/>
      <c r="P1095" s="217"/>
      <c r="Q1095" s="217">
        <f>I1095</f>
        <v>15</v>
      </c>
      <c r="R1095" s="217"/>
      <c r="S1095" s="218"/>
    </row>
    <row r="1096" spans="1:19" ht="15" customHeight="1">
      <c r="A1096" s="413">
        <f t="shared" si="22"/>
        <v>1096</v>
      </c>
      <c r="B1096" s="26">
        <v>117</v>
      </c>
      <c r="C1096" s="153" t="s">
        <v>296</v>
      </c>
      <c r="D1096" s="211" t="s">
        <v>22</v>
      </c>
      <c r="E1096" s="212"/>
      <c r="F1096" s="213" t="s">
        <v>41</v>
      </c>
      <c r="G1096" s="214" t="s">
        <v>1800</v>
      </c>
      <c r="H1096" s="213" t="s">
        <v>160</v>
      </c>
      <c r="I1096" s="215">
        <v>3</v>
      </c>
      <c r="J1096" s="216"/>
      <c r="K1096" s="216">
        <v>19</v>
      </c>
      <c r="L1096" s="216"/>
      <c r="M1096" s="216"/>
      <c r="N1096" s="216"/>
      <c r="O1096" s="217"/>
      <c r="P1096" s="217"/>
      <c r="Q1096" s="217">
        <f>I1096</f>
        <v>3</v>
      </c>
      <c r="R1096" s="217"/>
      <c r="S1096" s="218"/>
    </row>
    <row r="1097" spans="1:19" ht="15" customHeight="1">
      <c r="A1097" s="413">
        <f t="shared" si="22"/>
        <v>1097</v>
      </c>
      <c r="B1097" s="26">
        <v>117</v>
      </c>
      <c r="C1097" s="153" t="s">
        <v>296</v>
      </c>
      <c r="D1097" s="211" t="s">
        <v>22</v>
      </c>
      <c r="E1097" s="212"/>
      <c r="F1097" s="213" t="s">
        <v>121</v>
      </c>
      <c r="G1097" s="214" t="s">
        <v>1801</v>
      </c>
      <c r="H1097" s="213" t="s">
        <v>148</v>
      </c>
      <c r="I1097" s="215">
        <v>2</v>
      </c>
      <c r="J1097" s="216">
        <v>10</v>
      </c>
      <c r="K1097" s="216"/>
      <c r="L1097" s="216"/>
      <c r="M1097" s="216"/>
      <c r="N1097" s="216"/>
      <c r="O1097" s="217"/>
      <c r="P1097" s="217"/>
      <c r="Q1097" s="217"/>
      <c r="R1097" s="217">
        <f>I1097</f>
        <v>2</v>
      </c>
      <c r="S1097" s="218"/>
    </row>
    <row r="1098" spans="1:19" ht="15" customHeight="1">
      <c r="A1098" s="413">
        <f t="shared" si="22"/>
        <v>1098</v>
      </c>
      <c r="B1098" s="26">
        <v>117</v>
      </c>
      <c r="C1098" s="153" t="s">
        <v>296</v>
      </c>
      <c r="D1098" s="211" t="s">
        <v>22</v>
      </c>
      <c r="E1098" s="212"/>
      <c r="F1098" s="213" t="s">
        <v>120</v>
      </c>
      <c r="G1098" s="214" t="s">
        <v>1747</v>
      </c>
      <c r="H1098" s="213" t="s">
        <v>148</v>
      </c>
      <c r="I1098" s="215">
        <v>2</v>
      </c>
      <c r="J1098" s="216">
        <v>10</v>
      </c>
      <c r="K1098" s="216"/>
      <c r="L1098" s="216"/>
      <c r="M1098" s="216"/>
      <c r="N1098" s="216"/>
      <c r="O1098" s="217"/>
      <c r="P1098" s="217"/>
      <c r="Q1098" s="217"/>
      <c r="R1098" s="217">
        <f>I1098</f>
        <v>2</v>
      </c>
      <c r="S1098" s="218"/>
    </row>
    <row r="1099" spans="1:19" ht="15" customHeight="1">
      <c r="A1099" s="413">
        <f t="shared" si="22"/>
        <v>1099</v>
      </c>
      <c r="B1099" s="26">
        <v>117</v>
      </c>
      <c r="C1099" s="153" t="s">
        <v>296</v>
      </c>
      <c r="D1099" s="211" t="s">
        <v>22</v>
      </c>
      <c r="E1099" s="212"/>
      <c r="F1099" s="213" t="s">
        <v>225</v>
      </c>
      <c r="G1099" s="214" t="s">
        <v>1819</v>
      </c>
      <c r="H1099" s="213" t="s">
        <v>109</v>
      </c>
      <c r="I1099" s="215">
        <v>5</v>
      </c>
      <c r="J1099" s="216"/>
      <c r="K1099" s="216">
        <v>21</v>
      </c>
      <c r="L1099" s="216"/>
      <c r="M1099" s="216"/>
      <c r="N1099" s="216"/>
      <c r="O1099" s="217"/>
      <c r="P1099" s="217"/>
      <c r="Q1099" s="217">
        <f>I1099</f>
        <v>5</v>
      </c>
      <c r="R1099" s="217"/>
      <c r="S1099" s="218"/>
    </row>
    <row r="1100" spans="1:19" ht="15" customHeight="1">
      <c r="A1100" s="413">
        <f t="shared" si="22"/>
        <v>1100</v>
      </c>
      <c r="B1100" s="26">
        <v>117</v>
      </c>
      <c r="C1100" s="153" t="s">
        <v>296</v>
      </c>
      <c r="D1100" s="211" t="s">
        <v>22</v>
      </c>
      <c r="E1100" s="212"/>
      <c r="F1100" s="213" t="s">
        <v>226</v>
      </c>
      <c r="G1100" s="214" t="s">
        <v>1820</v>
      </c>
      <c r="H1100" s="213" t="s">
        <v>109</v>
      </c>
      <c r="I1100" s="215">
        <v>3</v>
      </c>
      <c r="J1100" s="216"/>
      <c r="K1100" s="216">
        <v>10</v>
      </c>
      <c r="L1100" s="216"/>
      <c r="M1100" s="216"/>
      <c r="N1100" s="216"/>
      <c r="O1100" s="217"/>
      <c r="P1100" s="217"/>
      <c r="Q1100" s="217">
        <f>I1100</f>
        <v>3</v>
      </c>
      <c r="R1100" s="217"/>
      <c r="S1100" s="218"/>
    </row>
    <row r="1101" spans="1:19" ht="15" customHeight="1">
      <c r="A1101" s="413">
        <f t="shared" si="22"/>
        <v>1101</v>
      </c>
      <c r="B1101" s="26">
        <v>117</v>
      </c>
      <c r="C1101" s="153" t="s">
        <v>296</v>
      </c>
      <c r="D1101" s="211" t="s">
        <v>22</v>
      </c>
      <c r="E1101" s="212"/>
      <c r="F1101" s="213" t="s">
        <v>227</v>
      </c>
      <c r="G1101" s="214" t="s">
        <v>1821</v>
      </c>
      <c r="H1101" s="213" t="s">
        <v>160</v>
      </c>
      <c r="I1101" s="215">
        <v>2</v>
      </c>
      <c r="J1101" s="216"/>
      <c r="K1101" s="216">
        <v>21</v>
      </c>
      <c r="L1101" s="216"/>
      <c r="M1101" s="216"/>
      <c r="N1101" s="216"/>
      <c r="O1101" s="217"/>
      <c r="P1101" s="217">
        <f>I1101</f>
        <v>2</v>
      </c>
      <c r="Q1101" s="217"/>
      <c r="R1101" s="217"/>
      <c r="S1101" s="218"/>
    </row>
    <row r="1102" spans="1:19" ht="15" customHeight="1">
      <c r="A1102" s="413">
        <f t="shared" si="22"/>
        <v>1102</v>
      </c>
      <c r="B1102" s="26">
        <v>117</v>
      </c>
      <c r="C1102" s="153" t="s">
        <v>296</v>
      </c>
      <c r="D1102" s="211" t="s">
        <v>22</v>
      </c>
      <c r="E1102" s="212"/>
      <c r="F1102" s="213" t="s">
        <v>228</v>
      </c>
      <c r="G1102" s="214" t="s">
        <v>196</v>
      </c>
      <c r="H1102" s="213" t="s">
        <v>176</v>
      </c>
      <c r="I1102" s="215">
        <v>23</v>
      </c>
      <c r="J1102" s="216"/>
      <c r="K1102" s="216">
        <v>32</v>
      </c>
      <c r="L1102" s="216"/>
      <c r="M1102" s="216"/>
      <c r="N1102" s="216"/>
      <c r="O1102" s="217"/>
      <c r="P1102" s="217"/>
      <c r="Q1102" s="217">
        <f>I1102</f>
        <v>23</v>
      </c>
      <c r="R1102" s="217"/>
      <c r="S1102" s="218"/>
    </row>
    <row r="1103" spans="1:19" ht="15" customHeight="1">
      <c r="A1103" s="413">
        <f t="shared" si="22"/>
        <v>1103</v>
      </c>
      <c r="B1103" s="26">
        <v>117</v>
      </c>
      <c r="C1103" s="153" t="s">
        <v>296</v>
      </c>
      <c r="D1103" s="211" t="s">
        <v>22</v>
      </c>
      <c r="E1103" s="212"/>
      <c r="F1103" s="213" t="s">
        <v>229</v>
      </c>
      <c r="G1103" s="214" t="s">
        <v>230</v>
      </c>
      <c r="H1103" s="213" t="s">
        <v>109</v>
      </c>
      <c r="I1103" s="215">
        <v>6</v>
      </c>
      <c r="J1103" s="216"/>
      <c r="K1103" s="216">
        <v>35</v>
      </c>
      <c r="L1103" s="216"/>
      <c r="M1103" s="216"/>
      <c r="N1103" s="216"/>
      <c r="O1103" s="217"/>
      <c r="P1103" s="217">
        <f>I1103</f>
        <v>6</v>
      </c>
      <c r="Q1103" s="217"/>
      <c r="R1103" s="217"/>
      <c r="S1103" s="218"/>
    </row>
    <row r="1104" spans="1:19" ht="15" customHeight="1">
      <c r="A1104" s="413">
        <f t="shared" si="22"/>
        <v>1104</v>
      </c>
      <c r="B1104" s="26">
        <v>117</v>
      </c>
      <c r="C1104" s="153" t="s">
        <v>296</v>
      </c>
      <c r="D1104" s="211" t="s">
        <v>22</v>
      </c>
      <c r="E1104" s="212"/>
      <c r="F1104" s="213" t="s">
        <v>231</v>
      </c>
      <c r="G1104" s="214" t="s">
        <v>207</v>
      </c>
      <c r="H1104" s="213" t="s">
        <v>109</v>
      </c>
      <c r="I1104" s="215">
        <v>2</v>
      </c>
      <c r="J1104" s="216"/>
      <c r="K1104" s="216"/>
      <c r="L1104" s="216">
        <v>15</v>
      </c>
      <c r="M1104" s="216"/>
      <c r="N1104" s="216"/>
      <c r="O1104" s="217"/>
      <c r="P1104" s="217">
        <f>I1104</f>
        <v>2</v>
      </c>
      <c r="Q1104" s="217"/>
      <c r="R1104" s="217"/>
      <c r="S1104" s="218"/>
    </row>
    <row r="1105" spans="1:19" ht="15" customHeight="1">
      <c r="A1105" s="413">
        <f t="shared" si="22"/>
        <v>1105</v>
      </c>
      <c r="B1105" s="26">
        <v>117</v>
      </c>
      <c r="C1105" s="153" t="s">
        <v>296</v>
      </c>
      <c r="D1105" s="211" t="s">
        <v>22</v>
      </c>
      <c r="E1105" s="212"/>
      <c r="F1105" s="213" t="s">
        <v>232</v>
      </c>
      <c r="G1105" s="214" t="s">
        <v>209</v>
      </c>
      <c r="H1105" s="213" t="s">
        <v>12</v>
      </c>
      <c r="I1105" s="215">
        <v>6</v>
      </c>
      <c r="J1105" s="216"/>
      <c r="K1105" s="216"/>
      <c r="L1105" s="216">
        <v>29</v>
      </c>
      <c r="M1105" s="216"/>
      <c r="N1105" s="216"/>
      <c r="O1105" s="217"/>
      <c r="P1105" s="217">
        <f>I1105</f>
        <v>6</v>
      </c>
      <c r="Q1105" s="217"/>
      <c r="R1105" s="217"/>
      <c r="S1105" s="218"/>
    </row>
    <row r="1106" spans="1:19" ht="15" customHeight="1">
      <c r="A1106" s="413">
        <f t="shared" si="22"/>
        <v>1106</v>
      </c>
      <c r="B1106" s="26">
        <v>117</v>
      </c>
      <c r="C1106" s="153" t="s">
        <v>296</v>
      </c>
      <c r="D1106" s="211" t="s">
        <v>22</v>
      </c>
      <c r="E1106" s="212"/>
      <c r="F1106" s="213" t="s">
        <v>175</v>
      </c>
      <c r="G1106" s="214" t="s">
        <v>1822</v>
      </c>
      <c r="H1106" s="213" t="s">
        <v>160</v>
      </c>
      <c r="I1106" s="215">
        <v>12</v>
      </c>
      <c r="J1106" s="216"/>
      <c r="K1106" s="216">
        <v>31</v>
      </c>
      <c r="L1106" s="216"/>
      <c r="M1106" s="216"/>
      <c r="N1106" s="216"/>
      <c r="O1106" s="217"/>
      <c r="P1106" s="217"/>
      <c r="Q1106" s="217">
        <f>I1106</f>
        <v>12</v>
      </c>
      <c r="R1106" s="217"/>
      <c r="S1106" s="218"/>
    </row>
    <row r="1107" spans="1:19" ht="15" customHeight="1">
      <c r="A1107" s="413">
        <f t="shared" si="22"/>
        <v>1107</v>
      </c>
      <c r="B1107" s="26">
        <v>117</v>
      </c>
      <c r="C1107" s="153" t="s">
        <v>296</v>
      </c>
      <c r="D1107" s="211" t="s">
        <v>22</v>
      </c>
      <c r="E1107" s="212"/>
      <c r="F1107" s="213" t="s">
        <v>184</v>
      </c>
      <c r="G1107" s="214" t="s">
        <v>1823</v>
      </c>
      <c r="H1107" s="213" t="s">
        <v>160</v>
      </c>
      <c r="I1107" s="215">
        <v>12</v>
      </c>
      <c r="J1107" s="216"/>
      <c r="K1107" s="216">
        <v>37</v>
      </c>
      <c r="L1107" s="216"/>
      <c r="M1107" s="216"/>
      <c r="N1107" s="216"/>
      <c r="O1107" s="217"/>
      <c r="P1107" s="217"/>
      <c r="Q1107" s="217">
        <f>I1107</f>
        <v>12</v>
      </c>
      <c r="R1107" s="217"/>
      <c r="S1107" s="218"/>
    </row>
    <row r="1108" spans="1:19" ht="15" customHeight="1">
      <c r="A1108" s="413">
        <f t="shared" si="22"/>
        <v>1108</v>
      </c>
      <c r="B1108" s="26">
        <v>117</v>
      </c>
      <c r="C1108" s="153" t="s">
        <v>296</v>
      </c>
      <c r="D1108" s="211" t="s">
        <v>22</v>
      </c>
      <c r="E1108" s="212"/>
      <c r="F1108" s="213" t="s">
        <v>231</v>
      </c>
      <c r="G1108" s="214" t="s">
        <v>1824</v>
      </c>
      <c r="H1108" s="213" t="s">
        <v>12</v>
      </c>
      <c r="I1108" s="215">
        <v>9</v>
      </c>
      <c r="J1108" s="216"/>
      <c r="K1108" s="216">
        <v>39</v>
      </c>
      <c r="L1108" s="216"/>
      <c r="M1108" s="216"/>
      <c r="N1108" s="216"/>
      <c r="O1108" s="217"/>
      <c r="P1108" s="217"/>
      <c r="Q1108" s="217"/>
      <c r="R1108" s="217">
        <f>I1108</f>
        <v>9</v>
      </c>
      <c r="S1108" s="218"/>
    </row>
    <row r="1109" spans="1:19" ht="15" customHeight="1">
      <c r="A1109" s="413">
        <f t="shared" si="22"/>
        <v>1109</v>
      </c>
      <c r="B1109" s="26">
        <v>117</v>
      </c>
      <c r="C1109" s="153" t="s">
        <v>296</v>
      </c>
      <c r="D1109" s="211" t="s">
        <v>22</v>
      </c>
      <c r="E1109" s="212"/>
      <c r="F1109" s="213" t="s">
        <v>233</v>
      </c>
      <c r="G1109" s="214" t="s">
        <v>1825</v>
      </c>
      <c r="H1109" s="213" t="s">
        <v>160</v>
      </c>
      <c r="I1109" s="215">
        <v>22</v>
      </c>
      <c r="J1109" s="216"/>
      <c r="K1109" s="216">
        <v>48</v>
      </c>
      <c r="L1109" s="216"/>
      <c r="M1109" s="216"/>
      <c r="N1109" s="216"/>
      <c r="O1109" s="217"/>
      <c r="P1109" s="217"/>
      <c r="Q1109" s="217">
        <f>I1109</f>
        <v>22</v>
      </c>
      <c r="R1109" s="217"/>
      <c r="S1109" s="218"/>
    </row>
    <row r="1110" spans="1:19" ht="15" customHeight="1">
      <c r="A1110" s="413">
        <f t="shared" si="22"/>
        <v>1110</v>
      </c>
      <c r="B1110" s="26">
        <v>117</v>
      </c>
      <c r="C1110" s="153" t="s">
        <v>296</v>
      </c>
      <c r="D1110" s="211" t="s">
        <v>22</v>
      </c>
      <c r="E1110" s="212"/>
      <c r="F1110" s="213" t="s">
        <v>175</v>
      </c>
      <c r="G1110" s="214" t="s">
        <v>1826</v>
      </c>
      <c r="H1110" s="213" t="s">
        <v>160</v>
      </c>
      <c r="I1110" s="215">
        <v>4</v>
      </c>
      <c r="J1110" s="216"/>
      <c r="K1110" s="216">
        <v>18</v>
      </c>
      <c r="L1110" s="216"/>
      <c r="M1110" s="216"/>
      <c r="N1110" s="216"/>
      <c r="O1110" s="217"/>
      <c r="P1110" s="217"/>
      <c r="Q1110" s="217">
        <f>I1110</f>
        <v>4</v>
      </c>
      <c r="R1110" s="217"/>
      <c r="S1110" s="218"/>
    </row>
    <row r="1111" spans="1:19" ht="15" customHeight="1">
      <c r="A1111" s="413">
        <f t="shared" si="22"/>
        <v>1111</v>
      </c>
      <c r="B1111" s="26">
        <v>117</v>
      </c>
      <c r="C1111" s="153" t="s">
        <v>296</v>
      </c>
      <c r="D1111" s="211" t="s">
        <v>22</v>
      </c>
      <c r="E1111" s="212"/>
      <c r="F1111" s="213" t="s">
        <v>233</v>
      </c>
      <c r="G1111" s="214" t="s">
        <v>1827</v>
      </c>
      <c r="H1111" s="213" t="s">
        <v>160</v>
      </c>
      <c r="I1111" s="215">
        <v>20</v>
      </c>
      <c r="J1111" s="216"/>
      <c r="K1111" s="216">
        <v>59</v>
      </c>
      <c r="L1111" s="216"/>
      <c r="M1111" s="216"/>
      <c r="N1111" s="216"/>
      <c r="O1111" s="217"/>
      <c r="P1111" s="217"/>
      <c r="Q1111" s="217">
        <f>I1111</f>
        <v>20</v>
      </c>
      <c r="R1111" s="217"/>
      <c r="S1111" s="218"/>
    </row>
    <row r="1112" spans="1:19" ht="15" customHeight="1">
      <c r="A1112" s="413">
        <f t="shared" si="22"/>
        <v>1112</v>
      </c>
      <c r="B1112" s="26">
        <v>117</v>
      </c>
      <c r="C1112" s="153" t="s">
        <v>296</v>
      </c>
      <c r="D1112" s="211" t="s">
        <v>22</v>
      </c>
      <c r="E1112" s="212"/>
      <c r="F1112" s="213" t="s">
        <v>234</v>
      </c>
      <c r="G1112" s="214" t="s">
        <v>1807</v>
      </c>
      <c r="H1112" s="213" t="s">
        <v>12</v>
      </c>
      <c r="I1112" s="215">
        <v>57</v>
      </c>
      <c r="J1112" s="216"/>
      <c r="K1112" s="216"/>
      <c r="L1112" s="216">
        <v>77</v>
      </c>
      <c r="M1112" s="216"/>
      <c r="N1112" s="216"/>
      <c r="O1112" s="217"/>
      <c r="P1112" s="217">
        <f>I1112</f>
        <v>57</v>
      </c>
      <c r="Q1112" s="217"/>
      <c r="R1112" s="217"/>
      <c r="S1112" s="218"/>
    </row>
    <row r="1113" spans="1:19" ht="15" customHeight="1">
      <c r="A1113" s="413">
        <f t="shared" si="22"/>
        <v>1113</v>
      </c>
      <c r="B1113" s="26">
        <v>117</v>
      </c>
      <c r="C1113" s="153" t="s">
        <v>296</v>
      </c>
      <c r="D1113" s="211" t="s">
        <v>22</v>
      </c>
      <c r="E1113" s="212"/>
      <c r="F1113" s="213" t="s">
        <v>235</v>
      </c>
      <c r="G1113" s="214" t="s">
        <v>1808</v>
      </c>
      <c r="H1113" s="213" t="s">
        <v>12</v>
      </c>
      <c r="I1113" s="215">
        <v>16</v>
      </c>
      <c r="J1113" s="216"/>
      <c r="K1113" s="216"/>
      <c r="L1113" s="216">
        <v>42</v>
      </c>
      <c r="M1113" s="216"/>
      <c r="N1113" s="216"/>
      <c r="O1113" s="217"/>
      <c r="P1113" s="217">
        <f>I1113</f>
        <v>16</v>
      </c>
      <c r="Q1113" s="217"/>
      <c r="R1113" s="217"/>
      <c r="S1113" s="218"/>
    </row>
    <row r="1114" spans="1:19" ht="15" customHeight="1">
      <c r="A1114" s="413">
        <f t="shared" si="22"/>
        <v>1114</v>
      </c>
      <c r="B1114" s="26">
        <v>117</v>
      </c>
      <c r="C1114" s="153" t="s">
        <v>296</v>
      </c>
      <c r="D1114" s="211" t="s">
        <v>22</v>
      </c>
      <c r="E1114" s="212"/>
      <c r="F1114" s="213" t="s">
        <v>226</v>
      </c>
      <c r="G1114" s="214" t="s">
        <v>1809</v>
      </c>
      <c r="H1114" s="213" t="s">
        <v>160</v>
      </c>
      <c r="I1114" s="215">
        <v>4</v>
      </c>
      <c r="J1114" s="216"/>
      <c r="K1114" s="216">
        <v>10</v>
      </c>
      <c r="L1114" s="216"/>
      <c r="M1114" s="216"/>
      <c r="N1114" s="216"/>
      <c r="O1114" s="217"/>
      <c r="P1114" s="217">
        <f>I1114</f>
        <v>4</v>
      </c>
      <c r="Q1114" s="217"/>
      <c r="R1114" s="217"/>
      <c r="S1114" s="218"/>
    </row>
    <row r="1115" spans="1:19" ht="15" customHeight="1">
      <c r="A1115" s="413">
        <f t="shared" si="22"/>
        <v>1115</v>
      </c>
      <c r="B1115" s="26">
        <v>117</v>
      </c>
      <c r="C1115" s="153" t="s">
        <v>296</v>
      </c>
      <c r="D1115" s="211" t="s">
        <v>22</v>
      </c>
      <c r="E1115" s="212"/>
      <c r="F1115" s="213" t="s">
        <v>54</v>
      </c>
      <c r="G1115" s="214" t="s">
        <v>236</v>
      </c>
      <c r="H1115" s="213" t="s">
        <v>113</v>
      </c>
      <c r="I1115" s="215">
        <v>1511</v>
      </c>
      <c r="J1115" s="216"/>
      <c r="K1115" s="216"/>
      <c r="L1115" s="216"/>
      <c r="M1115" s="216"/>
      <c r="N1115" s="216"/>
      <c r="O1115" s="217">
        <v>1793</v>
      </c>
      <c r="P1115" s="217"/>
      <c r="Q1115" s="217"/>
      <c r="R1115" s="217"/>
      <c r="S1115" s="218"/>
    </row>
    <row r="1116" spans="1:19" ht="15" customHeight="1">
      <c r="A1116" s="413">
        <f t="shared" si="22"/>
        <v>1116</v>
      </c>
      <c r="B1116" s="26">
        <v>117</v>
      </c>
      <c r="C1116" s="153" t="s">
        <v>296</v>
      </c>
      <c r="D1116" s="211" t="s">
        <v>22</v>
      </c>
      <c r="E1116" s="212"/>
      <c r="F1116" s="213" t="s">
        <v>125</v>
      </c>
      <c r="G1116" s="214" t="s">
        <v>101</v>
      </c>
      <c r="H1116" s="213" t="s">
        <v>298</v>
      </c>
      <c r="I1116" s="215">
        <v>4</v>
      </c>
      <c r="J1116" s="216"/>
      <c r="K1116" s="216"/>
      <c r="L1116" s="216"/>
      <c r="M1116" s="216">
        <v>15</v>
      </c>
      <c r="N1116" s="216"/>
      <c r="O1116" s="217"/>
      <c r="P1116" s="217"/>
      <c r="Q1116" s="217"/>
      <c r="R1116" s="217">
        <f>I1116</f>
        <v>4</v>
      </c>
      <c r="S1116" s="218"/>
    </row>
    <row r="1117" spans="1:19" ht="15" customHeight="1">
      <c r="A1117" s="413">
        <f t="shared" si="22"/>
        <v>1117</v>
      </c>
      <c r="B1117" s="26">
        <v>117</v>
      </c>
      <c r="C1117" s="153" t="s">
        <v>296</v>
      </c>
      <c r="D1117" s="211" t="s">
        <v>22</v>
      </c>
      <c r="E1117" s="212"/>
      <c r="F1117" s="213" t="s">
        <v>125</v>
      </c>
      <c r="G1117" s="214" t="s">
        <v>297</v>
      </c>
      <c r="H1117" s="213" t="s">
        <v>298</v>
      </c>
      <c r="I1117" s="215">
        <v>4</v>
      </c>
      <c r="J1117" s="216"/>
      <c r="K1117" s="216"/>
      <c r="L1117" s="216"/>
      <c r="M1117" s="216">
        <v>15</v>
      </c>
      <c r="N1117" s="216"/>
      <c r="O1117" s="217"/>
      <c r="P1117" s="217"/>
      <c r="Q1117" s="217"/>
      <c r="R1117" s="217">
        <f>I1117</f>
        <v>4</v>
      </c>
      <c r="S1117" s="218"/>
    </row>
    <row r="1118" spans="1:19" ht="15" customHeight="1">
      <c r="A1118" s="413">
        <f t="shared" si="22"/>
        <v>1118</v>
      </c>
      <c r="B1118" s="26">
        <v>117</v>
      </c>
      <c r="C1118" s="153" t="s">
        <v>296</v>
      </c>
      <c r="D1118" s="211" t="s">
        <v>22</v>
      </c>
      <c r="E1118" s="212"/>
      <c r="F1118" s="213" t="s">
        <v>164</v>
      </c>
      <c r="G1118" s="214" t="s">
        <v>1828</v>
      </c>
      <c r="H1118" s="213" t="s">
        <v>820</v>
      </c>
      <c r="I1118" s="215">
        <v>27</v>
      </c>
      <c r="J1118" s="216" t="s">
        <v>316</v>
      </c>
      <c r="K1118" s="216"/>
      <c r="L1118" s="216"/>
      <c r="M1118" s="216"/>
      <c r="N1118" s="216"/>
      <c r="O1118" s="217"/>
      <c r="P1118" s="217"/>
      <c r="Q1118" s="217">
        <f t="shared" ref="Q1118:Q1123" si="23">I1118</f>
        <v>27</v>
      </c>
      <c r="R1118" s="217"/>
      <c r="S1118" s="218"/>
    </row>
    <row r="1119" spans="1:19" ht="15" customHeight="1">
      <c r="A1119" s="413">
        <f t="shared" si="22"/>
        <v>1119</v>
      </c>
      <c r="B1119" s="26">
        <v>117</v>
      </c>
      <c r="C1119" s="153" t="s">
        <v>296</v>
      </c>
      <c r="D1119" s="211" t="s">
        <v>22</v>
      </c>
      <c r="E1119" s="212"/>
      <c r="F1119" s="213" t="s">
        <v>164</v>
      </c>
      <c r="G1119" s="214" t="s">
        <v>1811</v>
      </c>
      <c r="H1119" s="213" t="s">
        <v>820</v>
      </c>
      <c r="I1119" s="215">
        <v>27</v>
      </c>
      <c r="J1119" s="216" t="s">
        <v>316</v>
      </c>
      <c r="K1119" s="216"/>
      <c r="L1119" s="216"/>
      <c r="M1119" s="216"/>
      <c r="N1119" s="216"/>
      <c r="O1119" s="217"/>
      <c r="P1119" s="217"/>
      <c r="Q1119" s="217">
        <f t="shared" si="23"/>
        <v>27</v>
      </c>
      <c r="R1119" s="217"/>
      <c r="S1119" s="218"/>
    </row>
    <row r="1120" spans="1:19" ht="15" customHeight="1">
      <c r="A1120" s="413">
        <f t="shared" si="22"/>
        <v>1120</v>
      </c>
      <c r="B1120" s="26">
        <v>117</v>
      </c>
      <c r="C1120" s="153" t="s">
        <v>296</v>
      </c>
      <c r="D1120" s="211" t="s">
        <v>22</v>
      </c>
      <c r="E1120" s="212"/>
      <c r="F1120" s="213" t="s">
        <v>64</v>
      </c>
      <c r="G1120" s="214" t="s">
        <v>1829</v>
      </c>
      <c r="H1120" s="213" t="s">
        <v>68</v>
      </c>
      <c r="I1120" s="215">
        <v>30</v>
      </c>
      <c r="J1120" s="216" t="s">
        <v>316</v>
      </c>
      <c r="K1120" s="216"/>
      <c r="L1120" s="216"/>
      <c r="M1120" s="216"/>
      <c r="N1120" s="216"/>
      <c r="O1120" s="217"/>
      <c r="P1120" s="217"/>
      <c r="Q1120" s="217">
        <f t="shared" si="23"/>
        <v>30</v>
      </c>
      <c r="R1120" s="217"/>
      <c r="S1120" s="218"/>
    </row>
    <row r="1121" spans="1:19" ht="15" customHeight="1">
      <c r="A1121" s="413">
        <f t="shared" si="22"/>
        <v>1121</v>
      </c>
      <c r="B1121" s="26">
        <v>117</v>
      </c>
      <c r="C1121" s="153" t="s">
        <v>296</v>
      </c>
      <c r="D1121" s="211" t="s">
        <v>22</v>
      </c>
      <c r="E1121" s="212"/>
      <c r="F1121" s="213" t="s">
        <v>64</v>
      </c>
      <c r="G1121" s="214" t="s">
        <v>1830</v>
      </c>
      <c r="H1121" s="213" t="s">
        <v>160</v>
      </c>
      <c r="I1121" s="215">
        <v>30</v>
      </c>
      <c r="J1121" s="216" t="s">
        <v>316</v>
      </c>
      <c r="K1121" s="216"/>
      <c r="L1121" s="216"/>
      <c r="M1121" s="216"/>
      <c r="N1121" s="216"/>
      <c r="O1121" s="217"/>
      <c r="P1121" s="217"/>
      <c r="Q1121" s="217">
        <f t="shared" si="23"/>
        <v>30</v>
      </c>
      <c r="R1121" s="217"/>
      <c r="S1121" s="218"/>
    </row>
    <row r="1122" spans="1:19" ht="15" customHeight="1">
      <c r="A1122" s="413">
        <f t="shared" si="22"/>
        <v>1122</v>
      </c>
      <c r="B1122" s="26">
        <v>118</v>
      </c>
      <c r="C1122" s="153" t="s">
        <v>198</v>
      </c>
      <c r="D1122" s="211" t="s">
        <v>22</v>
      </c>
      <c r="E1122" s="212"/>
      <c r="F1122" s="213" t="s">
        <v>199</v>
      </c>
      <c r="G1122" s="214" t="s">
        <v>200</v>
      </c>
      <c r="H1122" s="213" t="s">
        <v>109</v>
      </c>
      <c r="I1122" s="215">
        <v>5</v>
      </c>
      <c r="J1122" s="216"/>
      <c r="K1122" s="216">
        <v>17</v>
      </c>
      <c r="L1122" s="216"/>
      <c r="M1122" s="216"/>
      <c r="N1122" s="216"/>
      <c r="O1122" s="217"/>
      <c r="P1122" s="217"/>
      <c r="Q1122" s="217">
        <f t="shared" si="23"/>
        <v>5</v>
      </c>
      <c r="R1122" s="217"/>
      <c r="S1122" s="218"/>
    </row>
    <row r="1123" spans="1:19" ht="15" customHeight="1">
      <c r="A1123" s="413">
        <f t="shared" si="22"/>
        <v>1123</v>
      </c>
      <c r="B1123" s="26">
        <v>118</v>
      </c>
      <c r="C1123" s="153" t="s">
        <v>198</v>
      </c>
      <c r="D1123" s="211" t="s">
        <v>22</v>
      </c>
      <c r="E1123" s="212"/>
      <c r="F1123" s="213" t="s">
        <v>201</v>
      </c>
      <c r="G1123" s="214" t="s">
        <v>202</v>
      </c>
      <c r="H1123" s="213" t="s">
        <v>160</v>
      </c>
      <c r="I1123" s="215">
        <v>40</v>
      </c>
      <c r="J1123" s="216"/>
      <c r="K1123" s="216">
        <v>29</v>
      </c>
      <c r="L1123" s="216"/>
      <c r="M1123" s="216"/>
      <c r="N1123" s="216"/>
      <c r="O1123" s="217"/>
      <c r="P1123" s="217"/>
      <c r="Q1123" s="217">
        <f t="shared" si="23"/>
        <v>40</v>
      </c>
      <c r="R1123" s="217"/>
      <c r="S1123" s="218"/>
    </row>
    <row r="1124" spans="1:19" ht="15" customHeight="1">
      <c r="A1124" s="413">
        <f t="shared" si="22"/>
        <v>1124</v>
      </c>
      <c r="B1124" s="26">
        <v>118</v>
      </c>
      <c r="C1124" s="153" t="s">
        <v>198</v>
      </c>
      <c r="D1124" s="211" t="s">
        <v>22</v>
      </c>
      <c r="E1124" s="212"/>
      <c r="F1124" s="213" t="s">
        <v>320</v>
      </c>
      <c r="G1124" s="214" t="s">
        <v>170</v>
      </c>
      <c r="H1124" s="213" t="s">
        <v>12</v>
      </c>
      <c r="I1124" s="215">
        <v>36</v>
      </c>
      <c r="J1124" s="216"/>
      <c r="K1124" s="216"/>
      <c r="L1124" s="216">
        <v>31</v>
      </c>
      <c r="M1124" s="216"/>
      <c r="N1124" s="216"/>
      <c r="O1124" s="217"/>
      <c r="P1124" s="217">
        <f>I1124</f>
        <v>36</v>
      </c>
      <c r="Q1124" s="217"/>
      <c r="R1124" s="217"/>
      <c r="S1124" s="218"/>
    </row>
    <row r="1125" spans="1:19" ht="15" customHeight="1">
      <c r="A1125" s="413">
        <f t="shared" si="22"/>
        <v>1125</v>
      </c>
      <c r="B1125" s="26">
        <v>118</v>
      </c>
      <c r="C1125" s="153" t="s">
        <v>198</v>
      </c>
      <c r="D1125" s="211" t="s">
        <v>22</v>
      </c>
      <c r="E1125" s="212"/>
      <c r="F1125" s="213" t="s">
        <v>321</v>
      </c>
      <c r="G1125" s="214" t="s">
        <v>171</v>
      </c>
      <c r="H1125" s="213" t="s">
        <v>12</v>
      </c>
      <c r="I1125" s="215">
        <v>11</v>
      </c>
      <c r="J1125" s="216"/>
      <c r="K1125" s="216"/>
      <c r="L1125" s="216">
        <v>14</v>
      </c>
      <c r="M1125" s="216"/>
      <c r="N1125" s="216"/>
      <c r="O1125" s="217"/>
      <c r="P1125" s="217">
        <f>I1125</f>
        <v>11</v>
      </c>
      <c r="Q1125" s="217"/>
      <c r="R1125" s="217"/>
      <c r="S1125" s="218"/>
    </row>
    <row r="1126" spans="1:19" ht="15" customHeight="1">
      <c r="A1126" s="413">
        <f t="shared" si="22"/>
        <v>1126</v>
      </c>
      <c r="B1126" s="26">
        <v>118</v>
      </c>
      <c r="C1126" s="153" t="s">
        <v>198</v>
      </c>
      <c r="D1126" s="211" t="s">
        <v>22</v>
      </c>
      <c r="E1126" s="212"/>
      <c r="F1126" s="213" t="s">
        <v>322</v>
      </c>
      <c r="G1126" s="214" t="s">
        <v>172</v>
      </c>
      <c r="H1126" s="213" t="s">
        <v>12</v>
      </c>
      <c r="I1126" s="215">
        <v>8</v>
      </c>
      <c r="J1126" s="216"/>
      <c r="K1126" s="216"/>
      <c r="L1126" s="216">
        <v>11</v>
      </c>
      <c r="M1126" s="216"/>
      <c r="N1126" s="216"/>
      <c r="O1126" s="217"/>
      <c r="P1126" s="217">
        <f>I1126</f>
        <v>8</v>
      </c>
      <c r="Q1126" s="217"/>
      <c r="R1126" s="217"/>
      <c r="S1126" s="218"/>
    </row>
    <row r="1127" spans="1:19" ht="15" customHeight="1">
      <c r="A1127" s="413">
        <f t="shared" si="22"/>
        <v>1127</v>
      </c>
      <c r="B1127" s="26">
        <v>118</v>
      </c>
      <c r="C1127" s="153" t="s">
        <v>198</v>
      </c>
      <c r="D1127" s="211" t="s">
        <v>22</v>
      </c>
      <c r="E1127" s="212"/>
      <c r="F1127" s="213" t="s">
        <v>220</v>
      </c>
      <c r="G1127" s="214" t="s">
        <v>173</v>
      </c>
      <c r="H1127" s="213" t="s">
        <v>12</v>
      </c>
      <c r="I1127" s="215">
        <v>9</v>
      </c>
      <c r="J1127" s="216"/>
      <c r="K1127" s="216"/>
      <c r="L1127" s="216">
        <v>11</v>
      </c>
      <c r="M1127" s="216"/>
      <c r="N1127" s="216"/>
      <c r="O1127" s="217"/>
      <c r="P1127" s="217">
        <f>I1127</f>
        <v>9</v>
      </c>
      <c r="Q1127" s="217"/>
      <c r="R1127" s="217"/>
      <c r="S1127" s="218"/>
    </row>
    <row r="1128" spans="1:19" ht="15" customHeight="1">
      <c r="A1128" s="413">
        <f t="shared" si="22"/>
        <v>1128</v>
      </c>
      <c r="B1128" s="26">
        <v>118</v>
      </c>
      <c r="C1128" s="153" t="s">
        <v>198</v>
      </c>
      <c r="D1128" s="211" t="s">
        <v>22</v>
      </c>
      <c r="E1128" s="212"/>
      <c r="F1128" s="213" t="s">
        <v>323</v>
      </c>
      <c r="G1128" s="214" t="s">
        <v>1798</v>
      </c>
      <c r="H1128" s="213" t="s">
        <v>12</v>
      </c>
      <c r="I1128" s="215">
        <v>29</v>
      </c>
      <c r="J1128" s="216"/>
      <c r="K1128" s="216"/>
      <c r="L1128" s="216">
        <v>21</v>
      </c>
      <c r="M1128" s="216"/>
      <c r="N1128" s="216"/>
      <c r="O1128" s="217"/>
      <c r="P1128" s="217">
        <f>I1128</f>
        <v>29</v>
      </c>
      <c r="Q1128" s="217"/>
      <c r="R1128" s="217"/>
      <c r="S1128" s="218"/>
    </row>
    <row r="1129" spans="1:19" ht="15" customHeight="1">
      <c r="A1129" s="413">
        <f t="shared" si="22"/>
        <v>1129</v>
      </c>
      <c r="B1129" s="26">
        <v>118</v>
      </c>
      <c r="C1129" s="153" t="s">
        <v>198</v>
      </c>
      <c r="D1129" s="211" t="s">
        <v>22</v>
      </c>
      <c r="E1129" s="212"/>
      <c r="F1129" s="213" t="s">
        <v>143</v>
      </c>
      <c r="G1129" s="214" t="s">
        <v>63</v>
      </c>
      <c r="H1129" s="213" t="s">
        <v>109</v>
      </c>
      <c r="I1129" s="215">
        <v>188</v>
      </c>
      <c r="J1129" s="216"/>
      <c r="K1129" s="216">
        <v>470</v>
      </c>
      <c r="L1129" s="216"/>
      <c r="M1129" s="216"/>
      <c r="N1129" s="216"/>
      <c r="O1129" s="217"/>
      <c r="P1129" s="217"/>
      <c r="Q1129" s="217">
        <f>I1129</f>
        <v>188</v>
      </c>
      <c r="R1129" s="217"/>
      <c r="S1129" s="218"/>
    </row>
    <row r="1130" spans="1:19" ht="15" customHeight="1">
      <c r="A1130" s="413">
        <f t="shared" si="22"/>
        <v>1130</v>
      </c>
      <c r="B1130" s="26">
        <v>118</v>
      </c>
      <c r="C1130" s="153" t="s">
        <v>198</v>
      </c>
      <c r="D1130" s="211" t="s">
        <v>22</v>
      </c>
      <c r="E1130" s="212"/>
      <c r="F1130" s="213" t="s">
        <v>175</v>
      </c>
      <c r="G1130" s="214" t="s">
        <v>16</v>
      </c>
      <c r="H1130" s="213" t="s">
        <v>109</v>
      </c>
      <c r="I1130" s="215">
        <v>6</v>
      </c>
      <c r="J1130" s="216"/>
      <c r="K1130" s="216">
        <v>31</v>
      </c>
      <c r="L1130" s="216"/>
      <c r="M1130" s="216"/>
      <c r="N1130" s="216"/>
      <c r="O1130" s="217"/>
      <c r="P1130" s="217"/>
      <c r="Q1130" s="217">
        <f>I1130</f>
        <v>6</v>
      </c>
      <c r="R1130" s="217"/>
      <c r="S1130" s="218"/>
    </row>
    <row r="1131" spans="1:19" ht="15" customHeight="1">
      <c r="A1131" s="413">
        <f t="shared" si="22"/>
        <v>1131</v>
      </c>
      <c r="B1131" s="26">
        <v>118</v>
      </c>
      <c r="C1131" s="153" t="s">
        <v>198</v>
      </c>
      <c r="D1131" s="211" t="s">
        <v>22</v>
      </c>
      <c r="E1131" s="212"/>
      <c r="F1131" s="213" t="s">
        <v>156</v>
      </c>
      <c r="G1131" s="214" t="s">
        <v>1694</v>
      </c>
      <c r="H1131" s="213" t="s">
        <v>176</v>
      </c>
      <c r="I1131" s="215">
        <v>24</v>
      </c>
      <c r="J1131" s="216"/>
      <c r="K1131" s="216">
        <v>72</v>
      </c>
      <c r="L1131" s="216"/>
      <c r="M1131" s="216"/>
      <c r="N1131" s="216"/>
      <c r="O1131" s="217"/>
      <c r="P1131" s="217"/>
      <c r="Q1131" s="217">
        <f>I1131</f>
        <v>24</v>
      </c>
      <c r="R1131" s="217"/>
      <c r="S1131" s="218"/>
    </row>
    <row r="1132" spans="1:19" ht="15" customHeight="1">
      <c r="A1132" s="413">
        <f t="shared" si="22"/>
        <v>1132</v>
      </c>
      <c r="B1132" s="26">
        <v>118</v>
      </c>
      <c r="C1132" s="153" t="s">
        <v>198</v>
      </c>
      <c r="D1132" s="211" t="s">
        <v>22</v>
      </c>
      <c r="E1132" s="212"/>
      <c r="F1132" s="213" t="s">
        <v>36</v>
      </c>
      <c r="G1132" s="214" t="s">
        <v>1831</v>
      </c>
      <c r="H1132" s="213" t="s">
        <v>160</v>
      </c>
      <c r="I1132" s="215">
        <v>10</v>
      </c>
      <c r="J1132" s="216"/>
      <c r="K1132" s="216"/>
      <c r="L1132" s="216">
        <v>29</v>
      </c>
      <c r="M1132" s="216"/>
      <c r="N1132" s="216"/>
      <c r="O1132" s="217"/>
      <c r="P1132" s="217">
        <f>I1132</f>
        <v>10</v>
      </c>
      <c r="Q1132" s="217"/>
      <c r="R1132" s="217"/>
      <c r="S1132" s="218"/>
    </row>
    <row r="1133" spans="1:19" ht="15" customHeight="1">
      <c r="A1133" s="413">
        <f t="shared" si="22"/>
        <v>1133</v>
      </c>
      <c r="B1133" s="26">
        <v>118</v>
      </c>
      <c r="C1133" s="153" t="s">
        <v>198</v>
      </c>
      <c r="D1133" s="211" t="s">
        <v>22</v>
      </c>
      <c r="E1133" s="212"/>
      <c r="F1133" s="213" t="s">
        <v>203</v>
      </c>
      <c r="G1133" s="214" t="s">
        <v>1832</v>
      </c>
      <c r="H1133" s="213" t="s">
        <v>160</v>
      </c>
      <c r="I1133" s="215">
        <v>7</v>
      </c>
      <c r="J1133" s="216"/>
      <c r="K1133" s="216"/>
      <c r="L1133" s="216">
        <v>26</v>
      </c>
      <c r="M1133" s="216"/>
      <c r="N1133" s="216"/>
      <c r="O1133" s="217"/>
      <c r="P1133" s="217">
        <f>I1133</f>
        <v>7</v>
      </c>
      <c r="Q1133" s="217"/>
      <c r="R1133" s="217"/>
      <c r="S1133" s="218"/>
    </row>
    <row r="1134" spans="1:19" ht="15" customHeight="1">
      <c r="A1134" s="413">
        <f t="shared" si="22"/>
        <v>1134</v>
      </c>
      <c r="B1134" s="26">
        <v>118</v>
      </c>
      <c r="C1134" s="153" t="s">
        <v>198</v>
      </c>
      <c r="D1134" s="211" t="s">
        <v>22</v>
      </c>
      <c r="E1134" s="212"/>
      <c r="F1134" s="213" t="s">
        <v>37</v>
      </c>
      <c r="G1134" s="214" t="s">
        <v>1799</v>
      </c>
      <c r="H1134" s="213" t="s">
        <v>160</v>
      </c>
      <c r="I1134" s="215">
        <v>9</v>
      </c>
      <c r="J1134" s="216"/>
      <c r="K1134" s="216"/>
      <c r="L1134" s="216">
        <v>27</v>
      </c>
      <c r="M1134" s="216"/>
      <c r="N1134" s="216"/>
      <c r="O1134" s="217"/>
      <c r="P1134" s="217">
        <f>I1134</f>
        <v>9</v>
      </c>
      <c r="Q1134" s="217"/>
      <c r="R1134" s="217"/>
      <c r="S1134" s="218"/>
    </row>
    <row r="1135" spans="1:19" ht="15" customHeight="1">
      <c r="A1135" s="413">
        <f t="shared" si="22"/>
        <v>1135</v>
      </c>
      <c r="B1135" s="26">
        <v>118</v>
      </c>
      <c r="C1135" s="153" t="s">
        <v>198</v>
      </c>
      <c r="D1135" s="211" t="s">
        <v>22</v>
      </c>
      <c r="E1135" s="212"/>
      <c r="F1135" s="213" t="s">
        <v>204</v>
      </c>
      <c r="G1135" s="214" t="s">
        <v>1801</v>
      </c>
      <c r="H1135" s="213" t="s">
        <v>148</v>
      </c>
      <c r="I1135" s="215">
        <v>4</v>
      </c>
      <c r="J1135" s="216">
        <v>23</v>
      </c>
      <c r="K1135" s="216"/>
      <c r="L1135" s="216"/>
      <c r="M1135" s="216"/>
      <c r="N1135" s="216"/>
      <c r="O1135" s="217"/>
      <c r="P1135" s="217"/>
      <c r="Q1135" s="217"/>
      <c r="R1135" s="217">
        <f>I1135</f>
        <v>4</v>
      </c>
      <c r="S1135" s="218"/>
    </row>
    <row r="1136" spans="1:19" ht="15" customHeight="1">
      <c r="A1136" s="413">
        <f t="shared" si="22"/>
        <v>1136</v>
      </c>
      <c r="B1136" s="26">
        <v>118</v>
      </c>
      <c r="C1136" s="153" t="s">
        <v>198</v>
      </c>
      <c r="D1136" s="211" t="s">
        <v>22</v>
      </c>
      <c r="E1136" s="212"/>
      <c r="F1136" s="213" t="s">
        <v>205</v>
      </c>
      <c r="G1136" s="214" t="s">
        <v>1747</v>
      </c>
      <c r="H1136" s="213" t="s">
        <v>148</v>
      </c>
      <c r="I1136" s="215">
        <v>4</v>
      </c>
      <c r="J1136" s="216">
        <v>23</v>
      </c>
      <c r="K1136" s="216"/>
      <c r="L1136" s="216"/>
      <c r="M1136" s="216"/>
      <c r="N1136" s="216"/>
      <c r="O1136" s="217"/>
      <c r="P1136" s="217"/>
      <c r="Q1136" s="217"/>
      <c r="R1136" s="217">
        <f>I1136</f>
        <v>4</v>
      </c>
      <c r="S1136" s="218"/>
    </row>
    <row r="1137" spans="1:19" ht="15" customHeight="1">
      <c r="A1137" s="413">
        <f t="shared" si="22"/>
        <v>1137</v>
      </c>
      <c r="B1137" s="26">
        <v>118</v>
      </c>
      <c r="C1137" s="153" t="s">
        <v>198</v>
      </c>
      <c r="D1137" s="211" t="s">
        <v>22</v>
      </c>
      <c r="E1137" s="212"/>
      <c r="F1137" s="213" t="s">
        <v>206</v>
      </c>
      <c r="G1137" s="214" t="s">
        <v>1802</v>
      </c>
      <c r="H1137" s="213" t="s">
        <v>160</v>
      </c>
      <c r="I1137" s="215">
        <v>4</v>
      </c>
      <c r="J1137" s="216"/>
      <c r="K1137" s="216">
        <v>77</v>
      </c>
      <c r="L1137" s="216"/>
      <c r="M1137" s="216"/>
      <c r="N1137" s="216"/>
      <c r="O1137" s="217"/>
      <c r="P1137" s="217"/>
      <c r="Q1137" s="217">
        <f>I1137</f>
        <v>4</v>
      </c>
      <c r="R1137" s="217"/>
      <c r="S1137" s="218"/>
    </row>
    <row r="1138" spans="1:19" ht="15" customHeight="1">
      <c r="A1138" s="413">
        <f t="shared" si="22"/>
        <v>1138</v>
      </c>
      <c r="B1138" s="26">
        <v>118</v>
      </c>
      <c r="C1138" s="153" t="s">
        <v>198</v>
      </c>
      <c r="D1138" s="211" t="s">
        <v>22</v>
      </c>
      <c r="E1138" s="212"/>
      <c r="F1138" s="213" t="s">
        <v>125</v>
      </c>
      <c r="G1138" s="214" t="s">
        <v>191</v>
      </c>
      <c r="H1138" s="213" t="s">
        <v>298</v>
      </c>
      <c r="I1138" s="215">
        <v>4</v>
      </c>
      <c r="J1138" s="216"/>
      <c r="K1138" s="216"/>
      <c r="L1138" s="216"/>
      <c r="M1138" s="216">
        <v>15</v>
      </c>
      <c r="N1138" s="216"/>
      <c r="O1138" s="217"/>
      <c r="P1138" s="217"/>
      <c r="Q1138" s="217"/>
      <c r="R1138" s="217">
        <f>I1138</f>
        <v>4</v>
      </c>
      <c r="S1138" s="218"/>
    </row>
    <row r="1139" spans="1:19" ht="15" customHeight="1">
      <c r="A1139" s="413">
        <f t="shared" si="22"/>
        <v>1139</v>
      </c>
      <c r="B1139" s="26">
        <v>118</v>
      </c>
      <c r="C1139" s="153" t="s">
        <v>198</v>
      </c>
      <c r="D1139" s="211" t="s">
        <v>22</v>
      </c>
      <c r="E1139" s="212"/>
      <c r="F1139" s="213" t="s">
        <v>129</v>
      </c>
      <c r="G1139" s="214" t="s">
        <v>207</v>
      </c>
      <c r="H1139" s="213" t="s">
        <v>160</v>
      </c>
      <c r="I1139" s="215">
        <v>13</v>
      </c>
      <c r="J1139" s="216"/>
      <c r="K1139" s="216">
        <v>49</v>
      </c>
      <c r="L1139" s="216"/>
      <c r="M1139" s="216"/>
      <c r="N1139" s="216"/>
      <c r="O1139" s="217"/>
      <c r="P1139" s="217"/>
      <c r="Q1139" s="217">
        <f>I1139</f>
        <v>13</v>
      </c>
      <c r="R1139" s="217"/>
      <c r="S1139" s="218"/>
    </row>
    <row r="1140" spans="1:19" ht="15" customHeight="1">
      <c r="A1140" s="413">
        <f t="shared" si="22"/>
        <v>1140</v>
      </c>
      <c r="B1140" s="26">
        <v>118</v>
      </c>
      <c r="C1140" s="153" t="s">
        <v>198</v>
      </c>
      <c r="D1140" s="211" t="s">
        <v>22</v>
      </c>
      <c r="E1140" s="212"/>
      <c r="F1140" s="213" t="s">
        <v>208</v>
      </c>
      <c r="G1140" s="214" t="s">
        <v>209</v>
      </c>
      <c r="H1140" s="213" t="s">
        <v>109</v>
      </c>
      <c r="I1140" s="215">
        <v>1</v>
      </c>
      <c r="J1140" s="216">
        <v>4</v>
      </c>
      <c r="K1140" s="216"/>
      <c r="L1140" s="216"/>
      <c r="M1140" s="216"/>
      <c r="N1140" s="216"/>
      <c r="O1140" s="217"/>
      <c r="P1140" s="217">
        <f>I1140</f>
        <v>1</v>
      </c>
      <c r="Q1140" s="217"/>
      <c r="R1140" s="217"/>
      <c r="S1140" s="218"/>
    </row>
    <row r="1141" spans="1:19" ht="15" customHeight="1">
      <c r="A1141" s="413">
        <f t="shared" si="22"/>
        <v>1141</v>
      </c>
      <c r="B1141" s="26">
        <v>118</v>
      </c>
      <c r="C1141" s="153" t="s">
        <v>198</v>
      </c>
      <c r="D1141" s="211" t="s">
        <v>22</v>
      </c>
      <c r="E1141" s="212"/>
      <c r="F1141" s="213" t="s">
        <v>54</v>
      </c>
      <c r="G1141" s="214" t="s">
        <v>15</v>
      </c>
      <c r="H1141" s="213" t="s">
        <v>113</v>
      </c>
      <c r="I1141" s="215">
        <v>1340</v>
      </c>
      <c r="J1141" s="216"/>
      <c r="K1141" s="216"/>
      <c r="L1141" s="216"/>
      <c r="M1141" s="216"/>
      <c r="N1141" s="216"/>
      <c r="O1141" s="217">
        <v>536</v>
      </c>
      <c r="P1141" s="217"/>
      <c r="Q1141" s="217"/>
      <c r="R1141" s="217"/>
      <c r="S1141" s="218"/>
    </row>
    <row r="1142" spans="1:19" ht="15" customHeight="1">
      <c r="A1142" s="413">
        <f t="shared" si="22"/>
        <v>1142</v>
      </c>
      <c r="B1142" s="26">
        <v>118</v>
      </c>
      <c r="C1142" s="153" t="s">
        <v>198</v>
      </c>
      <c r="D1142" s="211" t="s">
        <v>22</v>
      </c>
      <c r="E1142" s="212"/>
      <c r="F1142" s="213" t="s">
        <v>210</v>
      </c>
      <c r="G1142" s="214" t="s">
        <v>1698</v>
      </c>
      <c r="H1142" s="213" t="s">
        <v>68</v>
      </c>
      <c r="I1142" s="215">
        <v>30</v>
      </c>
      <c r="J1142" s="216" t="s">
        <v>316</v>
      </c>
      <c r="K1142" s="216"/>
      <c r="L1142" s="216"/>
      <c r="M1142" s="216"/>
      <c r="N1142" s="216"/>
      <c r="O1142" s="217"/>
      <c r="P1142" s="217"/>
      <c r="Q1142" s="217">
        <f>I1142</f>
        <v>30</v>
      </c>
      <c r="R1142" s="217"/>
      <c r="S1142" s="218"/>
    </row>
    <row r="1143" spans="1:19" ht="15" customHeight="1">
      <c r="A1143" s="413">
        <f t="shared" si="22"/>
        <v>1143</v>
      </c>
      <c r="B1143" s="26">
        <v>118</v>
      </c>
      <c r="C1143" s="153" t="s">
        <v>198</v>
      </c>
      <c r="D1143" s="211" t="s">
        <v>22</v>
      </c>
      <c r="E1143" s="212"/>
      <c r="F1143" s="213" t="s">
        <v>211</v>
      </c>
      <c r="G1143" s="214" t="s">
        <v>1805</v>
      </c>
      <c r="H1143" s="213" t="s">
        <v>160</v>
      </c>
      <c r="I1143" s="215">
        <v>19</v>
      </c>
      <c r="J1143" s="216"/>
      <c r="K1143" s="216">
        <v>18</v>
      </c>
      <c r="L1143" s="216"/>
      <c r="M1143" s="216"/>
      <c r="N1143" s="216"/>
      <c r="O1143" s="217"/>
      <c r="P1143" s="217"/>
      <c r="Q1143" s="217">
        <f>I1143</f>
        <v>19</v>
      </c>
      <c r="R1143" s="217"/>
      <c r="S1143" s="218"/>
    </row>
    <row r="1144" spans="1:19" ht="15" customHeight="1">
      <c r="A1144" s="413">
        <f t="shared" si="22"/>
        <v>1144</v>
      </c>
      <c r="B1144" s="26">
        <v>118</v>
      </c>
      <c r="C1144" s="153" t="s">
        <v>198</v>
      </c>
      <c r="D1144" s="211" t="s">
        <v>22</v>
      </c>
      <c r="E1144" s="212"/>
      <c r="F1144" s="213" t="s">
        <v>164</v>
      </c>
      <c r="G1144" s="214" t="s">
        <v>1811</v>
      </c>
      <c r="H1144" s="213" t="s">
        <v>820</v>
      </c>
      <c r="I1144" s="215">
        <v>27</v>
      </c>
      <c r="J1144" s="216" t="s">
        <v>316</v>
      </c>
      <c r="K1144" s="216"/>
      <c r="L1144" s="216"/>
      <c r="M1144" s="216"/>
      <c r="N1144" s="216"/>
      <c r="O1144" s="217"/>
      <c r="P1144" s="217"/>
      <c r="Q1144" s="217">
        <f>I1144</f>
        <v>27</v>
      </c>
      <c r="R1144" s="217"/>
      <c r="S1144" s="218"/>
    </row>
    <row r="1145" spans="1:19" ht="15" customHeight="1">
      <c r="A1145" s="413">
        <f t="shared" si="22"/>
        <v>1145</v>
      </c>
      <c r="B1145" s="26">
        <v>119</v>
      </c>
      <c r="C1145" s="153" t="s">
        <v>310</v>
      </c>
      <c r="D1145" s="211" t="s">
        <v>22</v>
      </c>
      <c r="E1145" s="212"/>
      <c r="F1145" s="213" t="s">
        <v>143</v>
      </c>
      <c r="G1145" s="214" t="s">
        <v>63</v>
      </c>
      <c r="H1145" s="213" t="s">
        <v>109</v>
      </c>
      <c r="I1145" s="215">
        <v>190</v>
      </c>
      <c r="J1145" s="216"/>
      <c r="K1145" s="216"/>
      <c r="L1145" s="216"/>
      <c r="M1145" s="216"/>
      <c r="N1145" s="216"/>
      <c r="O1145" s="217"/>
      <c r="P1145" s="217"/>
      <c r="Q1145" s="217"/>
      <c r="R1145" s="217">
        <f>I1145</f>
        <v>190</v>
      </c>
      <c r="S1145" s="218"/>
    </row>
    <row r="1146" spans="1:19" ht="15" customHeight="1">
      <c r="A1146" s="413">
        <f t="shared" si="22"/>
        <v>1146</v>
      </c>
      <c r="B1146" s="26">
        <v>119</v>
      </c>
      <c r="C1146" s="153" t="s">
        <v>310</v>
      </c>
      <c r="D1146" s="211" t="s">
        <v>22</v>
      </c>
      <c r="E1146" s="212"/>
      <c r="F1146" s="213" t="s">
        <v>175</v>
      </c>
      <c r="G1146" s="214" t="s">
        <v>16</v>
      </c>
      <c r="H1146" s="213" t="s">
        <v>176</v>
      </c>
      <c r="I1146" s="215">
        <v>37</v>
      </c>
      <c r="J1146" s="216"/>
      <c r="K1146" s="216">
        <v>111</v>
      </c>
      <c r="L1146" s="216"/>
      <c r="M1146" s="216"/>
      <c r="N1146" s="216"/>
      <c r="O1146" s="217"/>
      <c r="P1146" s="217"/>
      <c r="Q1146" s="217">
        <f>I1146</f>
        <v>37</v>
      </c>
      <c r="R1146" s="217">
        <f>I1146</f>
        <v>37</v>
      </c>
      <c r="S1146" s="218"/>
    </row>
    <row r="1147" spans="1:19" ht="15" customHeight="1">
      <c r="A1147" s="413">
        <f t="shared" si="22"/>
        <v>1147</v>
      </c>
      <c r="B1147" s="26">
        <v>119</v>
      </c>
      <c r="C1147" s="153" t="s">
        <v>310</v>
      </c>
      <c r="D1147" s="211" t="s">
        <v>22</v>
      </c>
      <c r="E1147" s="212"/>
      <c r="F1147" s="213" t="s">
        <v>64</v>
      </c>
      <c r="G1147" s="214" t="s">
        <v>182</v>
      </c>
      <c r="H1147" s="213" t="s">
        <v>160</v>
      </c>
      <c r="I1147" s="215">
        <v>6</v>
      </c>
      <c r="J1147" s="216"/>
      <c r="K1147" s="216"/>
      <c r="L1147" s="216"/>
      <c r="M1147" s="216"/>
      <c r="N1147" s="216"/>
      <c r="O1147" s="217"/>
      <c r="P1147" s="217"/>
      <c r="Q1147" s="217"/>
      <c r="R1147" s="217">
        <f>I1147</f>
        <v>6</v>
      </c>
      <c r="S1147" s="218"/>
    </row>
    <row r="1148" spans="1:19" ht="15" customHeight="1">
      <c r="A1148" s="413">
        <f t="shared" si="22"/>
        <v>1148</v>
      </c>
      <c r="B1148" s="26">
        <v>119</v>
      </c>
      <c r="C1148" s="153" t="s">
        <v>310</v>
      </c>
      <c r="D1148" s="211" t="s">
        <v>22</v>
      </c>
      <c r="E1148" s="212"/>
      <c r="F1148" s="213" t="s">
        <v>177</v>
      </c>
      <c r="G1148" s="214" t="s">
        <v>1746</v>
      </c>
      <c r="H1148" s="213" t="s">
        <v>160</v>
      </c>
      <c r="I1148" s="215">
        <v>9</v>
      </c>
      <c r="J1148" s="216"/>
      <c r="K1148" s="216"/>
      <c r="L1148" s="216">
        <v>39</v>
      </c>
      <c r="M1148" s="216"/>
      <c r="N1148" s="216"/>
      <c r="O1148" s="217"/>
      <c r="P1148" s="217">
        <f>I1148</f>
        <v>9</v>
      </c>
      <c r="Q1148" s="217"/>
      <c r="R1148" s="217"/>
      <c r="S1148" s="218"/>
    </row>
    <row r="1149" spans="1:19" ht="15" customHeight="1">
      <c r="A1149" s="413">
        <f t="shared" si="22"/>
        <v>1149</v>
      </c>
      <c r="B1149" s="26">
        <v>119</v>
      </c>
      <c r="C1149" s="153" t="s">
        <v>310</v>
      </c>
      <c r="D1149" s="211" t="s">
        <v>22</v>
      </c>
      <c r="E1149" s="212"/>
      <c r="F1149" s="213" t="s">
        <v>303</v>
      </c>
      <c r="G1149" s="214" t="s">
        <v>1832</v>
      </c>
      <c r="H1149" s="213" t="s">
        <v>160</v>
      </c>
      <c r="I1149" s="215">
        <v>4</v>
      </c>
      <c r="J1149" s="216"/>
      <c r="K1149" s="216">
        <v>24</v>
      </c>
      <c r="L1149" s="216"/>
      <c r="M1149" s="216"/>
      <c r="N1149" s="216"/>
      <c r="O1149" s="217"/>
      <c r="P1149" s="217"/>
      <c r="Q1149" s="217">
        <f>I1149</f>
        <v>4</v>
      </c>
      <c r="R1149" s="217"/>
      <c r="S1149" s="218"/>
    </row>
    <row r="1150" spans="1:19" ht="15" customHeight="1">
      <c r="A1150" s="413">
        <f t="shared" si="22"/>
        <v>1150</v>
      </c>
      <c r="B1150" s="26">
        <v>119</v>
      </c>
      <c r="C1150" s="153" t="s">
        <v>310</v>
      </c>
      <c r="D1150" s="211" t="s">
        <v>22</v>
      </c>
      <c r="E1150" s="212"/>
      <c r="F1150" s="213" t="s">
        <v>304</v>
      </c>
      <c r="G1150" s="214" t="s">
        <v>1799</v>
      </c>
      <c r="H1150" s="213" t="s">
        <v>12</v>
      </c>
      <c r="I1150" s="215">
        <v>6</v>
      </c>
      <c r="J1150" s="216"/>
      <c r="K1150" s="216"/>
      <c r="L1150" s="216">
        <v>30</v>
      </c>
      <c r="M1150" s="216"/>
      <c r="N1150" s="216"/>
      <c r="O1150" s="217"/>
      <c r="P1150" s="217">
        <f>I1150</f>
        <v>6</v>
      </c>
      <c r="Q1150" s="217"/>
      <c r="R1150" s="217"/>
      <c r="S1150" s="218"/>
    </row>
    <row r="1151" spans="1:19" ht="15" customHeight="1">
      <c r="A1151" s="413">
        <f t="shared" si="22"/>
        <v>1151</v>
      </c>
      <c r="B1151" s="26">
        <v>119</v>
      </c>
      <c r="C1151" s="153" t="s">
        <v>310</v>
      </c>
      <c r="D1151" s="211" t="s">
        <v>22</v>
      </c>
      <c r="E1151" s="212"/>
      <c r="F1151" s="213" t="s">
        <v>304</v>
      </c>
      <c r="G1151" s="214" t="s">
        <v>1833</v>
      </c>
      <c r="H1151" s="213" t="s">
        <v>12</v>
      </c>
      <c r="I1151" s="215">
        <v>6</v>
      </c>
      <c r="J1151" s="216"/>
      <c r="K1151" s="216"/>
      <c r="L1151" s="216">
        <v>30</v>
      </c>
      <c r="M1151" s="216"/>
      <c r="N1151" s="216"/>
      <c r="O1151" s="217"/>
      <c r="P1151" s="217">
        <f>I1151</f>
        <v>6</v>
      </c>
      <c r="Q1151" s="217"/>
      <c r="R1151" s="217"/>
      <c r="S1151" s="218"/>
    </row>
    <row r="1152" spans="1:19" ht="15" customHeight="1">
      <c r="A1152" s="413">
        <f t="shared" si="22"/>
        <v>1152</v>
      </c>
      <c r="B1152" s="26">
        <v>119</v>
      </c>
      <c r="C1152" s="153" t="s">
        <v>310</v>
      </c>
      <c r="D1152" s="211" t="s">
        <v>22</v>
      </c>
      <c r="E1152" s="212"/>
      <c r="F1152" s="213" t="s">
        <v>305</v>
      </c>
      <c r="G1152" s="214" t="s">
        <v>1800</v>
      </c>
      <c r="H1152" s="213" t="s">
        <v>109</v>
      </c>
      <c r="I1152" s="215">
        <v>12</v>
      </c>
      <c r="J1152" s="216"/>
      <c r="K1152" s="216">
        <v>48</v>
      </c>
      <c r="L1152" s="216"/>
      <c r="M1152" s="216"/>
      <c r="N1152" s="216"/>
      <c r="O1152" s="217"/>
      <c r="P1152" s="217"/>
      <c r="Q1152" s="217">
        <f>I1152</f>
        <v>12</v>
      </c>
      <c r="R1152" s="217"/>
      <c r="S1152" s="218"/>
    </row>
    <row r="1153" spans="1:19" ht="15" customHeight="1">
      <c r="A1153" s="413">
        <f t="shared" si="22"/>
        <v>1153</v>
      </c>
      <c r="B1153" s="26">
        <v>119</v>
      </c>
      <c r="C1153" s="153" t="s">
        <v>310</v>
      </c>
      <c r="D1153" s="211" t="s">
        <v>22</v>
      </c>
      <c r="E1153" s="212"/>
      <c r="F1153" s="213" t="s">
        <v>308</v>
      </c>
      <c r="G1153" s="214" t="s">
        <v>1801</v>
      </c>
      <c r="H1153" s="213" t="s">
        <v>109</v>
      </c>
      <c r="I1153" s="215">
        <v>4</v>
      </c>
      <c r="J1153" s="216">
        <v>23</v>
      </c>
      <c r="K1153" s="216"/>
      <c r="L1153" s="216"/>
      <c r="M1153" s="216"/>
      <c r="N1153" s="216"/>
      <c r="O1153" s="217"/>
      <c r="P1153" s="217"/>
      <c r="Q1153" s="217"/>
      <c r="R1153" s="217">
        <f t="shared" ref="R1153:R1158" si="24">I1153</f>
        <v>4</v>
      </c>
      <c r="S1153" s="218"/>
    </row>
    <row r="1154" spans="1:19" ht="15" customHeight="1">
      <c r="A1154" s="413">
        <f t="shared" si="22"/>
        <v>1154</v>
      </c>
      <c r="B1154" s="26">
        <v>119</v>
      </c>
      <c r="C1154" s="153" t="s">
        <v>310</v>
      </c>
      <c r="D1154" s="211" t="s">
        <v>22</v>
      </c>
      <c r="E1154" s="212"/>
      <c r="F1154" s="213" t="s">
        <v>1</v>
      </c>
      <c r="G1154" s="214" t="s">
        <v>66</v>
      </c>
      <c r="H1154" s="213" t="s">
        <v>1053</v>
      </c>
      <c r="I1154" s="215">
        <v>3</v>
      </c>
      <c r="J1154" s="216"/>
      <c r="K1154" s="216"/>
      <c r="L1154" s="216"/>
      <c r="M1154" s="216"/>
      <c r="N1154" s="216"/>
      <c r="O1154" s="217"/>
      <c r="P1154" s="217"/>
      <c r="Q1154" s="217"/>
      <c r="R1154" s="217">
        <f t="shared" si="24"/>
        <v>3</v>
      </c>
      <c r="S1154" s="218"/>
    </row>
    <row r="1155" spans="1:19" ht="15" customHeight="1">
      <c r="A1155" s="413">
        <f t="shared" ref="A1155:A1218" si="25">1+A1154</f>
        <v>1155</v>
      </c>
      <c r="B1155" s="26">
        <v>119</v>
      </c>
      <c r="C1155" s="153" t="s">
        <v>310</v>
      </c>
      <c r="D1155" s="211" t="s">
        <v>22</v>
      </c>
      <c r="E1155" s="212"/>
      <c r="F1155" s="213" t="s">
        <v>311</v>
      </c>
      <c r="G1155" s="214" t="s">
        <v>1802</v>
      </c>
      <c r="H1155" s="213" t="s">
        <v>1312</v>
      </c>
      <c r="I1155" s="215">
        <v>46</v>
      </c>
      <c r="J1155" s="216" t="s">
        <v>316</v>
      </c>
      <c r="K1155" s="216"/>
      <c r="L1155" s="216"/>
      <c r="M1155" s="216"/>
      <c r="N1155" s="216"/>
      <c r="O1155" s="217"/>
      <c r="P1155" s="217"/>
      <c r="Q1155" s="217"/>
      <c r="R1155" s="217">
        <f t="shared" si="24"/>
        <v>46</v>
      </c>
      <c r="S1155" s="218"/>
    </row>
    <row r="1156" spans="1:19" ht="15" customHeight="1">
      <c r="A1156" s="413">
        <f t="shared" si="25"/>
        <v>1156</v>
      </c>
      <c r="B1156" s="26">
        <v>119</v>
      </c>
      <c r="C1156" s="153" t="s">
        <v>310</v>
      </c>
      <c r="D1156" s="211" t="s">
        <v>22</v>
      </c>
      <c r="E1156" s="212"/>
      <c r="F1156" s="213" t="s">
        <v>312</v>
      </c>
      <c r="G1156" s="214" t="s">
        <v>191</v>
      </c>
      <c r="H1156" s="213" t="s">
        <v>1312</v>
      </c>
      <c r="I1156" s="215">
        <v>46</v>
      </c>
      <c r="J1156" s="216" t="s">
        <v>316</v>
      </c>
      <c r="K1156" s="216"/>
      <c r="L1156" s="216"/>
      <c r="M1156" s="216"/>
      <c r="N1156" s="216"/>
      <c r="O1156" s="217"/>
      <c r="P1156" s="217"/>
      <c r="Q1156" s="217"/>
      <c r="R1156" s="217">
        <f t="shared" si="24"/>
        <v>46</v>
      </c>
      <c r="S1156" s="218"/>
    </row>
    <row r="1157" spans="1:19" ht="15" customHeight="1">
      <c r="A1157" s="413">
        <f t="shared" si="25"/>
        <v>1157</v>
      </c>
      <c r="B1157" s="26">
        <v>119</v>
      </c>
      <c r="C1157" s="153" t="s">
        <v>310</v>
      </c>
      <c r="D1157" s="211" t="s">
        <v>22</v>
      </c>
      <c r="E1157" s="212"/>
      <c r="F1157" s="213" t="s">
        <v>313</v>
      </c>
      <c r="G1157" s="214" t="s">
        <v>1834</v>
      </c>
      <c r="H1157" s="213" t="s">
        <v>1312</v>
      </c>
      <c r="I1157" s="215">
        <v>46</v>
      </c>
      <c r="J1157" s="216" t="s">
        <v>316</v>
      </c>
      <c r="K1157" s="216"/>
      <c r="L1157" s="216"/>
      <c r="M1157" s="216"/>
      <c r="N1157" s="216"/>
      <c r="O1157" s="217"/>
      <c r="P1157" s="217"/>
      <c r="Q1157" s="217"/>
      <c r="R1157" s="217">
        <f t="shared" si="24"/>
        <v>46</v>
      </c>
      <c r="S1157" s="218"/>
    </row>
    <row r="1158" spans="1:19" ht="15" customHeight="1">
      <c r="A1158" s="413">
        <f t="shared" si="25"/>
        <v>1158</v>
      </c>
      <c r="B1158" s="26">
        <v>119</v>
      </c>
      <c r="C1158" s="153" t="s">
        <v>310</v>
      </c>
      <c r="D1158" s="211" t="s">
        <v>22</v>
      </c>
      <c r="E1158" s="212"/>
      <c r="F1158" s="213" t="s">
        <v>64</v>
      </c>
      <c r="G1158" s="214" t="s">
        <v>1822</v>
      </c>
      <c r="H1158" s="213" t="s">
        <v>160</v>
      </c>
      <c r="I1158" s="215">
        <v>16</v>
      </c>
      <c r="J1158" s="216"/>
      <c r="K1158" s="216"/>
      <c r="L1158" s="216"/>
      <c r="M1158" s="216"/>
      <c r="N1158" s="216"/>
      <c r="O1158" s="217"/>
      <c r="P1158" s="217"/>
      <c r="Q1158" s="217"/>
      <c r="R1158" s="217">
        <f t="shared" si="24"/>
        <v>16</v>
      </c>
      <c r="S1158" s="218"/>
    </row>
    <row r="1159" spans="1:19" ht="15" customHeight="1">
      <c r="A1159" s="413">
        <f t="shared" si="25"/>
        <v>1159</v>
      </c>
      <c r="B1159" s="26">
        <v>119</v>
      </c>
      <c r="C1159" s="153" t="s">
        <v>310</v>
      </c>
      <c r="D1159" s="211" t="s">
        <v>22</v>
      </c>
      <c r="E1159" s="212"/>
      <c r="F1159" s="213" t="s">
        <v>167</v>
      </c>
      <c r="G1159" s="214" t="s">
        <v>1803</v>
      </c>
      <c r="H1159" s="213" t="s">
        <v>160</v>
      </c>
      <c r="I1159" s="215">
        <v>13</v>
      </c>
      <c r="J1159" s="216"/>
      <c r="K1159" s="216"/>
      <c r="L1159" s="216">
        <v>43</v>
      </c>
      <c r="M1159" s="216"/>
      <c r="N1159" s="216"/>
      <c r="O1159" s="217"/>
      <c r="P1159" s="217"/>
      <c r="Q1159" s="217">
        <f>I1159</f>
        <v>13</v>
      </c>
      <c r="R1159" s="217"/>
      <c r="S1159" s="218"/>
    </row>
    <row r="1160" spans="1:19" ht="15" customHeight="1">
      <c r="A1160" s="413">
        <f t="shared" si="25"/>
        <v>1160</v>
      </c>
      <c r="B1160" s="26">
        <v>119</v>
      </c>
      <c r="C1160" s="153" t="s">
        <v>310</v>
      </c>
      <c r="D1160" s="211" t="s">
        <v>22</v>
      </c>
      <c r="E1160" s="212"/>
      <c r="F1160" s="213" t="s">
        <v>214</v>
      </c>
      <c r="G1160" s="214" t="s">
        <v>1804</v>
      </c>
      <c r="H1160" s="213" t="s">
        <v>160</v>
      </c>
      <c r="I1160" s="215">
        <v>15</v>
      </c>
      <c r="J1160" s="216"/>
      <c r="K1160" s="216">
        <v>47</v>
      </c>
      <c r="L1160" s="216"/>
      <c r="M1160" s="216"/>
      <c r="N1160" s="216"/>
      <c r="O1160" s="217"/>
      <c r="P1160" s="217"/>
      <c r="Q1160" s="217">
        <f>I1160</f>
        <v>15</v>
      </c>
      <c r="R1160" s="217"/>
      <c r="S1160" s="218"/>
    </row>
    <row r="1161" spans="1:19" ht="15" customHeight="1">
      <c r="A1161" s="413">
        <f t="shared" si="25"/>
        <v>1161</v>
      </c>
      <c r="B1161" s="26">
        <v>119</v>
      </c>
      <c r="C1161" s="153" t="s">
        <v>310</v>
      </c>
      <c r="D1161" s="211" t="s">
        <v>22</v>
      </c>
      <c r="E1161" s="212"/>
      <c r="F1161" s="213" t="s">
        <v>228</v>
      </c>
      <c r="G1161" s="214" t="s">
        <v>1835</v>
      </c>
      <c r="H1161" s="213" t="s">
        <v>176</v>
      </c>
      <c r="I1161" s="215">
        <v>24</v>
      </c>
      <c r="J1161" s="216"/>
      <c r="K1161" s="216"/>
      <c r="L1161" s="216"/>
      <c r="M1161" s="216"/>
      <c r="N1161" s="216"/>
      <c r="O1161" s="217"/>
      <c r="P1161" s="217"/>
      <c r="Q1161" s="217"/>
      <c r="R1161" s="217">
        <f>I1161</f>
        <v>24</v>
      </c>
      <c r="S1161" s="218"/>
    </row>
    <row r="1162" spans="1:19" ht="15" customHeight="1">
      <c r="A1162" s="413">
        <f t="shared" si="25"/>
        <v>1162</v>
      </c>
      <c r="B1162" s="26">
        <v>119</v>
      </c>
      <c r="C1162" s="153" t="s">
        <v>310</v>
      </c>
      <c r="D1162" s="211" t="s">
        <v>22</v>
      </c>
      <c r="E1162" s="212"/>
      <c r="F1162" s="213" t="s">
        <v>64</v>
      </c>
      <c r="G1162" s="214" t="s">
        <v>1836</v>
      </c>
      <c r="H1162" s="213" t="s">
        <v>160</v>
      </c>
      <c r="I1162" s="215">
        <v>10</v>
      </c>
      <c r="J1162" s="216"/>
      <c r="K1162" s="216"/>
      <c r="L1162" s="216"/>
      <c r="M1162" s="216"/>
      <c r="N1162" s="216"/>
      <c r="O1162" s="217"/>
      <c r="P1162" s="217"/>
      <c r="Q1162" s="217"/>
      <c r="R1162" s="217">
        <f>I1162</f>
        <v>10</v>
      </c>
      <c r="S1162" s="218"/>
    </row>
    <row r="1163" spans="1:19" ht="15" customHeight="1">
      <c r="A1163" s="413">
        <f t="shared" si="25"/>
        <v>1163</v>
      </c>
      <c r="B1163" s="26">
        <v>119</v>
      </c>
      <c r="C1163" s="153" t="s">
        <v>310</v>
      </c>
      <c r="D1163" s="211" t="s">
        <v>22</v>
      </c>
      <c r="E1163" s="212"/>
      <c r="F1163" s="213" t="s">
        <v>307</v>
      </c>
      <c r="G1163" s="214" t="s">
        <v>1837</v>
      </c>
      <c r="H1163" s="213" t="s">
        <v>19</v>
      </c>
      <c r="I1163" s="215">
        <v>20</v>
      </c>
      <c r="J1163" s="216"/>
      <c r="K1163" s="216"/>
      <c r="L1163" s="216">
        <v>54</v>
      </c>
      <c r="M1163" s="216"/>
      <c r="N1163" s="216"/>
      <c r="O1163" s="217"/>
      <c r="P1163" s="217">
        <f>I1163</f>
        <v>20</v>
      </c>
      <c r="Q1163" s="217"/>
      <c r="R1163" s="217"/>
      <c r="S1163" s="218"/>
    </row>
    <row r="1164" spans="1:19" ht="15" customHeight="1">
      <c r="A1164" s="413">
        <f t="shared" si="25"/>
        <v>1164</v>
      </c>
      <c r="B1164" s="26">
        <v>119</v>
      </c>
      <c r="C1164" s="153" t="s">
        <v>310</v>
      </c>
      <c r="D1164" s="211" t="s">
        <v>22</v>
      </c>
      <c r="E1164" s="212"/>
      <c r="F1164" s="213" t="s">
        <v>54</v>
      </c>
      <c r="G1164" s="214" t="s">
        <v>309</v>
      </c>
      <c r="H1164" s="213" t="s">
        <v>109</v>
      </c>
      <c r="I1164" s="215">
        <v>1637</v>
      </c>
      <c r="J1164" s="216"/>
      <c r="K1164" s="216"/>
      <c r="L1164" s="216"/>
      <c r="M1164" s="216"/>
      <c r="N1164" s="216"/>
      <c r="O1164" s="217" t="s">
        <v>326</v>
      </c>
      <c r="P1164" s="217"/>
      <c r="Q1164" s="217"/>
      <c r="R1164" s="217"/>
      <c r="S1164" s="218"/>
    </row>
    <row r="1165" spans="1:19" ht="15" customHeight="1">
      <c r="A1165" s="413">
        <f t="shared" si="25"/>
        <v>1165</v>
      </c>
      <c r="B1165" s="26">
        <v>119</v>
      </c>
      <c r="C1165" s="153" t="s">
        <v>310</v>
      </c>
      <c r="D1165" s="211" t="s">
        <v>22</v>
      </c>
      <c r="E1165" s="212"/>
      <c r="F1165" s="213" t="s">
        <v>123</v>
      </c>
      <c r="G1165" s="214" t="s">
        <v>1838</v>
      </c>
      <c r="H1165" s="213" t="s">
        <v>12</v>
      </c>
      <c r="I1165" s="215">
        <v>3</v>
      </c>
      <c r="J1165" s="216"/>
      <c r="K1165" s="216"/>
      <c r="L1165" s="216">
        <v>15</v>
      </c>
      <c r="M1165" s="216"/>
      <c r="N1165" s="216"/>
      <c r="O1165" s="217"/>
      <c r="P1165" s="217">
        <f>I1165</f>
        <v>3</v>
      </c>
      <c r="Q1165" s="217"/>
      <c r="R1165" s="217"/>
      <c r="S1165" s="218"/>
    </row>
    <row r="1166" spans="1:19" ht="15" customHeight="1">
      <c r="A1166" s="413">
        <f t="shared" si="25"/>
        <v>1166</v>
      </c>
      <c r="B1166" s="26">
        <v>120</v>
      </c>
      <c r="C1166" s="153" t="s">
        <v>300</v>
      </c>
      <c r="D1166" s="211" t="s">
        <v>22</v>
      </c>
      <c r="E1166" s="212"/>
      <c r="F1166" s="213" t="s">
        <v>143</v>
      </c>
      <c r="G1166" s="214" t="s">
        <v>63</v>
      </c>
      <c r="H1166" s="213" t="s">
        <v>1315</v>
      </c>
      <c r="I1166" s="215">
        <v>143</v>
      </c>
      <c r="J1166" s="216">
        <v>364</v>
      </c>
      <c r="K1166" s="216">
        <v>296</v>
      </c>
      <c r="L1166" s="216"/>
      <c r="M1166" s="216"/>
      <c r="N1166" s="216"/>
      <c r="O1166" s="217"/>
      <c r="P1166" s="217"/>
      <c r="Q1166" s="217">
        <f>I1166</f>
        <v>143</v>
      </c>
      <c r="R1166" s="217"/>
      <c r="S1166" s="218"/>
    </row>
    <row r="1167" spans="1:19" ht="15" customHeight="1">
      <c r="A1167" s="413">
        <f t="shared" si="25"/>
        <v>1167</v>
      </c>
      <c r="B1167" s="26">
        <v>120</v>
      </c>
      <c r="C1167" s="153" t="s">
        <v>300</v>
      </c>
      <c r="D1167" s="211" t="s">
        <v>22</v>
      </c>
      <c r="E1167" s="212"/>
      <c r="F1167" s="213" t="s">
        <v>301</v>
      </c>
      <c r="G1167" s="214" t="s">
        <v>223</v>
      </c>
      <c r="H1167" s="213" t="s">
        <v>160</v>
      </c>
      <c r="I1167" s="215">
        <v>28</v>
      </c>
      <c r="J1167" s="216"/>
      <c r="K1167" s="216">
        <v>62</v>
      </c>
      <c r="L1167" s="216"/>
      <c r="M1167" s="216"/>
      <c r="N1167" s="216"/>
      <c r="O1167" s="217"/>
      <c r="P1167" s="217">
        <f>I1167</f>
        <v>28</v>
      </c>
      <c r="Q1167" s="217"/>
      <c r="R1167" s="217"/>
      <c r="S1167" s="218"/>
    </row>
    <row r="1168" spans="1:19" ht="15" customHeight="1">
      <c r="A1168" s="413">
        <f t="shared" si="25"/>
        <v>1168</v>
      </c>
      <c r="B1168" s="26">
        <v>120</v>
      </c>
      <c r="C1168" s="153" t="s">
        <v>300</v>
      </c>
      <c r="D1168" s="211" t="s">
        <v>22</v>
      </c>
      <c r="E1168" s="212"/>
      <c r="F1168" s="213" t="s">
        <v>175</v>
      </c>
      <c r="G1168" s="214" t="s">
        <v>16</v>
      </c>
      <c r="H1168" s="213" t="s">
        <v>1315</v>
      </c>
      <c r="I1168" s="215">
        <v>75</v>
      </c>
      <c r="J1168" s="216"/>
      <c r="K1168" s="216">
        <v>509</v>
      </c>
      <c r="L1168" s="216"/>
      <c r="M1168" s="216"/>
      <c r="N1168" s="216"/>
      <c r="O1168" s="217"/>
      <c r="P1168" s="217"/>
      <c r="Q1168" s="217">
        <f>I1168</f>
        <v>75</v>
      </c>
      <c r="R1168" s="217"/>
      <c r="S1168" s="218"/>
    </row>
    <row r="1169" spans="1:19" ht="15" customHeight="1">
      <c r="A1169" s="413">
        <f t="shared" si="25"/>
        <v>1169</v>
      </c>
      <c r="B1169" s="26">
        <v>120</v>
      </c>
      <c r="C1169" s="153" t="s">
        <v>300</v>
      </c>
      <c r="D1169" s="211" t="s">
        <v>22</v>
      </c>
      <c r="E1169" s="212"/>
      <c r="F1169" s="213" t="s">
        <v>302</v>
      </c>
      <c r="G1169" s="214" t="s">
        <v>182</v>
      </c>
      <c r="H1169" s="213" t="s">
        <v>160</v>
      </c>
      <c r="I1169" s="215">
        <v>12</v>
      </c>
      <c r="J1169" s="216"/>
      <c r="K1169" s="216"/>
      <c r="L1169" s="216">
        <v>45</v>
      </c>
      <c r="M1169" s="216"/>
      <c r="N1169" s="216"/>
      <c r="O1169" s="217"/>
      <c r="P1169" s="217">
        <f t="shared" ref="P1169:P1176" si="26">I1169</f>
        <v>12</v>
      </c>
      <c r="Q1169" s="217"/>
      <c r="R1169" s="217"/>
      <c r="S1169" s="218"/>
    </row>
    <row r="1170" spans="1:19" ht="15" customHeight="1">
      <c r="A1170" s="413">
        <f t="shared" si="25"/>
        <v>1170</v>
      </c>
      <c r="B1170" s="26">
        <v>120</v>
      </c>
      <c r="C1170" s="153" t="s">
        <v>300</v>
      </c>
      <c r="D1170" s="211" t="s">
        <v>22</v>
      </c>
      <c r="E1170" s="212"/>
      <c r="F1170" s="213" t="s">
        <v>177</v>
      </c>
      <c r="G1170" s="214" t="s">
        <v>1839</v>
      </c>
      <c r="H1170" s="213" t="s">
        <v>160</v>
      </c>
      <c r="I1170" s="215">
        <v>15</v>
      </c>
      <c r="J1170" s="216"/>
      <c r="K1170" s="216"/>
      <c r="L1170" s="216">
        <v>50</v>
      </c>
      <c r="M1170" s="216"/>
      <c r="N1170" s="216"/>
      <c r="O1170" s="217"/>
      <c r="P1170" s="217">
        <f t="shared" si="26"/>
        <v>15</v>
      </c>
      <c r="Q1170" s="217"/>
      <c r="R1170" s="217"/>
      <c r="S1170" s="218"/>
    </row>
    <row r="1171" spans="1:19" ht="15" customHeight="1">
      <c r="A1171" s="413">
        <f t="shared" si="25"/>
        <v>1171</v>
      </c>
      <c r="B1171" s="26">
        <v>120</v>
      </c>
      <c r="C1171" s="153" t="s">
        <v>300</v>
      </c>
      <c r="D1171" s="211" t="s">
        <v>22</v>
      </c>
      <c r="E1171" s="212"/>
      <c r="F1171" s="213" t="s">
        <v>303</v>
      </c>
      <c r="G1171" s="214" t="s">
        <v>1840</v>
      </c>
      <c r="H1171" s="213" t="s">
        <v>160</v>
      </c>
      <c r="I1171" s="215">
        <v>8</v>
      </c>
      <c r="J1171" s="216"/>
      <c r="K1171" s="216"/>
      <c r="L1171" s="216">
        <v>37</v>
      </c>
      <c r="M1171" s="216"/>
      <c r="N1171" s="216"/>
      <c r="O1171" s="217"/>
      <c r="P1171" s="217">
        <f t="shared" si="26"/>
        <v>8</v>
      </c>
      <c r="Q1171" s="217"/>
      <c r="R1171" s="217"/>
      <c r="S1171" s="218"/>
    </row>
    <row r="1172" spans="1:19" ht="15" customHeight="1">
      <c r="A1172" s="413">
        <f t="shared" si="25"/>
        <v>1172</v>
      </c>
      <c r="B1172" s="26">
        <v>120</v>
      </c>
      <c r="C1172" s="153" t="s">
        <v>300</v>
      </c>
      <c r="D1172" s="211" t="s">
        <v>22</v>
      </c>
      <c r="E1172" s="212"/>
      <c r="F1172" s="213" t="s">
        <v>304</v>
      </c>
      <c r="G1172" s="214" t="s">
        <v>1799</v>
      </c>
      <c r="H1172" s="213" t="s">
        <v>160</v>
      </c>
      <c r="I1172" s="215">
        <v>12</v>
      </c>
      <c r="J1172" s="216"/>
      <c r="K1172" s="216"/>
      <c r="L1172" s="216">
        <v>42</v>
      </c>
      <c r="M1172" s="216"/>
      <c r="N1172" s="216"/>
      <c r="O1172" s="217"/>
      <c r="P1172" s="217">
        <f t="shared" si="26"/>
        <v>12</v>
      </c>
      <c r="Q1172" s="217"/>
      <c r="R1172" s="217"/>
      <c r="S1172" s="218"/>
    </row>
    <row r="1173" spans="1:19" ht="15" customHeight="1">
      <c r="A1173" s="413">
        <f t="shared" si="25"/>
        <v>1173</v>
      </c>
      <c r="B1173" s="26">
        <v>120</v>
      </c>
      <c r="C1173" s="153" t="s">
        <v>300</v>
      </c>
      <c r="D1173" s="211" t="s">
        <v>22</v>
      </c>
      <c r="E1173" s="212"/>
      <c r="F1173" s="213" t="s">
        <v>304</v>
      </c>
      <c r="G1173" s="214" t="s">
        <v>1833</v>
      </c>
      <c r="H1173" s="213" t="s">
        <v>160</v>
      </c>
      <c r="I1173" s="215">
        <v>12</v>
      </c>
      <c r="J1173" s="216"/>
      <c r="K1173" s="216"/>
      <c r="L1173" s="216">
        <v>42</v>
      </c>
      <c r="M1173" s="216"/>
      <c r="N1173" s="216"/>
      <c r="O1173" s="217"/>
      <c r="P1173" s="217">
        <f t="shared" si="26"/>
        <v>12</v>
      </c>
      <c r="Q1173" s="217"/>
      <c r="R1173" s="217"/>
      <c r="S1173" s="218"/>
    </row>
    <row r="1174" spans="1:19" ht="15" customHeight="1">
      <c r="A1174" s="413">
        <f t="shared" si="25"/>
        <v>1174</v>
      </c>
      <c r="B1174" s="26">
        <v>120</v>
      </c>
      <c r="C1174" s="153" t="s">
        <v>300</v>
      </c>
      <c r="D1174" s="211" t="s">
        <v>22</v>
      </c>
      <c r="E1174" s="212"/>
      <c r="F1174" s="213" t="s">
        <v>305</v>
      </c>
      <c r="G1174" s="214" t="s">
        <v>188</v>
      </c>
      <c r="H1174" s="213" t="s">
        <v>160</v>
      </c>
      <c r="I1174" s="215">
        <v>5</v>
      </c>
      <c r="J1174" s="216"/>
      <c r="K1174" s="216"/>
      <c r="L1174" s="216">
        <v>26</v>
      </c>
      <c r="M1174" s="216"/>
      <c r="N1174" s="216"/>
      <c r="O1174" s="217"/>
      <c r="P1174" s="217">
        <f t="shared" si="26"/>
        <v>5</v>
      </c>
      <c r="Q1174" s="217"/>
      <c r="R1174" s="217"/>
      <c r="S1174" s="218"/>
    </row>
    <row r="1175" spans="1:19" ht="15" customHeight="1">
      <c r="A1175" s="413">
        <f t="shared" si="25"/>
        <v>1175</v>
      </c>
      <c r="B1175" s="26">
        <v>120</v>
      </c>
      <c r="C1175" s="153" t="s">
        <v>300</v>
      </c>
      <c r="D1175" s="211" t="s">
        <v>22</v>
      </c>
      <c r="E1175" s="212"/>
      <c r="F1175" s="213" t="s">
        <v>217</v>
      </c>
      <c r="G1175" s="214" t="s">
        <v>1841</v>
      </c>
      <c r="H1175" s="213" t="s">
        <v>160</v>
      </c>
      <c r="I1175" s="215">
        <v>10</v>
      </c>
      <c r="J1175" s="216"/>
      <c r="K1175" s="216"/>
      <c r="L1175" s="216">
        <v>38</v>
      </c>
      <c r="M1175" s="216"/>
      <c r="N1175" s="216"/>
      <c r="O1175" s="217"/>
      <c r="P1175" s="217">
        <f t="shared" si="26"/>
        <v>10</v>
      </c>
      <c r="Q1175" s="217"/>
      <c r="R1175" s="217"/>
      <c r="S1175" s="218"/>
    </row>
    <row r="1176" spans="1:19" ht="15" customHeight="1">
      <c r="A1176" s="413">
        <f t="shared" si="25"/>
        <v>1176</v>
      </c>
      <c r="B1176" s="26">
        <v>120</v>
      </c>
      <c r="C1176" s="153" t="s">
        <v>300</v>
      </c>
      <c r="D1176" s="211" t="s">
        <v>22</v>
      </c>
      <c r="E1176" s="212"/>
      <c r="F1176" s="213" t="s">
        <v>168</v>
      </c>
      <c r="G1176" s="214" t="s">
        <v>14</v>
      </c>
      <c r="H1176" s="213" t="s">
        <v>160</v>
      </c>
      <c r="I1176" s="215">
        <v>50</v>
      </c>
      <c r="J1176" s="216"/>
      <c r="K1176" s="216"/>
      <c r="L1176" s="216">
        <v>71</v>
      </c>
      <c r="M1176" s="216"/>
      <c r="N1176" s="216"/>
      <c r="O1176" s="217"/>
      <c r="P1176" s="217">
        <f t="shared" si="26"/>
        <v>50</v>
      </c>
      <c r="Q1176" s="217"/>
      <c r="R1176" s="217"/>
      <c r="S1176" s="218"/>
    </row>
    <row r="1177" spans="1:19" ht="15" customHeight="1">
      <c r="A1177" s="413">
        <f t="shared" si="25"/>
        <v>1177</v>
      </c>
      <c r="B1177" s="26">
        <v>120</v>
      </c>
      <c r="C1177" s="153" t="s">
        <v>300</v>
      </c>
      <c r="D1177" s="211" t="s">
        <v>22</v>
      </c>
      <c r="E1177" s="212"/>
      <c r="F1177" s="213" t="s">
        <v>125</v>
      </c>
      <c r="G1177" s="214" t="s">
        <v>66</v>
      </c>
      <c r="H1177" s="213" t="s">
        <v>1053</v>
      </c>
      <c r="I1177" s="215">
        <v>4</v>
      </c>
      <c r="J1177" s="216"/>
      <c r="K1177" s="216"/>
      <c r="L1177" s="216"/>
      <c r="M1177" s="216"/>
      <c r="N1177" s="216"/>
      <c r="O1177" s="217"/>
      <c r="P1177" s="217"/>
      <c r="Q1177" s="217"/>
      <c r="R1177" s="217">
        <f>I1177</f>
        <v>4</v>
      </c>
      <c r="S1177" s="218"/>
    </row>
    <row r="1178" spans="1:19" ht="15" customHeight="1">
      <c r="A1178" s="413">
        <f t="shared" si="25"/>
        <v>1178</v>
      </c>
      <c r="B1178" s="26">
        <v>120</v>
      </c>
      <c r="C1178" s="153" t="s">
        <v>300</v>
      </c>
      <c r="D1178" s="211" t="s">
        <v>22</v>
      </c>
      <c r="E1178" s="212"/>
      <c r="F1178" s="213" t="s">
        <v>306</v>
      </c>
      <c r="G1178" s="214" t="s">
        <v>1842</v>
      </c>
      <c r="H1178" s="213" t="s">
        <v>160</v>
      </c>
      <c r="I1178" s="215">
        <v>3</v>
      </c>
      <c r="J1178" s="216"/>
      <c r="K1178" s="216"/>
      <c r="L1178" s="216">
        <v>20</v>
      </c>
      <c r="M1178" s="216"/>
      <c r="N1178" s="216"/>
      <c r="O1178" s="217"/>
      <c r="P1178" s="217">
        <f>I1178</f>
        <v>3</v>
      </c>
      <c r="Q1178" s="217"/>
      <c r="R1178" s="217"/>
      <c r="S1178" s="218"/>
    </row>
    <row r="1179" spans="1:19" ht="15" customHeight="1">
      <c r="A1179" s="413">
        <f t="shared" si="25"/>
        <v>1179</v>
      </c>
      <c r="B1179" s="26">
        <v>120</v>
      </c>
      <c r="C1179" s="153" t="s">
        <v>300</v>
      </c>
      <c r="D1179" s="211" t="s">
        <v>22</v>
      </c>
      <c r="E1179" s="212"/>
      <c r="F1179" s="213" t="s">
        <v>302</v>
      </c>
      <c r="G1179" s="214" t="s">
        <v>1822</v>
      </c>
      <c r="H1179" s="213" t="s">
        <v>160</v>
      </c>
      <c r="I1179" s="215">
        <v>12</v>
      </c>
      <c r="J1179" s="216"/>
      <c r="K1179" s="216"/>
      <c r="L1179" s="216">
        <v>44</v>
      </c>
      <c r="M1179" s="216"/>
      <c r="N1179" s="216"/>
      <c r="O1179" s="217"/>
      <c r="P1179" s="217">
        <f>I1179</f>
        <v>12</v>
      </c>
      <c r="Q1179" s="217"/>
      <c r="R1179" s="217"/>
      <c r="S1179" s="218"/>
    </row>
    <row r="1180" spans="1:19" ht="15" customHeight="1">
      <c r="A1180" s="413">
        <f t="shared" si="25"/>
        <v>1180</v>
      </c>
      <c r="B1180" s="26">
        <v>120</v>
      </c>
      <c r="C1180" s="153" t="s">
        <v>300</v>
      </c>
      <c r="D1180" s="211" t="s">
        <v>22</v>
      </c>
      <c r="E1180" s="212"/>
      <c r="F1180" s="213" t="s">
        <v>214</v>
      </c>
      <c r="G1180" s="214" t="s">
        <v>1843</v>
      </c>
      <c r="H1180" s="213" t="s">
        <v>160</v>
      </c>
      <c r="I1180" s="215">
        <v>34</v>
      </c>
      <c r="J1180" s="216"/>
      <c r="K1180" s="216"/>
      <c r="L1180" s="216">
        <v>71</v>
      </c>
      <c r="M1180" s="216"/>
      <c r="N1180" s="216"/>
      <c r="O1180" s="217"/>
      <c r="P1180" s="217">
        <f>I1180</f>
        <v>34</v>
      </c>
      <c r="Q1180" s="217"/>
      <c r="R1180" s="217"/>
      <c r="S1180" s="218"/>
    </row>
    <row r="1181" spans="1:19" ht="15" customHeight="1">
      <c r="A1181" s="413">
        <f t="shared" si="25"/>
        <v>1181</v>
      </c>
      <c r="B1181" s="26">
        <v>120</v>
      </c>
      <c r="C1181" s="153" t="s">
        <v>300</v>
      </c>
      <c r="D1181" s="211" t="s">
        <v>22</v>
      </c>
      <c r="E1181" s="212"/>
      <c r="F1181" s="213" t="s">
        <v>307</v>
      </c>
      <c r="G1181" s="214" t="s">
        <v>1844</v>
      </c>
      <c r="H1181" s="213" t="s">
        <v>160</v>
      </c>
      <c r="I1181" s="215">
        <v>26</v>
      </c>
      <c r="J1181" s="216"/>
      <c r="K1181" s="216"/>
      <c r="L1181" s="216">
        <v>37</v>
      </c>
      <c r="M1181" s="216"/>
      <c r="N1181" s="216"/>
      <c r="O1181" s="217"/>
      <c r="P1181" s="217"/>
      <c r="Q1181" s="217">
        <f>I1181</f>
        <v>26</v>
      </c>
      <c r="R1181" s="217"/>
      <c r="S1181" s="218"/>
    </row>
    <row r="1182" spans="1:19" ht="15" customHeight="1">
      <c r="A1182" s="413">
        <f t="shared" si="25"/>
        <v>1182</v>
      </c>
      <c r="B1182" s="26">
        <v>120</v>
      </c>
      <c r="C1182" s="153" t="s">
        <v>300</v>
      </c>
      <c r="D1182" s="211" t="s">
        <v>22</v>
      </c>
      <c r="E1182" s="212"/>
      <c r="F1182" s="213" t="s">
        <v>302</v>
      </c>
      <c r="G1182" s="214" t="s">
        <v>1836</v>
      </c>
      <c r="H1182" s="213" t="s">
        <v>160</v>
      </c>
      <c r="I1182" s="215">
        <v>10</v>
      </c>
      <c r="J1182" s="216"/>
      <c r="K1182" s="216"/>
      <c r="L1182" s="216">
        <v>37</v>
      </c>
      <c r="M1182" s="216"/>
      <c r="N1182" s="216"/>
      <c r="O1182" s="217"/>
      <c r="P1182" s="217">
        <f>I1182</f>
        <v>10</v>
      </c>
      <c r="Q1182" s="217"/>
      <c r="R1182" s="217"/>
      <c r="S1182" s="218"/>
    </row>
    <row r="1183" spans="1:19" ht="15" customHeight="1">
      <c r="A1183" s="413">
        <f t="shared" si="25"/>
        <v>1183</v>
      </c>
      <c r="B1183" s="26">
        <v>120</v>
      </c>
      <c r="C1183" s="153" t="s">
        <v>300</v>
      </c>
      <c r="D1183" s="211" t="s">
        <v>22</v>
      </c>
      <c r="E1183" s="212"/>
      <c r="F1183" s="213" t="s">
        <v>228</v>
      </c>
      <c r="G1183" s="214" t="s">
        <v>1845</v>
      </c>
      <c r="H1183" s="213" t="s">
        <v>160</v>
      </c>
      <c r="I1183" s="215">
        <v>21</v>
      </c>
      <c r="J1183" s="216"/>
      <c r="K1183" s="216"/>
      <c r="L1183" s="216">
        <v>55</v>
      </c>
      <c r="M1183" s="216"/>
      <c r="N1183" s="216"/>
      <c r="O1183" s="217"/>
      <c r="P1183" s="217"/>
      <c r="Q1183" s="217">
        <f>I1183</f>
        <v>21</v>
      </c>
      <c r="R1183" s="217"/>
      <c r="S1183" s="218"/>
    </row>
    <row r="1184" spans="1:19" ht="15" customHeight="1">
      <c r="A1184" s="413">
        <f t="shared" si="25"/>
        <v>1184</v>
      </c>
      <c r="B1184" s="26">
        <v>120</v>
      </c>
      <c r="C1184" s="153" t="s">
        <v>300</v>
      </c>
      <c r="D1184" s="211" t="s">
        <v>22</v>
      </c>
      <c r="E1184" s="212"/>
      <c r="F1184" s="213" t="s">
        <v>308</v>
      </c>
      <c r="G1184" s="214" t="s">
        <v>1846</v>
      </c>
      <c r="H1184" s="213" t="s">
        <v>160</v>
      </c>
      <c r="I1184" s="215">
        <v>2</v>
      </c>
      <c r="J1184" s="216"/>
      <c r="K1184" s="216">
        <v>14</v>
      </c>
      <c r="L1184" s="216"/>
      <c r="M1184" s="216"/>
      <c r="N1184" s="216"/>
      <c r="O1184" s="217"/>
      <c r="P1184" s="217"/>
      <c r="Q1184" s="217">
        <f>I1184</f>
        <v>2</v>
      </c>
      <c r="R1184" s="217"/>
      <c r="S1184" s="218"/>
    </row>
    <row r="1185" spans="1:19" ht="15" customHeight="1">
      <c r="A1185" s="413">
        <f t="shared" si="25"/>
        <v>1185</v>
      </c>
      <c r="B1185" s="26">
        <v>120</v>
      </c>
      <c r="C1185" s="153" t="s">
        <v>300</v>
      </c>
      <c r="D1185" s="211" t="s">
        <v>22</v>
      </c>
      <c r="E1185" s="212"/>
      <c r="F1185" s="213" t="s">
        <v>54</v>
      </c>
      <c r="G1185" s="214" t="s">
        <v>309</v>
      </c>
      <c r="H1185" s="213" t="s">
        <v>1317</v>
      </c>
      <c r="I1185" s="215">
        <v>1881</v>
      </c>
      <c r="J1185" s="216"/>
      <c r="K1185" s="216"/>
      <c r="L1185" s="216"/>
      <c r="M1185" s="216"/>
      <c r="N1185" s="216"/>
      <c r="O1185" s="217">
        <v>1023</v>
      </c>
      <c r="P1185" s="217"/>
      <c r="Q1185" s="217"/>
      <c r="R1185" s="217"/>
      <c r="S1185" s="218"/>
    </row>
    <row r="1186" spans="1:19" ht="15" customHeight="1">
      <c r="A1186" s="413">
        <f t="shared" si="25"/>
        <v>1186</v>
      </c>
      <c r="B1186" s="26">
        <v>120</v>
      </c>
      <c r="C1186" s="153" t="s">
        <v>300</v>
      </c>
      <c r="D1186" s="211" t="s">
        <v>22</v>
      </c>
      <c r="E1186" s="212"/>
      <c r="F1186" s="213" t="s">
        <v>164</v>
      </c>
      <c r="G1186" s="214" t="s">
        <v>1847</v>
      </c>
      <c r="H1186" s="213" t="s">
        <v>1312</v>
      </c>
      <c r="I1186" s="215">
        <v>41</v>
      </c>
      <c r="J1186" s="216" t="s">
        <v>316</v>
      </c>
      <c r="K1186" s="216"/>
      <c r="L1186" s="216"/>
      <c r="M1186" s="216"/>
      <c r="N1186" s="216"/>
      <c r="O1186" s="217"/>
      <c r="P1186" s="217"/>
      <c r="Q1186" s="217"/>
      <c r="R1186" s="217"/>
      <c r="S1186" s="218"/>
    </row>
    <row r="1187" spans="1:19" ht="15" customHeight="1">
      <c r="A1187" s="413">
        <f t="shared" si="25"/>
        <v>1187</v>
      </c>
      <c r="B1187" s="26">
        <v>120</v>
      </c>
      <c r="C1187" s="153" t="s">
        <v>300</v>
      </c>
      <c r="D1187" s="211" t="s">
        <v>22</v>
      </c>
      <c r="E1187" s="212"/>
      <c r="F1187" s="213" t="s">
        <v>164</v>
      </c>
      <c r="G1187" s="214" t="s">
        <v>1848</v>
      </c>
      <c r="H1187" s="213" t="s">
        <v>1312</v>
      </c>
      <c r="I1187" s="215">
        <v>41</v>
      </c>
      <c r="J1187" s="216" t="s">
        <v>316</v>
      </c>
      <c r="K1187" s="216"/>
      <c r="L1187" s="216"/>
      <c r="M1187" s="216"/>
      <c r="N1187" s="216"/>
      <c r="O1187" s="217"/>
      <c r="P1187" s="217"/>
      <c r="Q1187" s="217"/>
      <c r="R1187" s="217"/>
      <c r="S1187" s="218"/>
    </row>
    <row r="1188" spans="1:19" ht="15" customHeight="1">
      <c r="A1188" s="413">
        <f t="shared" si="25"/>
        <v>1188</v>
      </c>
      <c r="B1188" s="26">
        <v>120</v>
      </c>
      <c r="C1188" s="153" t="s">
        <v>300</v>
      </c>
      <c r="D1188" s="211" t="s">
        <v>22</v>
      </c>
      <c r="E1188" s="212"/>
      <c r="F1188" s="213" t="s">
        <v>164</v>
      </c>
      <c r="G1188" s="214" t="s">
        <v>1828</v>
      </c>
      <c r="H1188" s="213" t="s">
        <v>1312</v>
      </c>
      <c r="I1188" s="215">
        <v>41</v>
      </c>
      <c r="J1188" s="216" t="s">
        <v>316</v>
      </c>
      <c r="K1188" s="216"/>
      <c r="L1188" s="216"/>
      <c r="M1188" s="216"/>
      <c r="N1188" s="216"/>
      <c r="O1188" s="217"/>
      <c r="P1188" s="217"/>
      <c r="Q1188" s="217"/>
      <c r="R1188" s="217"/>
      <c r="S1188" s="218"/>
    </row>
    <row r="1189" spans="1:19" ht="15" customHeight="1">
      <c r="A1189" s="413">
        <f t="shared" si="25"/>
        <v>1189</v>
      </c>
      <c r="B1189" s="26">
        <v>121</v>
      </c>
      <c r="C1189" s="153" t="s">
        <v>181</v>
      </c>
      <c r="D1189" s="211" t="s">
        <v>22</v>
      </c>
      <c r="E1189" s="212"/>
      <c r="F1189" s="213" t="s">
        <v>143</v>
      </c>
      <c r="G1189" s="214" t="s">
        <v>63</v>
      </c>
      <c r="H1189" s="213" t="s">
        <v>109</v>
      </c>
      <c r="I1189" s="215">
        <v>170</v>
      </c>
      <c r="J1189" s="216"/>
      <c r="K1189" s="216">
        <v>470</v>
      </c>
      <c r="L1189" s="216"/>
      <c r="M1189" s="216"/>
      <c r="N1189" s="216"/>
      <c r="O1189" s="217"/>
      <c r="P1189" s="217"/>
      <c r="Q1189" s="217">
        <v>170</v>
      </c>
      <c r="R1189" s="217"/>
      <c r="S1189" s="218"/>
    </row>
    <row r="1190" spans="1:19" ht="15" customHeight="1">
      <c r="A1190" s="413">
        <f t="shared" si="25"/>
        <v>1190</v>
      </c>
      <c r="B1190" s="26">
        <v>121</v>
      </c>
      <c r="C1190" s="153" t="s">
        <v>181</v>
      </c>
      <c r="D1190" s="211" t="s">
        <v>22</v>
      </c>
      <c r="E1190" s="212"/>
      <c r="F1190" s="213" t="s">
        <v>175</v>
      </c>
      <c r="G1190" s="214" t="s">
        <v>16</v>
      </c>
      <c r="H1190" s="213" t="s">
        <v>160</v>
      </c>
      <c r="I1190" s="215">
        <v>9</v>
      </c>
      <c r="J1190" s="216"/>
      <c r="K1190" s="216"/>
      <c r="L1190" s="216">
        <v>31</v>
      </c>
      <c r="M1190" s="216"/>
      <c r="N1190" s="216"/>
      <c r="O1190" s="217"/>
      <c r="P1190" s="217">
        <v>9</v>
      </c>
      <c r="Q1190" s="217"/>
      <c r="R1190" s="217"/>
      <c r="S1190" s="218"/>
    </row>
    <row r="1191" spans="1:19" ht="15" customHeight="1">
      <c r="A1191" s="413">
        <f t="shared" si="25"/>
        <v>1191</v>
      </c>
      <c r="B1191" s="26">
        <v>121</v>
      </c>
      <c r="C1191" s="153" t="s">
        <v>181</v>
      </c>
      <c r="D1191" s="211" t="s">
        <v>22</v>
      </c>
      <c r="E1191" s="212"/>
      <c r="F1191" s="213" t="s">
        <v>175</v>
      </c>
      <c r="G1191" s="214" t="s">
        <v>182</v>
      </c>
      <c r="H1191" s="213" t="s">
        <v>109</v>
      </c>
      <c r="I1191" s="215">
        <v>6.55</v>
      </c>
      <c r="J1191" s="216"/>
      <c r="K1191" s="216">
        <v>48</v>
      </c>
      <c r="L1191" s="216"/>
      <c r="M1191" s="216"/>
      <c r="N1191" s="216"/>
      <c r="O1191" s="217"/>
      <c r="P1191" s="217"/>
      <c r="Q1191" s="217">
        <f>I1191</f>
        <v>6.55</v>
      </c>
      <c r="R1191" s="217"/>
      <c r="S1191" s="218"/>
    </row>
    <row r="1192" spans="1:19" ht="15" customHeight="1">
      <c r="A1192" s="413">
        <f t="shared" si="25"/>
        <v>1192</v>
      </c>
      <c r="B1192" s="26">
        <v>121</v>
      </c>
      <c r="C1192" s="153" t="s">
        <v>181</v>
      </c>
      <c r="D1192" s="211" t="s">
        <v>22</v>
      </c>
      <c r="E1192" s="212"/>
      <c r="F1192" s="213" t="s">
        <v>175</v>
      </c>
      <c r="G1192" s="214" t="s">
        <v>183</v>
      </c>
      <c r="H1192" s="213" t="s">
        <v>160</v>
      </c>
      <c r="I1192" s="215">
        <v>8.7200000000000006</v>
      </c>
      <c r="J1192" s="216"/>
      <c r="K1192" s="216"/>
      <c r="L1192" s="216">
        <v>27</v>
      </c>
      <c r="M1192" s="216"/>
      <c r="N1192" s="216"/>
      <c r="O1192" s="217"/>
      <c r="P1192" s="217">
        <f>I1192</f>
        <v>8.7200000000000006</v>
      </c>
      <c r="Q1192" s="217"/>
      <c r="R1192" s="217"/>
      <c r="S1192" s="218"/>
    </row>
    <row r="1193" spans="1:19" ht="15" customHeight="1">
      <c r="A1193" s="413">
        <f t="shared" si="25"/>
        <v>1193</v>
      </c>
      <c r="B1193" s="26">
        <v>121</v>
      </c>
      <c r="C1193" s="153" t="s">
        <v>181</v>
      </c>
      <c r="D1193" s="211" t="s">
        <v>22</v>
      </c>
      <c r="E1193" s="212"/>
      <c r="F1193" s="213" t="s">
        <v>175</v>
      </c>
      <c r="G1193" s="214" t="s">
        <v>1849</v>
      </c>
      <c r="H1193" s="213" t="s">
        <v>176</v>
      </c>
      <c r="I1193" s="215">
        <v>17.940000000000001</v>
      </c>
      <c r="J1193" s="216"/>
      <c r="K1193" s="216">
        <v>48</v>
      </c>
      <c r="L1193" s="216"/>
      <c r="M1193" s="216"/>
      <c r="N1193" s="216"/>
      <c r="O1193" s="217"/>
      <c r="P1193" s="217"/>
      <c r="Q1193" s="217">
        <f t="shared" ref="Q1193:Q1198" si="27">I1193</f>
        <v>17.940000000000001</v>
      </c>
      <c r="R1193" s="217"/>
      <c r="S1193" s="218"/>
    </row>
    <row r="1194" spans="1:19" ht="15" customHeight="1">
      <c r="A1194" s="413">
        <f t="shared" si="25"/>
        <v>1194</v>
      </c>
      <c r="B1194" s="26">
        <v>121</v>
      </c>
      <c r="C1194" s="153" t="s">
        <v>181</v>
      </c>
      <c r="D1194" s="211" t="s">
        <v>22</v>
      </c>
      <c r="E1194" s="212"/>
      <c r="F1194" s="213" t="s">
        <v>156</v>
      </c>
      <c r="G1194" s="214" t="s">
        <v>1850</v>
      </c>
      <c r="H1194" s="213" t="s">
        <v>176</v>
      </c>
      <c r="I1194" s="215">
        <v>41</v>
      </c>
      <c r="J1194" s="216"/>
      <c r="K1194" s="216">
        <v>110</v>
      </c>
      <c r="L1194" s="216"/>
      <c r="M1194" s="216"/>
      <c r="N1194" s="216"/>
      <c r="O1194" s="217"/>
      <c r="P1194" s="217"/>
      <c r="Q1194" s="217">
        <f t="shared" si="27"/>
        <v>41</v>
      </c>
      <c r="R1194" s="217"/>
      <c r="S1194" s="218"/>
    </row>
    <row r="1195" spans="1:19" ht="15" customHeight="1">
      <c r="A1195" s="413">
        <f t="shared" si="25"/>
        <v>1195</v>
      </c>
      <c r="B1195" s="26">
        <v>121</v>
      </c>
      <c r="C1195" s="153" t="s">
        <v>181</v>
      </c>
      <c r="D1195" s="211" t="s">
        <v>22</v>
      </c>
      <c r="E1195" s="212"/>
      <c r="F1195" s="213" t="s">
        <v>178</v>
      </c>
      <c r="G1195" s="214" t="s">
        <v>1851</v>
      </c>
      <c r="H1195" s="213" t="s">
        <v>176</v>
      </c>
      <c r="I1195" s="215">
        <v>13.66</v>
      </c>
      <c r="J1195" s="216"/>
      <c r="K1195" s="216">
        <v>37</v>
      </c>
      <c r="L1195" s="216"/>
      <c r="M1195" s="216"/>
      <c r="N1195" s="216"/>
      <c r="O1195" s="217"/>
      <c r="P1195" s="217"/>
      <c r="Q1195" s="217">
        <f t="shared" si="27"/>
        <v>13.66</v>
      </c>
      <c r="R1195" s="217"/>
      <c r="S1195" s="218"/>
    </row>
    <row r="1196" spans="1:19" ht="15" customHeight="1">
      <c r="A1196" s="413">
        <f t="shared" si="25"/>
        <v>1196</v>
      </c>
      <c r="B1196" s="26">
        <v>121</v>
      </c>
      <c r="C1196" s="153" t="s">
        <v>181</v>
      </c>
      <c r="D1196" s="211" t="s">
        <v>22</v>
      </c>
      <c r="E1196" s="212"/>
      <c r="F1196" s="213" t="s">
        <v>184</v>
      </c>
      <c r="G1196" s="214" t="s">
        <v>1852</v>
      </c>
      <c r="H1196" s="213" t="s">
        <v>160</v>
      </c>
      <c r="I1196" s="215">
        <v>13</v>
      </c>
      <c r="J1196" s="216"/>
      <c r="K1196" s="216">
        <v>37</v>
      </c>
      <c r="L1196" s="216"/>
      <c r="M1196" s="216"/>
      <c r="N1196" s="216"/>
      <c r="O1196" s="217"/>
      <c r="P1196" s="217"/>
      <c r="Q1196" s="217">
        <f t="shared" si="27"/>
        <v>13</v>
      </c>
      <c r="R1196" s="217"/>
      <c r="S1196" s="218"/>
    </row>
    <row r="1197" spans="1:19" ht="15" customHeight="1">
      <c r="A1197" s="413">
        <f t="shared" si="25"/>
        <v>1197</v>
      </c>
      <c r="B1197" s="26">
        <v>121</v>
      </c>
      <c r="C1197" s="153" t="s">
        <v>181</v>
      </c>
      <c r="D1197" s="211" t="s">
        <v>22</v>
      </c>
      <c r="E1197" s="212"/>
      <c r="F1197" s="213" t="s">
        <v>115</v>
      </c>
      <c r="G1197" s="214" t="s">
        <v>1693</v>
      </c>
      <c r="H1197" s="213" t="s">
        <v>176</v>
      </c>
      <c r="I1197" s="215">
        <v>16</v>
      </c>
      <c r="J1197" s="216"/>
      <c r="K1197" s="216">
        <v>39</v>
      </c>
      <c r="L1197" s="216"/>
      <c r="M1197" s="216"/>
      <c r="N1197" s="216"/>
      <c r="O1197" s="217"/>
      <c r="P1197" s="217"/>
      <c r="Q1197" s="217">
        <f t="shared" si="27"/>
        <v>16</v>
      </c>
      <c r="R1197" s="217"/>
      <c r="S1197" s="218"/>
    </row>
    <row r="1198" spans="1:19" ht="15" customHeight="1">
      <c r="A1198" s="413">
        <f t="shared" si="25"/>
        <v>1198</v>
      </c>
      <c r="B1198" s="26">
        <v>121</v>
      </c>
      <c r="C1198" s="153" t="s">
        <v>181</v>
      </c>
      <c r="D1198" s="211" t="s">
        <v>22</v>
      </c>
      <c r="E1198" s="212"/>
      <c r="F1198" s="213" t="s">
        <v>31</v>
      </c>
      <c r="G1198" s="214" t="s">
        <v>1853</v>
      </c>
      <c r="H1198" s="213" t="s">
        <v>176</v>
      </c>
      <c r="I1198" s="215">
        <v>32.47</v>
      </c>
      <c r="J1198" s="216"/>
      <c r="K1198" s="216">
        <v>70</v>
      </c>
      <c r="L1198" s="216"/>
      <c r="M1198" s="216"/>
      <c r="N1198" s="216"/>
      <c r="O1198" s="217"/>
      <c r="P1198" s="217"/>
      <c r="Q1198" s="217">
        <f t="shared" si="27"/>
        <v>32.47</v>
      </c>
      <c r="R1198" s="217"/>
      <c r="S1198" s="218"/>
    </row>
    <row r="1199" spans="1:19" ht="15" customHeight="1">
      <c r="A1199" s="413">
        <f t="shared" si="25"/>
        <v>1199</v>
      </c>
      <c r="B1199" s="26">
        <v>121</v>
      </c>
      <c r="C1199" s="153" t="s">
        <v>181</v>
      </c>
      <c r="D1199" s="211" t="s">
        <v>22</v>
      </c>
      <c r="E1199" s="212"/>
      <c r="F1199" s="213" t="s">
        <v>185</v>
      </c>
      <c r="G1199" s="214" t="s">
        <v>1746</v>
      </c>
      <c r="H1199" s="213" t="s">
        <v>160</v>
      </c>
      <c r="I1199" s="215">
        <v>20</v>
      </c>
      <c r="J1199" s="216"/>
      <c r="K1199" s="216"/>
      <c r="L1199" s="216">
        <v>56</v>
      </c>
      <c r="M1199" s="216"/>
      <c r="N1199" s="216"/>
      <c r="O1199" s="217"/>
      <c r="P1199" s="217">
        <f>I1199</f>
        <v>20</v>
      </c>
      <c r="Q1199" s="217"/>
      <c r="R1199" s="217"/>
      <c r="S1199" s="218"/>
    </row>
    <row r="1200" spans="1:19" ht="15" customHeight="1">
      <c r="A1200" s="413">
        <f t="shared" si="25"/>
        <v>1200</v>
      </c>
      <c r="B1200" s="26">
        <v>121</v>
      </c>
      <c r="C1200" s="153" t="s">
        <v>181</v>
      </c>
      <c r="D1200" s="211" t="s">
        <v>22</v>
      </c>
      <c r="E1200" s="212"/>
      <c r="F1200" s="213" t="s">
        <v>36</v>
      </c>
      <c r="G1200" s="214" t="s">
        <v>1832</v>
      </c>
      <c r="H1200" s="213" t="s">
        <v>160</v>
      </c>
      <c r="I1200" s="215">
        <v>13</v>
      </c>
      <c r="J1200" s="216"/>
      <c r="K1200" s="216"/>
      <c r="L1200" s="216">
        <v>49</v>
      </c>
      <c r="M1200" s="216"/>
      <c r="N1200" s="216"/>
      <c r="O1200" s="217"/>
      <c r="P1200" s="217">
        <f>I1200</f>
        <v>13</v>
      </c>
      <c r="Q1200" s="217"/>
      <c r="R1200" s="217"/>
      <c r="S1200" s="218"/>
    </row>
    <row r="1201" spans="1:19" ht="15" customHeight="1">
      <c r="A1201" s="413">
        <f t="shared" si="25"/>
        <v>1201</v>
      </c>
      <c r="B1201" s="26">
        <v>121</v>
      </c>
      <c r="C1201" s="153" t="s">
        <v>181</v>
      </c>
      <c r="D1201" s="211" t="s">
        <v>22</v>
      </c>
      <c r="E1201" s="212"/>
      <c r="F1201" s="213" t="s">
        <v>116</v>
      </c>
      <c r="G1201" s="214" t="s">
        <v>1854</v>
      </c>
      <c r="H1201" s="213" t="s">
        <v>160</v>
      </c>
      <c r="I1201" s="215">
        <v>9</v>
      </c>
      <c r="J1201" s="216"/>
      <c r="K1201" s="216"/>
      <c r="L1201" s="216">
        <v>29</v>
      </c>
      <c r="M1201" s="216"/>
      <c r="N1201" s="216"/>
      <c r="O1201" s="217"/>
      <c r="P1201" s="217">
        <f>I1201</f>
        <v>9</v>
      </c>
      <c r="Q1201" s="217"/>
      <c r="R1201" s="217"/>
      <c r="S1201" s="218"/>
    </row>
    <row r="1202" spans="1:19" ht="15" customHeight="1">
      <c r="A1202" s="413">
        <f t="shared" si="25"/>
        <v>1202</v>
      </c>
      <c r="B1202" s="26">
        <v>121</v>
      </c>
      <c r="C1202" s="153" t="s">
        <v>181</v>
      </c>
      <c r="D1202" s="211" t="s">
        <v>22</v>
      </c>
      <c r="E1202" s="212"/>
      <c r="F1202" s="213" t="s">
        <v>37</v>
      </c>
      <c r="G1202" s="214" t="s">
        <v>1799</v>
      </c>
      <c r="H1202" s="213" t="s">
        <v>160</v>
      </c>
      <c r="I1202" s="215">
        <v>18</v>
      </c>
      <c r="J1202" s="216"/>
      <c r="K1202" s="216"/>
      <c r="L1202" s="216">
        <v>44</v>
      </c>
      <c r="M1202" s="216"/>
      <c r="N1202" s="216"/>
      <c r="O1202" s="217"/>
      <c r="P1202" s="217">
        <f>I1202</f>
        <v>18</v>
      </c>
      <c r="Q1202" s="217"/>
      <c r="R1202" s="217"/>
      <c r="S1202" s="218"/>
    </row>
    <row r="1203" spans="1:19" ht="15" customHeight="1">
      <c r="A1203" s="413">
        <f t="shared" si="25"/>
        <v>1203</v>
      </c>
      <c r="B1203" s="26">
        <v>121</v>
      </c>
      <c r="C1203" s="153" t="s">
        <v>181</v>
      </c>
      <c r="D1203" s="211" t="s">
        <v>22</v>
      </c>
      <c r="E1203" s="212"/>
      <c r="F1203" s="213" t="s">
        <v>186</v>
      </c>
      <c r="G1203" s="214" t="s">
        <v>1855</v>
      </c>
      <c r="H1203" s="213" t="s">
        <v>160</v>
      </c>
      <c r="I1203" s="215">
        <v>8</v>
      </c>
      <c r="J1203" s="216"/>
      <c r="K1203" s="216"/>
      <c r="L1203" s="216">
        <v>27</v>
      </c>
      <c r="M1203" s="216"/>
      <c r="N1203" s="216"/>
      <c r="O1203" s="217"/>
      <c r="P1203" s="217">
        <f>I1203</f>
        <v>8</v>
      </c>
      <c r="Q1203" s="217"/>
      <c r="R1203" s="217"/>
      <c r="S1203" s="218"/>
    </row>
    <row r="1204" spans="1:19" ht="15" customHeight="1">
      <c r="A1204" s="413">
        <f t="shared" si="25"/>
        <v>1204</v>
      </c>
      <c r="B1204" s="26">
        <v>121</v>
      </c>
      <c r="C1204" s="153" t="s">
        <v>181</v>
      </c>
      <c r="D1204" s="211" t="s">
        <v>22</v>
      </c>
      <c r="E1204" s="212"/>
      <c r="F1204" s="213" t="s">
        <v>40</v>
      </c>
      <c r="G1204" s="214" t="s">
        <v>1800</v>
      </c>
      <c r="H1204" s="213" t="s">
        <v>160</v>
      </c>
      <c r="I1204" s="215">
        <v>10</v>
      </c>
      <c r="J1204" s="216"/>
      <c r="K1204" s="216">
        <v>29</v>
      </c>
      <c r="L1204" s="216"/>
      <c r="M1204" s="216"/>
      <c r="N1204" s="216"/>
      <c r="O1204" s="217"/>
      <c r="P1204" s="217"/>
      <c r="Q1204" s="217">
        <f>I1204</f>
        <v>10</v>
      </c>
      <c r="R1204" s="217"/>
      <c r="S1204" s="218"/>
    </row>
    <row r="1205" spans="1:19" ht="15" customHeight="1">
      <c r="A1205" s="413">
        <f t="shared" si="25"/>
        <v>1205</v>
      </c>
      <c r="B1205" s="26">
        <v>121</v>
      </c>
      <c r="C1205" s="153" t="s">
        <v>181</v>
      </c>
      <c r="D1205" s="211" t="s">
        <v>22</v>
      </c>
      <c r="E1205" s="212"/>
      <c r="F1205" s="213" t="s">
        <v>187</v>
      </c>
      <c r="G1205" s="214" t="s">
        <v>188</v>
      </c>
      <c r="H1205" s="213" t="s">
        <v>160</v>
      </c>
      <c r="I1205" s="215">
        <v>7</v>
      </c>
      <c r="J1205" s="216"/>
      <c r="K1205" s="216"/>
      <c r="L1205" s="216">
        <v>26</v>
      </c>
      <c r="M1205" s="216"/>
      <c r="N1205" s="216"/>
      <c r="O1205" s="217"/>
      <c r="P1205" s="217">
        <f>I1205</f>
        <v>7</v>
      </c>
      <c r="Q1205" s="217"/>
      <c r="R1205" s="217"/>
      <c r="S1205" s="218"/>
    </row>
    <row r="1206" spans="1:19" ht="15" customHeight="1">
      <c r="A1206" s="413">
        <f t="shared" si="25"/>
        <v>1206</v>
      </c>
      <c r="B1206" s="26">
        <v>121</v>
      </c>
      <c r="C1206" s="153" t="s">
        <v>181</v>
      </c>
      <c r="D1206" s="211" t="s">
        <v>22</v>
      </c>
      <c r="E1206" s="212"/>
      <c r="F1206" s="213" t="s">
        <v>41</v>
      </c>
      <c r="G1206" s="214" t="s">
        <v>1856</v>
      </c>
      <c r="H1206" s="213" t="s">
        <v>160</v>
      </c>
      <c r="I1206" s="215">
        <v>16</v>
      </c>
      <c r="J1206" s="216"/>
      <c r="K1206" s="216">
        <v>39</v>
      </c>
      <c r="L1206" s="216"/>
      <c r="M1206" s="216"/>
      <c r="N1206" s="216"/>
      <c r="O1206" s="217"/>
      <c r="P1206" s="217"/>
      <c r="Q1206" s="217">
        <f>I1206</f>
        <v>16</v>
      </c>
      <c r="R1206" s="217"/>
      <c r="S1206" s="218"/>
    </row>
    <row r="1207" spans="1:19" ht="15" customHeight="1">
      <c r="A1207" s="413">
        <f t="shared" si="25"/>
        <v>1207</v>
      </c>
      <c r="B1207" s="26">
        <v>121</v>
      </c>
      <c r="C1207" s="153" t="s">
        <v>181</v>
      </c>
      <c r="D1207" s="211" t="s">
        <v>22</v>
      </c>
      <c r="E1207" s="212"/>
      <c r="F1207" s="213" t="s">
        <v>121</v>
      </c>
      <c r="G1207" s="214" t="s">
        <v>1801</v>
      </c>
      <c r="H1207" s="213" t="s">
        <v>148</v>
      </c>
      <c r="I1207" s="215">
        <v>4</v>
      </c>
      <c r="J1207" s="216">
        <v>24</v>
      </c>
      <c r="K1207" s="216"/>
      <c r="L1207" s="216"/>
      <c r="M1207" s="216"/>
      <c r="N1207" s="216"/>
      <c r="O1207" s="217"/>
      <c r="P1207" s="217"/>
      <c r="Q1207" s="217"/>
      <c r="R1207" s="217">
        <f>I1207</f>
        <v>4</v>
      </c>
      <c r="S1207" s="218"/>
    </row>
    <row r="1208" spans="1:19" ht="15" customHeight="1">
      <c r="A1208" s="413">
        <f t="shared" si="25"/>
        <v>1208</v>
      </c>
      <c r="B1208" s="26">
        <v>121</v>
      </c>
      <c r="C1208" s="153" t="s">
        <v>181</v>
      </c>
      <c r="D1208" s="211" t="s">
        <v>22</v>
      </c>
      <c r="E1208" s="212"/>
      <c r="F1208" s="213" t="s">
        <v>120</v>
      </c>
      <c r="G1208" s="214" t="s">
        <v>1747</v>
      </c>
      <c r="H1208" s="213" t="s">
        <v>148</v>
      </c>
      <c r="I1208" s="215">
        <v>4</v>
      </c>
      <c r="J1208" s="216">
        <v>24</v>
      </c>
      <c r="K1208" s="216"/>
      <c r="L1208" s="216"/>
      <c r="M1208" s="216"/>
      <c r="N1208" s="216"/>
      <c r="O1208" s="217"/>
      <c r="P1208" s="217"/>
      <c r="Q1208" s="217"/>
      <c r="R1208" s="217">
        <f>I1208</f>
        <v>4</v>
      </c>
      <c r="S1208" s="218"/>
    </row>
    <row r="1209" spans="1:19" ht="15" customHeight="1">
      <c r="A1209" s="413">
        <f t="shared" si="25"/>
        <v>1209</v>
      </c>
      <c r="B1209" s="26">
        <v>121</v>
      </c>
      <c r="C1209" s="153" t="s">
        <v>181</v>
      </c>
      <c r="D1209" s="211" t="s">
        <v>22</v>
      </c>
      <c r="E1209" s="212"/>
      <c r="F1209" s="213" t="s">
        <v>189</v>
      </c>
      <c r="G1209" s="214" t="s">
        <v>14</v>
      </c>
      <c r="H1209" s="213" t="s">
        <v>160</v>
      </c>
      <c r="I1209" s="215">
        <v>45</v>
      </c>
      <c r="J1209" s="216"/>
      <c r="K1209" s="216">
        <v>193</v>
      </c>
      <c r="L1209" s="216"/>
      <c r="M1209" s="216"/>
      <c r="N1209" s="216"/>
      <c r="O1209" s="217"/>
      <c r="P1209" s="217"/>
      <c r="Q1209" s="217">
        <f>I1209</f>
        <v>45</v>
      </c>
      <c r="R1209" s="217"/>
      <c r="S1209" s="218"/>
    </row>
    <row r="1210" spans="1:19" ht="15" customHeight="1">
      <c r="A1210" s="413">
        <f t="shared" si="25"/>
        <v>1210</v>
      </c>
      <c r="B1210" s="26">
        <v>121</v>
      </c>
      <c r="C1210" s="153" t="s">
        <v>181</v>
      </c>
      <c r="D1210" s="211" t="s">
        <v>22</v>
      </c>
      <c r="E1210" s="212"/>
      <c r="F1210" s="213" t="s">
        <v>124</v>
      </c>
      <c r="G1210" s="214" t="s">
        <v>66</v>
      </c>
      <c r="H1210" s="213" t="s">
        <v>298</v>
      </c>
      <c r="I1210" s="215">
        <v>6</v>
      </c>
      <c r="J1210" s="216"/>
      <c r="K1210" s="216"/>
      <c r="L1210" s="216"/>
      <c r="M1210" s="216">
        <v>15</v>
      </c>
      <c r="N1210" s="216"/>
      <c r="O1210" s="217"/>
      <c r="P1210" s="217"/>
      <c r="Q1210" s="217"/>
      <c r="R1210" s="217">
        <f>I1210</f>
        <v>6</v>
      </c>
      <c r="S1210" s="218"/>
    </row>
    <row r="1211" spans="1:19" ht="15" customHeight="1">
      <c r="A1211" s="413">
        <f t="shared" si="25"/>
        <v>1211</v>
      </c>
      <c r="B1211" s="26">
        <v>121</v>
      </c>
      <c r="C1211" s="153" t="s">
        <v>181</v>
      </c>
      <c r="D1211" s="211" t="s">
        <v>22</v>
      </c>
      <c r="E1211" s="212"/>
      <c r="F1211" s="213" t="s">
        <v>159</v>
      </c>
      <c r="G1211" s="214" t="s">
        <v>1802</v>
      </c>
      <c r="H1211" s="213" t="s">
        <v>176</v>
      </c>
      <c r="I1211" s="215">
        <v>6</v>
      </c>
      <c r="J1211" s="216"/>
      <c r="K1211" s="216">
        <v>77</v>
      </c>
      <c r="L1211" s="216"/>
      <c r="M1211" s="216"/>
      <c r="N1211" s="216"/>
      <c r="O1211" s="217"/>
      <c r="P1211" s="217"/>
      <c r="Q1211" s="217">
        <f>I1211</f>
        <v>6</v>
      </c>
      <c r="R1211" s="217"/>
      <c r="S1211" s="218"/>
    </row>
    <row r="1212" spans="1:19" ht="15" customHeight="1">
      <c r="A1212" s="413">
        <f t="shared" si="25"/>
        <v>1212</v>
      </c>
      <c r="B1212" s="26">
        <v>121</v>
      </c>
      <c r="C1212" s="153" t="s">
        <v>181</v>
      </c>
      <c r="D1212" s="211" t="s">
        <v>22</v>
      </c>
      <c r="E1212" s="212"/>
      <c r="F1212" s="213" t="s">
        <v>190</v>
      </c>
      <c r="G1212" s="214" t="s">
        <v>1857</v>
      </c>
      <c r="H1212" s="213" t="s">
        <v>109</v>
      </c>
      <c r="I1212" s="215">
        <v>6</v>
      </c>
      <c r="J1212" s="216"/>
      <c r="K1212" s="216">
        <v>35</v>
      </c>
      <c r="L1212" s="216"/>
      <c r="M1212" s="216"/>
      <c r="N1212" s="216"/>
      <c r="O1212" s="217"/>
      <c r="P1212" s="217"/>
      <c r="Q1212" s="217">
        <f>I1212</f>
        <v>6</v>
      </c>
      <c r="R1212" s="217"/>
      <c r="S1212" s="218"/>
    </row>
    <row r="1213" spans="1:19" ht="15" customHeight="1">
      <c r="A1213" s="413">
        <f t="shared" si="25"/>
        <v>1213</v>
      </c>
      <c r="B1213" s="26">
        <v>121</v>
      </c>
      <c r="C1213" s="153" t="s">
        <v>181</v>
      </c>
      <c r="D1213" s="211" t="s">
        <v>22</v>
      </c>
      <c r="E1213" s="212"/>
      <c r="F1213" s="213" t="s">
        <v>192</v>
      </c>
      <c r="G1213" s="214" t="s">
        <v>1858</v>
      </c>
      <c r="H1213" s="213" t="s">
        <v>160</v>
      </c>
      <c r="I1213" s="215">
        <v>26</v>
      </c>
      <c r="J1213" s="216"/>
      <c r="K1213" s="216">
        <v>58</v>
      </c>
      <c r="L1213" s="216"/>
      <c r="M1213" s="216"/>
      <c r="N1213" s="216"/>
      <c r="O1213" s="217"/>
      <c r="P1213" s="217"/>
      <c r="Q1213" s="217">
        <f>I1213</f>
        <v>26</v>
      </c>
      <c r="R1213" s="217"/>
      <c r="S1213" s="218"/>
    </row>
    <row r="1214" spans="1:19" ht="15" customHeight="1">
      <c r="A1214" s="413">
        <f t="shared" si="25"/>
        <v>1214</v>
      </c>
      <c r="B1214" s="26">
        <v>121</v>
      </c>
      <c r="C1214" s="153" t="s">
        <v>181</v>
      </c>
      <c r="D1214" s="211" t="s">
        <v>22</v>
      </c>
      <c r="E1214" s="212"/>
      <c r="F1214" s="213" t="s">
        <v>193</v>
      </c>
      <c r="G1214" s="214" t="s">
        <v>194</v>
      </c>
      <c r="H1214" s="213" t="s">
        <v>176</v>
      </c>
      <c r="I1214" s="215">
        <v>25</v>
      </c>
      <c r="J1214" s="216"/>
      <c r="K1214" s="216">
        <v>75</v>
      </c>
      <c r="L1214" s="216"/>
      <c r="M1214" s="216"/>
      <c r="N1214" s="216"/>
      <c r="O1214" s="217"/>
      <c r="P1214" s="217"/>
      <c r="Q1214" s="217">
        <f>I1214</f>
        <v>25</v>
      </c>
      <c r="R1214" s="217"/>
      <c r="S1214" s="218"/>
    </row>
    <row r="1215" spans="1:19" ht="15" customHeight="1">
      <c r="A1215" s="413">
        <f t="shared" si="25"/>
        <v>1215</v>
      </c>
      <c r="B1215" s="26">
        <v>121</v>
      </c>
      <c r="C1215" s="153" t="s">
        <v>181</v>
      </c>
      <c r="D1215" s="211" t="s">
        <v>22</v>
      </c>
      <c r="E1215" s="212"/>
      <c r="F1215" s="213" t="s">
        <v>195</v>
      </c>
      <c r="G1215" s="214" t="s">
        <v>1859</v>
      </c>
      <c r="H1215" s="213" t="s">
        <v>176</v>
      </c>
      <c r="I1215" s="215">
        <v>14</v>
      </c>
      <c r="J1215" s="216"/>
      <c r="K1215" s="216">
        <v>35</v>
      </c>
      <c r="L1215" s="216"/>
      <c r="M1215" s="216"/>
      <c r="N1215" s="216"/>
      <c r="O1215" s="217"/>
      <c r="P1215" s="217"/>
      <c r="Q1215" s="217">
        <f>I1215</f>
        <v>14</v>
      </c>
      <c r="R1215" s="217"/>
      <c r="S1215" s="218"/>
    </row>
    <row r="1216" spans="1:19" ht="15" customHeight="1">
      <c r="A1216" s="413">
        <f t="shared" si="25"/>
        <v>1216</v>
      </c>
      <c r="B1216" s="26">
        <v>121</v>
      </c>
      <c r="C1216" s="153" t="s">
        <v>181</v>
      </c>
      <c r="D1216" s="211" t="s">
        <v>22</v>
      </c>
      <c r="E1216" s="212"/>
      <c r="F1216" s="213" t="s">
        <v>54</v>
      </c>
      <c r="G1216" s="214" t="s">
        <v>15</v>
      </c>
      <c r="H1216" s="213" t="s">
        <v>113</v>
      </c>
      <c r="I1216" s="215">
        <v>1428</v>
      </c>
      <c r="J1216" s="216"/>
      <c r="K1216" s="216"/>
      <c r="L1216" s="216"/>
      <c r="M1216" s="216"/>
      <c r="N1216" s="216"/>
      <c r="O1216" s="217">
        <v>513</v>
      </c>
      <c r="P1216" s="217"/>
      <c r="Q1216" s="217"/>
      <c r="R1216" s="217"/>
      <c r="S1216" s="218"/>
    </row>
    <row r="1217" spans="1:19" ht="15" customHeight="1">
      <c r="A1217" s="413">
        <f t="shared" si="25"/>
        <v>1217</v>
      </c>
      <c r="B1217" s="26">
        <v>121</v>
      </c>
      <c r="C1217" s="153" t="s">
        <v>181</v>
      </c>
      <c r="D1217" s="211" t="s">
        <v>22</v>
      </c>
      <c r="E1217" s="212"/>
      <c r="F1217" s="213" t="s">
        <v>64</v>
      </c>
      <c r="G1217" s="214" t="s">
        <v>197</v>
      </c>
      <c r="H1217" s="213" t="s">
        <v>68</v>
      </c>
      <c r="I1217" s="215">
        <v>35</v>
      </c>
      <c r="J1217" s="216" t="s">
        <v>316</v>
      </c>
      <c r="K1217" s="216"/>
      <c r="L1217" s="216"/>
      <c r="M1217" s="216"/>
      <c r="N1217" s="216"/>
      <c r="O1217" s="217"/>
      <c r="P1217" s="217"/>
      <c r="Q1217" s="217">
        <f>I1217</f>
        <v>35</v>
      </c>
      <c r="R1217" s="217"/>
      <c r="S1217" s="218"/>
    </row>
    <row r="1218" spans="1:19" ht="15" customHeight="1">
      <c r="A1218" s="413">
        <f t="shared" si="25"/>
        <v>1218</v>
      </c>
      <c r="B1218" s="26">
        <v>121</v>
      </c>
      <c r="C1218" s="153" t="s">
        <v>181</v>
      </c>
      <c r="D1218" s="211" t="s">
        <v>22</v>
      </c>
      <c r="E1218" s="212"/>
      <c r="F1218" s="213" t="s">
        <v>163</v>
      </c>
      <c r="G1218" s="214" t="s">
        <v>1828</v>
      </c>
      <c r="H1218" s="213" t="s">
        <v>820</v>
      </c>
      <c r="I1218" s="215">
        <v>27</v>
      </c>
      <c r="J1218" s="216" t="s">
        <v>316</v>
      </c>
      <c r="K1218" s="216"/>
      <c r="L1218" s="216"/>
      <c r="M1218" s="216"/>
      <c r="N1218" s="216"/>
      <c r="O1218" s="217"/>
      <c r="P1218" s="217"/>
      <c r="Q1218" s="217">
        <f>I1218</f>
        <v>27</v>
      </c>
      <c r="R1218" s="217"/>
      <c r="S1218" s="218"/>
    </row>
    <row r="1219" spans="1:19" ht="15" customHeight="1">
      <c r="A1219" s="413">
        <f t="shared" ref="A1219:A1282" si="28">1+A1218</f>
        <v>1219</v>
      </c>
      <c r="B1219" s="26">
        <v>1001</v>
      </c>
      <c r="C1219" s="153" t="s">
        <v>1038</v>
      </c>
      <c r="D1219" s="211" t="s">
        <v>1042</v>
      </c>
      <c r="E1219" s="212"/>
      <c r="F1219" s="213" t="s">
        <v>1</v>
      </c>
      <c r="G1219" s="214"/>
      <c r="H1219" s="213" t="s">
        <v>1053</v>
      </c>
      <c r="I1219" s="215">
        <v>5</v>
      </c>
      <c r="J1219" s="216"/>
      <c r="K1219" s="216"/>
      <c r="L1219" s="216"/>
      <c r="M1219" s="216"/>
      <c r="N1219" s="216"/>
      <c r="O1219" s="217"/>
      <c r="P1219" s="217"/>
      <c r="Q1219" s="217"/>
      <c r="R1219" s="217"/>
      <c r="S1219" s="218"/>
    </row>
    <row r="1220" spans="1:19" ht="15" customHeight="1">
      <c r="A1220" s="413">
        <f t="shared" si="28"/>
        <v>1220</v>
      </c>
      <c r="B1220" s="26">
        <v>1001</v>
      </c>
      <c r="C1220" s="153" t="s">
        <v>1038</v>
      </c>
      <c r="D1220" s="211" t="s">
        <v>1042</v>
      </c>
      <c r="E1220" s="212"/>
      <c r="F1220" s="213" t="s">
        <v>65</v>
      </c>
      <c r="G1220" s="214"/>
      <c r="H1220" s="213" t="s">
        <v>68</v>
      </c>
      <c r="I1220" s="215">
        <v>6</v>
      </c>
      <c r="J1220" s="216"/>
      <c r="K1220" s="216"/>
      <c r="L1220" s="216">
        <v>23</v>
      </c>
      <c r="M1220" s="216"/>
      <c r="N1220" s="216"/>
      <c r="O1220" s="217"/>
      <c r="P1220" s="217">
        <v>6</v>
      </c>
      <c r="Q1220" s="217"/>
      <c r="R1220" s="217"/>
      <c r="S1220" s="218"/>
    </row>
    <row r="1221" spans="1:19" ht="15" customHeight="1">
      <c r="A1221" s="413">
        <f t="shared" si="28"/>
        <v>1221</v>
      </c>
      <c r="B1221" s="26">
        <v>1001</v>
      </c>
      <c r="C1221" s="153" t="s">
        <v>1038</v>
      </c>
      <c r="D1221" s="211" t="s">
        <v>1042</v>
      </c>
      <c r="E1221" s="212"/>
      <c r="F1221" s="213" t="s">
        <v>1339</v>
      </c>
      <c r="G1221" s="214"/>
      <c r="H1221" s="213" t="s">
        <v>1340</v>
      </c>
      <c r="I1221" s="215">
        <v>420</v>
      </c>
      <c r="J1221" s="216"/>
      <c r="K1221" s="216"/>
      <c r="L1221" s="216"/>
      <c r="M1221" s="216"/>
      <c r="N1221" s="216"/>
      <c r="O1221" s="217"/>
      <c r="P1221" s="217"/>
      <c r="Q1221" s="217"/>
      <c r="R1221" s="217"/>
      <c r="S1221" s="218"/>
    </row>
    <row r="1222" spans="1:19" ht="15" customHeight="1">
      <c r="A1222" s="413">
        <f t="shared" si="28"/>
        <v>1222</v>
      </c>
      <c r="B1222" s="26">
        <v>1001</v>
      </c>
      <c r="C1222" s="153" t="s">
        <v>1038</v>
      </c>
      <c r="D1222" s="211" t="s">
        <v>1042</v>
      </c>
      <c r="E1222" s="212"/>
      <c r="F1222" s="213" t="s">
        <v>97</v>
      </c>
      <c r="G1222" s="214"/>
      <c r="H1222" s="213" t="s">
        <v>1341</v>
      </c>
      <c r="I1222" s="215">
        <v>27</v>
      </c>
      <c r="J1222" s="216"/>
      <c r="K1222" s="216"/>
      <c r="L1222" s="216"/>
      <c r="M1222" s="216"/>
      <c r="N1222" s="216"/>
      <c r="O1222" s="217"/>
      <c r="P1222" s="217"/>
      <c r="Q1222" s="217"/>
      <c r="R1222" s="217"/>
      <c r="S1222" s="218"/>
    </row>
    <row r="1223" spans="1:19" ht="15" customHeight="1">
      <c r="A1223" s="413">
        <f t="shared" si="28"/>
        <v>1223</v>
      </c>
      <c r="B1223" s="26">
        <v>1002</v>
      </c>
      <c r="C1223" s="153" t="s">
        <v>1069</v>
      </c>
      <c r="D1223" s="211" t="s">
        <v>1042</v>
      </c>
      <c r="E1223" s="212"/>
      <c r="F1223" s="213" t="s">
        <v>175</v>
      </c>
      <c r="G1223" s="214" t="s">
        <v>734</v>
      </c>
      <c r="H1223" s="213" t="s">
        <v>109</v>
      </c>
      <c r="I1223" s="215">
        <v>2.8</v>
      </c>
      <c r="J1223" s="216">
        <v>1.4</v>
      </c>
      <c r="K1223" s="216"/>
      <c r="L1223" s="216"/>
      <c r="M1223" s="216"/>
      <c r="N1223" s="216"/>
      <c r="O1223" s="217"/>
      <c r="P1223" s="217">
        <v>15.72</v>
      </c>
      <c r="Q1223" s="217"/>
      <c r="R1223" s="217"/>
      <c r="S1223" s="218"/>
    </row>
    <row r="1224" spans="1:19" ht="15" customHeight="1">
      <c r="A1224" s="413">
        <f t="shared" si="28"/>
        <v>1224</v>
      </c>
      <c r="B1224" s="26">
        <v>1002</v>
      </c>
      <c r="C1224" s="153" t="s">
        <v>1069</v>
      </c>
      <c r="D1224" s="211" t="s">
        <v>1042</v>
      </c>
      <c r="E1224" s="212"/>
      <c r="F1224" s="213" t="s">
        <v>1070</v>
      </c>
      <c r="G1224" s="214" t="s">
        <v>200</v>
      </c>
      <c r="H1224" s="213" t="s">
        <v>109</v>
      </c>
      <c r="I1224" s="215">
        <v>14.4</v>
      </c>
      <c r="J1224" s="216">
        <v>3</v>
      </c>
      <c r="K1224" s="216"/>
      <c r="L1224" s="216"/>
      <c r="M1224" s="216"/>
      <c r="N1224" s="216"/>
      <c r="O1224" s="217"/>
      <c r="P1224" s="217">
        <v>14.4</v>
      </c>
      <c r="Q1224" s="217"/>
      <c r="R1224" s="217"/>
      <c r="S1224" s="218"/>
    </row>
    <row r="1225" spans="1:19" ht="15" customHeight="1">
      <c r="A1225" s="413">
        <f t="shared" si="28"/>
        <v>1225</v>
      </c>
      <c r="B1225" s="26">
        <v>1002</v>
      </c>
      <c r="C1225" s="153" t="s">
        <v>1069</v>
      </c>
      <c r="D1225" s="211" t="s">
        <v>1042</v>
      </c>
      <c r="E1225" s="212"/>
      <c r="F1225" s="213" t="s">
        <v>576</v>
      </c>
      <c r="G1225" s="214" t="s">
        <v>215</v>
      </c>
      <c r="H1225" s="213" t="s">
        <v>109</v>
      </c>
      <c r="I1225" s="215">
        <v>15.72</v>
      </c>
      <c r="J1225" s="216">
        <v>1.4</v>
      </c>
      <c r="K1225" s="216"/>
      <c r="L1225" s="216"/>
      <c r="M1225" s="216"/>
      <c r="N1225" s="216"/>
      <c r="O1225" s="217"/>
      <c r="P1225" s="217">
        <v>2.04</v>
      </c>
      <c r="Q1225" s="217">
        <v>1</v>
      </c>
      <c r="R1225" s="217"/>
      <c r="S1225" s="218"/>
    </row>
    <row r="1226" spans="1:19" ht="15" customHeight="1">
      <c r="A1226" s="413">
        <f t="shared" si="28"/>
        <v>1226</v>
      </c>
      <c r="B1226" s="26">
        <v>1002</v>
      </c>
      <c r="C1226" s="153" t="s">
        <v>1069</v>
      </c>
      <c r="D1226" s="211" t="s">
        <v>1042</v>
      </c>
      <c r="E1226" s="212"/>
      <c r="F1226" s="213" t="s">
        <v>143</v>
      </c>
      <c r="G1226" s="214" t="s">
        <v>212</v>
      </c>
      <c r="H1226" s="213" t="s">
        <v>109</v>
      </c>
      <c r="I1226" s="215">
        <v>30</v>
      </c>
      <c r="J1226" s="216">
        <v>8</v>
      </c>
      <c r="K1226" s="216"/>
      <c r="L1226" s="216"/>
      <c r="M1226" s="216"/>
      <c r="N1226" s="216"/>
      <c r="O1226" s="217"/>
      <c r="P1226" s="217">
        <v>30</v>
      </c>
      <c r="Q1226" s="217">
        <v>2.8</v>
      </c>
      <c r="R1226" s="217"/>
      <c r="S1226" s="218"/>
    </row>
    <row r="1227" spans="1:19" ht="15" customHeight="1">
      <c r="A1227" s="413">
        <f t="shared" si="28"/>
        <v>1227</v>
      </c>
      <c r="B1227" s="26">
        <v>1002</v>
      </c>
      <c r="C1227" s="153" t="s">
        <v>1069</v>
      </c>
      <c r="D1227" s="211" t="s">
        <v>1042</v>
      </c>
      <c r="E1227" s="212"/>
      <c r="F1227" s="213" t="s">
        <v>1043</v>
      </c>
      <c r="G1227" s="214" t="s">
        <v>741</v>
      </c>
      <c r="H1227" s="213" t="s">
        <v>109</v>
      </c>
      <c r="I1227" s="215">
        <v>9.8000000000000007</v>
      </c>
      <c r="J1227" s="216">
        <v>21.36</v>
      </c>
      <c r="K1227" s="216"/>
      <c r="L1227" s="216"/>
      <c r="M1227" s="216"/>
      <c r="N1227" s="216"/>
      <c r="O1227" s="217"/>
      <c r="P1227" s="217">
        <v>9.8000000000000007</v>
      </c>
      <c r="Q1227" s="217"/>
      <c r="R1227" s="217"/>
      <c r="S1227" s="218"/>
    </row>
    <row r="1228" spans="1:19" ht="15" customHeight="1">
      <c r="A1228" s="413">
        <f t="shared" si="28"/>
        <v>1228</v>
      </c>
      <c r="B1228" s="26">
        <v>1002</v>
      </c>
      <c r="C1228" s="153" t="s">
        <v>1069</v>
      </c>
      <c r="D1228" s="211" t="s">
        <v>1042</v>
      </c>
      <c r="E1228" s="212"/>
      <c r="F1228" s="213" t="s">
        <v>1071</v>
      </c>
      <c r="G1228" s="214" t="s">
        <v>1074</v>
      </c>
      <c r="H1228" s="213" t="s">
        <v>109</v>
      </c>
      <c r="I1228" s="215">
        <f>7.6-1.44</f>
        <v>6.16</v>
      </c>
      <c r="J1228" s="216">
        <v>2</v>
      </c>
      <c r="K1228" s="216"/>
      <c r="L1228" s="216"/>
      <c r="M1228" s="216"/>
      <c r="N1228" s="216"/>
      <c r="O1228" s="217"/>
      <c r="P1228" s="217">
        <v>7.6</v>
      </c>
      <c r="Q1228" s="217"/>
      <c r="R1228" s="217"/>
      <c r="S1228" s="218"/>
    </row>
    <row r="1229" spans="1:19" ht="15" customHeight="1">
      <c r="A1229" s="413">
        <f t="shared" si="28"/>
        <v>1229</v>
      </c>
      <c r="B1229" s="26">
        <v>1002</v>
      </c>
      <c r="C1229" s="153" t="s">
        <v>1069</v>
      </c>
      <c r="D1229" s="211" t="s">
        <v>1042</v>
      </c>
      <c r="E1229" s="212"/>
      <c r="F1229" s="213" t="s">
        <v>308</v>
      </c>
      <c r="G1229" s="214" t="s">
        <v>1074</v>
      </c>
      <c r="H1229" s="213" t="s">
        <v>109</v>
      </c>
      <c r="I1229" s="215">
        <v>2.52</v>
      </c>
      <c r="J1229" s="216">
        <v>11.5</v>
      </c>
      <c r="K1229" s="216"/>
      <c r="L1229" s="216"/>
      <c r="M1229" s="216"/>
      <c r="N1229" s="216"/>
      <c r="O1229" s="217"/>
      <c r="P1229" s="217">
        <v>2.7</v>
      </c>
      <c r="Q1229" s="217"/>
      <c r="R1229" s="217"/>
      <c r="S1229" s="218"/>
    </row>
    <row r="1230" spans="1:19" ht="15" customHeight="1">
      <c r="A1230" s="413">
        <f t="shared" si="28"/>
        <v>1230</v>
      </c>
      <c r="B1230" s="26">
        <v>1002</v>
      </c>
      <c r="C1230" s="153" t="s">
        <v>1069</v>
      </c>
      <c r="D1230" s="211" t="s">
        <v>1042</v>
      </c>
      <c r="E1230" s="212"/>
      <c r="F1230" s="213" t="s">
        <v>1072</v>
      </c>
      <c r="G1230" s="214" t="s">
        <v>1074</v>
      </c>
      <c r="H1230" s="213" t="s">
        <v>109</v>
      </c>
      <c r="I1230" s="215">
        <v>7.7</v>
      </c>
      <c r="J1230" s="216">
        <v>2.5</v>
      </c>
      <c r="K1230" s="216"/>
      <c r="L1230" s="216"/>
      <c r="M1230" s="216"/>
      <c r="N1230" s="216"/>
      <c r="O1230" s="217"/>
      <c r="P1230" s="217">
        <v>7.7</v>
      </c>
      <c r="Q1230" s="217"/>
      <c r="R1230" s="217"/>
      <c r="S1230" s="218"/>
    </row>
    <row r="1231" spans="1:19" ht="15" customHeight="1">
      <c r="A1231" s="413">
        <f t="shared" si="28"/>
        <v>1231</v>
      </c>
      <c r="B1231" s="26">
        <v>1002</v>
      </c>
      <c r="C1231" s="153" t="s">
        <v>1069</v>
      </c>
      <c r="D1231" s="211" t="s">
        <v>1042</v>
      </c>
      <c r="E1231" s="212"/>
      <c r="F1231" s="213" t="s">
        <v>1073</v>
      </c>
      <c r="G1231" s="214" t="s">
        <v>1074</v>
      </c>
      <c r="H1231" s="213" t="s">
        <v>109</v>
      </c>
      <c r="I1231" s="215">
        <v>0.7</v>
      </c>
      <c r="J1231" s="216">
        <v>0.5</v>
      </c>
      <c r="K1231" s="216"/>
      <c r="L1231" s="216"/>
      <c r="M1231" s="216"/>
      <c r="N1231" s="216"/>
      <c r="O1231" s="217"/>
      <c r="P1231" s="217">
        <v>0.7</v>
      </c>
      <c r="Q1231" s="217"/>
      <c r="R1231" s="217"/>
      <c r="S1231" s="218"/>
    </row>
    <row r="1232" spans="1:19" ht="15" customHeight="1">
      <c r="A1232" s="413">
        <f t="shared" si="28"/>
        <v>1232</v>
      </c>
      <c r="B1232" s="26">
        <v>1002</v>
      </c>
      <c r="C1232" s="153" t="s">
        <v>1069</v>
      </c>
      <c r="D1232" s="211" t="s">
        <v>1042</v>
      </c>
      <c r="E1232" s="212"/>
      <c r="F1232" s="213" t="s">
        <v>1342</v>
      </c>
      <c r="G1232" s="214"/>
      <c r="H1232" s="213" t="s">
        <v>68</v>
      </c>
      <c r="I1232" s="215">
        <v>43</v>
      </c>
      <c r="J1232" s="216"/>
      <c r="K1232" s="216"/>
      <c r="L1232" s="216"/>
      <c r="M1232" s="216"/>
      <c r="N1232" s="216"/>
      <c r="O1232" s="217"/>
      <c r="P1232" s="217"/>
      <c r="Q1232" s="217"/>
      <c r="R1232" s="217"/>
      <c r="S1232" s="218"/>
    </row>
    <row r="1233" spans="1:19" ht="15" customHeight="1">
      <c r="A1233" s="413">
        <f t="shared" si="28"/>
        <v>1233</v>
      </c>
      <c r="B1233" s="26">
        <v>1002</v>
      </c>
      <c r="C1233" s="153" t="s">
        <v>1069</v>
      </c>
      <c r="D1233" s="211" t="s">
        <v>1042</v>
      </c>
      <c r="E1233" s="212"/>
      <c r="F1233" s="213" t="s">
        <v>1342</v>
      </c>
      <c r="G1233" s="214"/>
      <c r="H1233" s="213" t="s">
        <v>1348</v>
      </c>
      <c r="I1233" s="215">
        <v>60</v>
      </c>
      <c r="J1233" s="216"/>
      <c r="K1233" s="216"/>
      <c r="L1233" s="216"/>
      <c r="M1233" s="216"/>
      <c r="N1233" s="216"/>
      <c r="O1233" s="217"/>
      <c r="P1233" s="217"/>
      <c r="Q1233" s="217"/>
      <c r="R1233" s="217"/>
      <c r="S1233" s="218"/>
    </row>
    <row r="1234" spans="1:19" ht="15" customHeight="1">
      <c r="A1234" s="413">
        <f t="shared" si="28"/>
        <v>1234</v>
      </c>
      <c r="B1234" s="26">
        <v>1002</v>
      </c>
      <c r="C1234" s="153" t="s">
        <v>1069</v>
      </c>
      <c r="D1234" s="211" t="s">
        <v>1042</v>
      </c>
      <c r="E1234" s="212"/>
      <c r="F1234" s="213" t="s">
        <v>1342</v>
      </c>
      <c r="G1234" s="214"/>
      <c r="H1234" s="213" t="s">
        <v>1348</v>
      </c>
      <c r="I1234" s="215">
        <v>6.25</v>
      </c>
      <c r="J1234" s="216"/>
      <c r="K1234" s="216"/>
      <c r="L1234" s="216"/>
      <c r="M1234" s="216"/>
      <c r="N1234" s="216"/>
      <c r="O1234" s="217"/>
      <c r="P1234" s="217"/>
      <c r="Q1234" s="217"/>
      <c r="R1234" s="217"/>
      <c r="S1234" s="218"/>
    </row>
    <row r="1235" spans="1:19" ht="15" customHeight="1">
      <c r="A1235" s="413">
        <f t="shared" si="28"/>
        <v>1235</v>
      </c>
      <c r="B1235" s="26">
        <v>1002</v>
      </c>
      <c r="C1235" s="153" t="s">
        <v>1069</v>
      </c>
      <c r="D1235" s="211" t="s">
        <v>1042</v>
      </c>
      <c r="E1235" s="212"/>
      <c r="F1235" s="213" t="s">
        <v>1342</v>
      </c>
      <c r="G1235" s="214"/>
      <c r="H1235" s="213" t="s">
        <v>1348</v>
      </c>
      <c r="I1235" s="215">
        <v>6.25</v>
      </c>
      <c r="J1235" s="216"/>
      <c r="K1235" s="216"/>
      <c r="L1235" s="216"/>
      <c r="M1235" s="216"/>
      <c r="N1235" s="216"/>
      <c r="O1235" s="217"/>
      <c r="P1235" s="217"/>
      <c r="Q1235" s="217"/>
      <c r="R1235" s="217"/>
      <c r="S1235" s="218"/>
    </row>
    <row r="1236" spans="1:19" ht="15" customHeight="1">
      <c r="A1236" s="413">
        <f t="shared" si="28"/>
        <v>1236</v>
      </c>
      <c r="B1236" s="26">
        <v>1002</v>
      </c>
      <c r="C1236" s="153" t="s">
        <v>1069</v>
      </c>
      <c r="D1236" s="211" t="s">
        <v>1042</v>
      </c>
      <c r="E1236" s="212"/>
      <c r="F1236" s="213" t="s">
        <v>1343</v>
      </c>
      <c r="G1236" s="214"/>
      <c r="H1236" s="213" t="s">
        <v>68</v>
      </c>
      <c r="I1236" s="215">
        <v>17.5</v>
      </c>
      <c r="J1236" s="216"/>
      <c r="K1236" s="216"/>
      <c r="L1236" s="216"/>
      <c r="M1236" s="216"/>
      <c r="N1236" s="216"/>
      <c r="O1236" s="217"/>
      <c r="P1236" s="217"/>
      <c r="Q1236" s="217"/>
      <c r="R1236" s="217"/>
      <c r="S1236" s="218"/>
    </row>
    <row r="1237" spans="1:19" ht="15" customHeight="1">
      <c r="A1237" s="413">
        <f t="shared" si="28"/>
        <v>1237</v>
      </c>
      <c r="B1237" s="26">
        <v>1002</v>
      </c>
      <c r="C1237" s="153" t="s">
        <v>1069</v>
      </c>
      <c r="D1237" s="211" t="s">
        <v>1042</v>
      </c>
      <c r="E1237" s="212"/>
      <c r="F1237" s="213" t="s">
        <v>1343</v>
      </c>
      <c r="G1237" s="214"/>
      <c r="H1237" s="213" t="s">
        <v>68</v>
      </c>
      <c r="I1237" s="215">
        <v>25</v>
      </c>
      <c r="J1237" s="216"/>
      <c r="K1237" s="216"/>
      <c r="L1237" s="216"/>
      <c r="M1237" s="216"/>
      <c r="N1237" s="216"/>
      <c r="O1237" s="217"/>
      <c r="P1237" s="217"/>
      <c r="Q1237" s="217"/>
      <c r="R1237" s="217"/>
      <c r="S1237" s="218"/>
    </row>
    <row r="1238" spans="1:19" ht="15" customHeight="1">
      <c r="A1238" s="413">
        <f t="shared" si="28"/>
        <v>1238</v>
      </c>
      <c r="B1238" s="26">
        <v>1002</v>
      </c>
      <c r="C1238" s="153" t="s">
        <v>1069</v>
      </c>
      <c r="D1238" s="211" t="s">
        <v>1042</v>
      </c>
      <c r="E1238" s="212"/>
      <c r="F1238" s="213" t="s">
        <v>1343</v>
      </c>
      <c r="G1238" s="214"/>
      <c r="H1238" s="213" t="s">
        <v>68</v>
      </c>
      <c r="I1238" s="215">
        <v>25</v>
      </c>
      <c r="J1238" s="216"/>
      <c r="K1238" s="216"/>
      <c r="L1238" s="216"/>
      <c r="M1238" s="216"/>
      <c r="N1238" s="216"/>
      <c r="O1238" s="217"/>
      <c r="P1238" s="217"/>
      <c r="Q1238" s="217"/>
      <c r="R1238" s="217"/>
      <c r="S1238" s="218"/>
    </row>
    <row r="1239" spans="1:19" ht="15" customHeight="1">
      <c r="A1239" s="413">
        <f t="shared" si="28"/>
        <v>1239</v>
      </c>
      <c r="B1239" s="26">
        <v>1002</v>
      </c>
      <c r="C1239" s="153" t="s">
        <v>1069</v>
      </c>
      <c r="D1239" s="211" t="s">
        <v>1042</v>
      </c>
      <c r="E1239" s="212"/>
      <c r="F1239" s="213" t="s">
        <v>319</v>
      </c>
      <c r="G1239" s="214"/>
      <c r="H1239" s="213" t="s">
        <v>68</v>
      </c>
      <c r="I1239" s="215">
        <v>18</v>
      </c>
      <c r="J1239" s="216"/>
      <c r="K1239" s="216"/>
      <c r="L1239" s="216"/>
      <c r="M1239" s="216"/>
      <c r="N1239" s="216"/>
      <c r="O1239" s="217"/>
      <c r="P1239" s="217"/>
      <c r="Q1239" s="217"/>
      <c r="R1239" s="217"/>
      <c r="S1239" s="218"/>
    </row>
    <row r="1240" spans="1:19" ht="15" customHeight="1">
      <c r="A1240" s="413">
        <f t="shared" si="28"/>
        <v>1240</v>
      </c>
      <c r="B1240" s="26">
        <v>1002</v>
      </c>
      <c r="C1240" s="153" t="s">
        <v>1069</v>
      </c>
      <c r="D1240" s="211" t="s">
        <v>1042</v>
      </c>
      <c r="E1240" s="212"/>
      <c r="F1240" s="213" t="s">
        <v>319</v>
      </c>
      <c r="G1240" s="214"/>
      <c r="H1240" s="213" t="s">
        <v>68</v>
      </c>
      <c r="I1240" s="215">
        <v>1</v>
      </c>
      <c r="J1240" s="216"/>
      <c r="K1240" s="216"/>
      <c r="L1240" s="216"/>
      <c r="M1240" s="216"/>
      <c r="N1240" s="216"/>
      <c r="O1240" s="217"/>
      <c r="P1240" s="217"/>
      <c r="Q1240" s="217"/>
      <c r="R1240" s="217"/>
      <c r="S1240" s="218"/>
    </row>
    <row r="1241" spans="1:19" ht="15" customHeight="1">
      <c r="A1241" s="413">
        <f t="shared" si="28"/>
        <v>1241</v>
      </c>
      <c r="B1241" s="26">
        <v>1002</v>
      </c>
      <c r="C1241" s="153" t="s">
        <v>1069</v>
      </c>
      <c r="D1241" s="211" t="s">
        <v>1042</v>
      </c>
      <c r="E1241" s="212"/>
      <c r="F1241" s="213" t="s">
        <v>319</v>
      </c>
      <c r="G1241" s="214"/>
      <c r="H1241" s="213" t="s">
        <v>68</v>
      </c>
      <c r="I1241" s="215">
        <v>1.5</v>
      </c>
      <c r="J1241" s="216"/>
      <c r="K1241" s="216"/>
      <c r="L1241" s="216"/>
      <c r="M1241" s="216"/>
      <c r="N1241" s="216"/>
      <c r="O1241" s="217"/>
      <c r="P1241" s="217"/>
      <c r="Q1241" s="217"/>
      <c r="R1241" s="217"/>
      <c r="S1241" s="218"/>
    </row>
    <row r="1242" spans="1:19" ht="15" customHeight="1">
      <c r="A1242" s="413">
        <f t="shared" si="28"/>
        <v>1242</v>
      </c>
      <c r="B1242" s="26">
        <v>1002</v>
      </c>
      <c r="C1242" s="153" t="s">
        <v>1069</v>
      </c>
      <c r="D1242" s="211" t="s">
        <v>1042</v>
      </c>
      <c r="E1242" s="212"/>
      <c r="F1242" s="213" t="s">
        <v>1344</v>
      </c>
      <c r="G1242" s="214"/>
      <c r="H1242" s="213" t="s">
        <v>68</v>
      </c>
      <c r="I1242" s="215">
        <v>8</v>
      </c>
      <c r="J1242" s="216"/>
      <c r="K1242" s="216"/>
      <c r="L1242" s="216"/>
      <c r="M1242" s="216"/>
      <c r="N1242" s="216"/>
      <c r="O1242" s="217"/>
      <c r="P1242" s="217"/>
      <c r="Q1242" s="217"/>
      <c r="R1242" s="217"/>
      <c r="S1242" s="218"/>
    </row>
    <row r="1243" spans="1:19" ht="15" customHeight="1">
      <c r="A1243" s="413">
        <f t="shared" si="28"/>
        <v>1243</v>
      </c>
      <c r="B1243" s="26">
        <v>1002</v>
      </c>
      <c r="C1243" s="153" t="s">
        <v>1069</v>
      </c>
      <c r="D1243" s="211" t="s">
        <v>1042</v>
      </c>
      <c r="E1243" s="212"/>
      <c r="F1243" s="213" t="s">
        <v>1339</v>
      </c>
      <c r="G1243" s="214"/>
      <c r="H1243" s="213" t="s">
        <v>68</v>
      </c>
      <c r="I1243" s="215">
        <v>495</v>
      </c>
      <c r="J1243" s="216"/>
      <c r="K1243" s="216"/>
      <c r="L1243" s="216"/>
      <c r="M1243" s="216"/>
      <c r="N1243" s="216"/>
      <c r="O1243" s="217"/>
      <c r="P1243" s="217"/>
      <c r="Q1243" s="217"/>
      <c r="R1243" s="217"/>
      <c r="S1243" s="218"/>
    </row>
    <row r="1244" spans="1:19" ht="15" customHeight="1">
      <c r="A1244" s="413">
        <f t="shared" si="28"/>
        <v>1244</v>
      </c>
      <c r="B1244" s="26">
        <v>1002</v>
      </c>
      <c r="C1244" s="153" t="s">
        <v>1069</v>
      </c>
      <c r="D1244" s="211" t="s">
        <v>1042</v>
      </c>
      <c r="E1244" s="212"/>
      <c r="F1244" s="213" t="s">
        <v>1345</v>
      </c>
      <c r="G1244" s="214"/>
      <c r="H1244" s="213" t="s">
        <v>68</v>
      </c>
      <c r="I1244" s="215">
        <v>1044</v>
      </c>
      <c r="J1244" s="216"/>
      <c r="K1244" s="216"/>
      <c r="L1244" s="216"/>
      <c r="M1244" s="216"/>
      <c r="N1244" s="216"/>
      <c r="O1244" s="217"/>
      <c r="P1244" s="217"/>
      <c r="Q1244" s="217"/>
      <c r="R1244" s="217"/>
      <c r="S1244" s="218"/>
    </row>
    <row r="1245" spans="1:19" ht="15" customHeight="1">
      <c r="A1245" s="413">
        <f t="shared" si="28"/>
        <v>1245</v>
      </c>
      <c r="B1245" s="26">
        <v>1002</v>
      </c>
      <c r="C1245" s="153" t="s">
        <v>1069</v>
      </c>
      <c r="D1245" s="211" t="s">
        <v>1042</v>
      </c>
      <c r="E1245" s="212"/>
      <c r="F1245" s="213" t="s">
        <v>1346</v>
      </c>
      <c r="G1245" s="214"/>
      <c r="H1245" s="213" t="s">
        <v>68</v>
      </c>
      <c r="I1245" s="215">
        <v>3</v>
      </c>
      <c r="J1245" s="216"/>
      <c r="K1245" s="216"/>
      <c r="L1245" s="216"/>
      <c r="M1245" s="216"/>
      <c r="N1245" s="216"/>
      <c r="O1245" s="217"/>
      <c r="P1245" s="217"/>
      <c r="Q1245" s="217"/>
      <c r="R1245" s="217"/>
      <c r="S1245" s="218"/>
    </row>
    <row r="1246" spans="1:19" ht="15" customHeight="1">
      <c r="A1246" s="413">
        <f t="shared" si="28"/>
        <v>1246</v>
      </c>
      <c r="B1246" s="26">
        <v>1002</v>
      </c>
      <c r="C1246" s="153" t="s">
        <v>1069</v>
      </c>
      <c r="D1246" s="211" t="s">
        <v>1042</v>
      </c>
      <c r="E1246" s="212"/>
      <c r="F1246" s="213" t="s">
        <v>125</v>
      </c>
      <c r="G1246" s="214"/>
      <c r="H1246" s="213" t="s">
        <v>1341</v>
      </c>
      <c r="I1246" s="215">
        <v>3</v>
      </c>
      <c r="J1246" s="216"/>
      <c r="K1246" s="216"/>
      <c r="L1246" s="216"/>
      <c r="M1246" s="216"/>
      <c r="N1246" s="216"/>
      <c r="O1246" s="217"/>
      <c r="P1246" s="217"/>
      <c r="Q1246" s="217"/>
      <c r="R1246" s="217"/>
      <c r="S1246" s="218"/>
    </row>
    <row r="1247" spans="1:19" ht="15" customHeight="1">
      <c r="A1247" s="413">
        <f t="shared" si="28"/>
        <v>1247</v>
      </c>
      <c r="B1247" s="26">
        <v>1002</v>
      </c>
      <c r="C1247" s="153" t="s">
        <v>1069</v>
      </c>
      <c r="D1247" s="211" t="s">
        <v>1042</v>
      </c>
      <c r="E1247" s="212"/>
      <c r="F1247" s="213" t="s">
        <v>125</v>
      </c>
      <c r="G1247" s="214"/>
      <c r="H1247" s="213" t="s">
        <v>1341</v>
      </c>
      <c r="I1247" s="215">
        <v>3</v>
      </c>
      <c r="J1247" s="216"/>
      <c r="K1247" s="216"/>
      <c r="L1247" s="216"/>
      <c r="M1247" s="216"/>
      <c r="N1247" s="216"/>
      <c r="O1247" s="217"/>
      <c r="P1247" s="217"/>
      <c r="Q1247" s="217"/>
      <c r="R1247" s="217"/>
      <c r="S1247" s="218"/>
    </row>
    <row r="1248" spans="1:19" ht="15" customHeight="1">
      <c r="A1248" s="413">
        <f t="shared" si="28"/>
        <v>1248</v>
      </c>
      <c r="B1248" s="26">
        <v>1002</v>
      </c>
      <c r="C1248" s="153" t="s">
        <v>1069</v>
      </c>
      <c r="D1248" s="211" t="s">
        <v>1042</v>
      </c>
      <c r="E1248" s="212"/>
      <c r="F1248" s="213" t="s">
        <v>1347</v>
      </c>
      <c r="G1248" s="214"/>
      <c r="H1248" s="213" t="s">
        <v>1348</v>
      </c>
      <c r="I1248" s="215">
        <v>5</v>
      </c>
      <c r="J1248" s="216"/>
      <c r="K1248" s="216"/>
      <c r="L1248" s="216"/>
      <c r="M1248" s="216"/>
      <c r="N1248" s="216"/>
      <c r="O1248" s="217"/>
      <c r="P1248" s="217"/>
      <c r="Q1248" s="217"/>
      <c r="R1248" s="217"/>
      <c r="S1248" s="218"/>
    </row>
    <row r="1249" spans="1:19" ht="15" customHeight="1">
      <c r="A1249" s="413">
        <f t="shared" si="28"/>
        <v>1249</v>
      </c>
      <c r="B1249" s="26">
        <v>1002</v>
      </c>
      <c r="C1249" s="153" t="s">
        <v>1069</v>
      </c>
      <c r="D1249" s="211" t="s">
        <v>1042</v>
      </c>
      <c r="E1249" s="212"/>
      <c r="F1249" s="213" t="s">
        <v>1347</v>
      </c>
      <c r="G1249" s="214"/>
      <c r="H1249" s="213" t="s">
        <v>68</v>
      </c>
      <c r="I1249" s="215">
        <v>110</v>
      </c>
      <c r="J1249" s="216"/>
      <c r="K1249" s="216"/>
      <c r="L1249" s="216"/>
      <c r="M1249" s="216"/>
      <c r="N1249" s="216"/>
      <c r="O1249" s="217"/>
      <c r="P1249" s="217"/>
      <c r="Q1249" s="217"/>
      <c r="R1249" s="217"/>
      <c r="S1249" s="218"/>
    </row>
    <row r="1250" spans="1:19" ht="15" customHeight="1">
      <c r="A1250" s="413">
        <f t="shared" si="28"/>
        <v>1250</v>
      </c>
      <c r="B1250" s="26">
        <v>1002</v>
      </c>
      <c r="C1250" s="153" t="s">
        <v>1069</v>
      </c>
      <c r="D1250" s="211" t="s">
        <v>1042</v>
      </c>
      <c r="E1250" s="212"/>
      <c r="F1250" s="213" t="s">
        <v>1347</v>
      </c>
      <c r="G1250" s="214"/>
      <c r="H1250" s="213" t="s">
        <v>68</v>
      </c>
      <c r="I1250" s="215">
        <v>110</v>
      </c>
      <c r="J1250" s="216"/>
      <c r="K1250" s="216"/>
      <c r="L1250" s="216"/>
      <c r="M1250" s="216"/>
      <c r="N1250" s="216"/>
      <c r="O1250" s="217"/>
      <c r="P1250" s="217"/>
      <c r="Q1250" s="217"/>
      <c r="R1250" s="217"/>
      <c r="S1250" s="218"/>
    </row>
    <row r="1251" spans="1:19" ht="15" customHeight="1">
      <c r="A1251" s="413">
        <f t="shared" si="28"/>
        <v>1251</v>
      </c>
      <c r="B1251" s="26">
        <v>1002</v>
      </c>
      <c r="C1251" s="153" t="s">
        <v>1069</v>
      </c>
      <c r="D1251" s="211" t="s">
        <v>1042</v>
      </c>
      <c r="E1251" s="212"/>
      <c r="F1251" s="213" t="s">
        <v>1347</v>
      </c>
      <c r="G1251" s="214"/>
      <c r="H1251" s="213" t="s">
        <v>1341</v>
      </c>
      <c r="I1251" s="215">
        <v>37.5</v>
      </c>
      <c r="J1251" s="216"/>
      <c r="K1251" s="216"/>
      <c r="L1251" s="216"/>
      <c r="M1251" s="216"/>
      <c r="N1251" s="216"/>
      <c r="O1251" s="217"/>
      <c r="P1251" s="217"/>
      <c r="Q1251" s="217"/>
      <c r="R1251" s="217"/>
      <c r="S1251" s="218"/>
    </row>
    <row r="1252" spans="1:19" ht="15" customHeight="1">
      <c r="A1252" s="413">
        <f t="shared" si="28"/>
        <v>1252</v>
      </c>
      <c r="B1252" s="26">
        <v>1002</v>
      </c>
      <c r="C1252" s="153" t="s">
        <v>1069</v>
      </c>
      <c r="D1252" s="211" t="s">
        <v>1042</v>
      </c>
      <c r="E1252" s="212"/>
      <c r="F1252" s="213" t="s">
        <v>1347</v>
      </c>
      <c r="G1252" s="214"/>
      <c r="H1252" s="213" t="s">
        <v>1341</v>
      </c>
      <c r="I1252" s="215">
        <v>37.5</v>
      </c>
      <c r="J1252" s="216"/>
      <c r="K1252" s="216"/>
      <c r="L1252" s="216"/>
      <c r="M1252" s="216"/>
      <c r="N1252" s="216"/>
      <c r="O1252" s="217"/>
      <c r="P1252" s="217"/>
      <c r="Q1252" s="217"/>
      <c r="R1252" s="217"/>
      <c r="S1252" s="218"/>
    </row>
    <row r="1253" spans="1:19" ht="15" customHeight="1">
      <c r="A1253" s="413">
        <f t="shared" si="28"/>
        <v>1253</v>
      </c>
      <c r="B1253" s="26">
        <v>1002</v>
      </c>
      <c r="C1253" s="153" t="s">
        <v>1069</v>
      </c>
      <c r="D1253" s="211" t="s">
        <v>1042</v>
      </c>
      <c r="E1253" s="212"/>
      <c r="F1253" s="213" t="s">
        <v>1347</v>
      </c>
      <c r="G1253" s="214"/>
      <c r="H1253" s="213" t="s">
        <v>1341</v>
      </c>
      <c r="I1253" s="215">
        <v>37.5</v>
      </c>
      <c r="J1253" s="216"/>
      <c r="K1253" s="216"/>
      <c r="L1253" s="216"/>
      <c r="M1253" s="216"/>
      <c r="N1253" s="216"/>
      <c r="O1253" s="217"/>
      <c r="P1253" s="217"/>
      <c r="Q1253" s="217"/>
      <c r="R1253" s="217"/>
      <c r="S1253" s="218"/>
    </row>
    <row r="1254" spans="1:19" ht="15" customHeight="1">
      <c r="A1254" s="413">
        <f t="shared" si="28"/>
        <v>1254</v>
      </c>
      <c r="B1254" s="26">
        <v>1002</v>
      </c>
      <c r="C1254" s="153" t="s">
        <v>1069</v>
      </c>
      <c r="D1254" s="211" t="s">
        <v>1042</v>
      </c>
      <c r="E1254" s="212"/>
      <c r="F1254" s="213" t="s">
        <v>1347</v>
      </c>
      <c r="G1254" s="214"/>
      <c r="H1254" s="213" t="s">
        <v>1341</v>
      </c>
      <c r="I1254" s="215">
        <v>37.5</v>
      </c>
      <c r="J1254" s="216"/>
      <c r="K1254" s="216"/>
      <c r="L1254" s="216"/>
      <c r="M1254" s="216"/>
      <c r="N1254" s="216"/>
      <c r="O1254" s="217"/>
      <c r="P1254" s="217"/>
      <c r="Q1254" s="217"/>
      <c r="R1254" s="217"/>
      <c r="S1254" s="218"/>
    </row>
    <row r="1255" spans="1:19" ht="15" customHeight="1">
      <c r="A1255" s="413">
        <f t="shared" si="28"/>
        <v>1255</v>
      </c>
      <c r="B1255" s="26">
        <v>1002</v>
      </c>
      <c r="C1255" s="153" t="s">
        <v>1069</v>
      </c>
      <c r="D1255" s="211" t="s">
        <v>1042</v>
      </c>
      <c r="E1255" s="212"/>
      <c r="F1255" s="213" t="s">
        <v>123</v>
      </c>
      <c r="G1255" s="214"/>
      <c r="H1255" s="213" t="s">
        <v>68</v>
      </c>
      <c r="I1255" s="215">
        <v>17.5</v>
      </c>
      <c r="J1255" s="216"/>
      <c r="K1255" s="216"/>
      <c r="L1255" s="216"/>
      <c r="M1255" s="216"/>
      <c r="N1255" s="216"/>
      <c r="O1255" s="217"/>
      <c r="P1255" s="217"/>
      <c r="Q1255" s="217"/>
      <c r="R1255" s="217"/>
      <c r="S1255" s="218"/>
    </row>
    <row r="1256" spans="1:19" ht="15" customHeight="1">
      <c r="A1256" s="413">
        <f t="shared" si="28"/>
        <v>1256</v>
      </c>
      <c r="B1256" s="26">
        <v>1002</v>
      </c>
      <c r="C1256" s="153" t="s">
        <v>1069</v>
      </c>
      <c r="D1256" s="211" t="s">
        <v>1042</v>
      </c>
      <c r="E1256" s="212"/>
      <c r="F1256" s="213" t="s">
        <v>123</v>
      </c>
      <c r="G1256" s="214"/>
      <c r="H1256" s="213" t="s">
        <v>68</v>
      </c>
      <c r="I1256" s="215">
        <v>17.5</v>
      </c>
      <c r="J1256" s="216"/>
      <c r="K1256" s="216"/>
      <c r="L1256" s="216"/>
      <c r="M1256" s="216"/>
      <c r="N1256" s="216"/>
      <c r="O1256" s="217"/>
      <c r="P1256" s="217"/>
      <c r="Q1256" s="217"/>
      <c r="R1256" s="217"/>
      <c r="S1256" s="218"/>
    </row>
    <row r="1257" spans="1:19" ht="15" customHeight="1">
      <c r="A1257" s="413">
        <f t="shared" si="28"/>
        <v>1257</v>
      </c>
      <c r="B1257" s="26">
        <v>1002</v>
      </c>
      <c r="C1257" s="153" t="s">
        <v>1069</v>
      </c>
      <c r="D1257" s="211" t="s">
        <v>1042</v>
      </c>
      <c r="E1257" s="212"/>
      <c r="F1257" s="213" t="s">
        <v>18</v>
      </c>
      <c r="G1257" s="214"/>
      <c r="H1257" s="213" t="s">
        <v>1341</v>
      </c>
      <c r="I1257" s="215">
        <v>22.5</v>
      </c>
      <c r="J1257" s="216"/>
      <c r="K1257" s="216"/>
      <c r="L1257" s="216"/>
      <c r="M1257" s="216"/>
      <c r="N1257" s="216"/>
      <c r="O1257" s="217"/>
      <c r="P1257" s="217"/>
      <c r="Q1257" s="217"/>
      <c r="R1257" s="217"/>
      <c r="S1257" s="218"/>
    </row>
    <row r="1258" spans="1:19" ht="15" customHeight="1">
      <c r="A1258" s="413">
        <f t="shared" si="28"/>
        <v>1258</v>
      </c>
      <c r="B1258" s="26">
        <v>1002</v>
      </c>
      <c r="C1258" s="153" t="s">
        <v>1069</v>
      </c>
      <c r="D1258" s="211" t="s">
        <v>1042</v>
      </c>
      <c r="E1258" s="212"/>
      <c r="F1258" s="213" t="s">
        <v>18</v>
      </c>
      <c r="G1258" s="214"/>
      <c r="H1258" s="213" t="s">
        <v>1341</v>
      </c>
      <c r="I1258" s="215">
        <v>22.5</v>
      </c>
      <c r="J1258" s="216"/>
      <c r="K1258" s="216"/>
      <c r="L1258" s="216"/>
      <c r="M1258" s="216"/>
      <c r="N1258" s="216"/>
      <c r="O1258" s="217"/>
      <c r="P1258" s="217"/>
      <c r="Q1258" s="217"/>
      <c r="R1258" s="217"/>
      <c r="S1258" s="218"/>
    </row>
    <row r="1259" spans="1:19" ht="15" customHeight="1">
      <c r="A1259" s="413">
        <f t="shared" si="28"/>
        <v>1259</v>
      </c>
      <c r="B1259" s="52">
        <v>201</v>
      </c>
      <c r="C1259" s="219" t="s">
        <v>1536</v>
      </c>
      <c r="D1259" s="220" t="s">
        <v>1403</v>
      </c>
      <c r="E1259" s="221"/>
      <c r="F1259" s="53" t="s">
        <v>54</v>
      </c>
      <c r="G1259" s="214" t="s">
        <v>1860</v>
      </c>
      <c r="H1259" s="53" t="s">
        <v>1676</v>
      </c>
      <c r="I1259" s="222">
        <v>507</v>
      </c>
      <c r="J1259" s="223"/>
      <c r="K1259" s="223"/>
      <c r="L1259" s="223"/>
      <c r="M1259" s="223"/>
      <c r="N1259" s="223"/>
      <c r="O1259" s="224"/>
      <c r="P1259" s="224"/>
      <c r="Q1259" s="224"/>
      <c r="R1259" s="224"/>
      <c r="S1259" s="225"/>
    </row>
    <row r="1260" spans="1:19" ht="15" customHeight="1">
      <c r="A1260" s="413">
        <f t="shared" si="28"/>
        <v>1260</v>
      </c>
      <c r="B1260" s="52">
        <v>202</v>
      </c>
      <c r="C1260" s="219" t="s">
        <v>1404</v>
      </c>
      <c r="D1260" s="220" t="s">
        <v>1403</v>
      </c>
      <c r="E1260" s="221"/>
      <c r="F1260" s="53" t="s">
        <v>54</v>
      </c>
      <c r="G1260" s="214" t="s">
        <v>1860</v>
      </c>
      <c r="H1260" s="53" t="s">
        <v>1676</v>
      </c>
      <c r="I1260" s="222">
        <v>671</v>
      </c>
      <c r="J1260" s="223"/>
      <c r="K1260" s="223"/>
      <c r="L1260" s="223"/>
      <c r="M1260" s="223"/>
      <c r="N1260" s="223"/>
      <c r="O1260" s="224"/>
      <c r="P1260" s="224"/>
      <c r="Q1260" s="224"/>
      <c r="R1260" s="224"/>
      <c r="S1260" s="225"/>
    </row>
    <row r="1261" spans="1:19" ht="15" customHeight="1">
      <c r="A1261" s="413">
        <f t="shared" si="28"/>
        <v>1261</v>
      </c>
      <c r="B1261" s="52">
        <v>203</v>
      </c>
      <c r="C1261" s="219" t="s">
        <v>1405</v>
      </c>
      <c r="D1261" s="220" t="s">
        <v>1403</v>
      </c>
      <c r="E1261" s="221"/>
      <c r="F1261" s="53" t="s">
        <v>54</v>
      </c>
      <c r="G1261" s="214" t="s">
        <v>1861</v>
      </c>
      <c r="H1261" s="53" t="s">
        <v>1676</v>
      </c>
      <c r="I1261" s="222">
        <v>507</v>
      </c>
      <c r="J1261" s="223"/>
      <c r="K1261" s="223"/>
      <c r="L1261" s="223"/>
      <c r="M1261" s="223"/>
      <c r="N1261" s="223"/>
      <c r="O1261" s="224"/>
      <c r="P1261" s="224"/>
      <c r="Q1261" s="224"/>
      <c r="R1261" s="224"/>
      <c r="S1261" s="225"/>
    </row>
    <row r="1262" spans="1:19" ht="15" customHeight="1">
      <c r="A1262" s="413">
        <f t="shared" si="28"/>
        <v>1262</v>
      </c>
      <c r="B1262" s="52">
        <v>203</v>
      </c>
      <c r="C1262" s="219" t="s">
        <v>1405</v>
      </c>
      <c r="D1262" s="220" t="s">
        <v>1403</v>
      </c>
      <c r="E1262" s="221"/>
      <c r="F1262" s="53" t="s">
        <v>97</v>
      </c>
      <c r="G1262" s="214" t="s">
        <v>223</v>
      </c>
      <c r="H1262" s="53" t="s">
        <v>1677</v>
      </c>
      <c r="I1262" s="222">
        <v>78</v>
      </c>
      <c r="J1262" s="223"/>
      <c r="K1262" s="223"/>
      <c r="L1262" s="223"/>
      <c r="M1262" s="223"/>
      <c r="N1262" s="223"/>
      <c r="O1262" s="224"/>
      <c r="P1262" s="224"/>
      <c r="Q1262" s="224"/>
      <c r="R1262" s="224"/>
      <c r="S1262" s="225"/>
    </row>
    <row r="1263" spans="1:19" ht="15" customHeight="1">
      <c r="A1263" s="413">
        <f t="shared" si="28"/>
        <v>1263</v>
      </c>
      <c r="B1263" s="52">
        <v>203</v>
      </c>
      <c r="C1263" s="219" t="s">
        <v>1405</v>
      </c>
      <c r="D1263" s="220" t="s">
        <v>1403</v>
      </c>
      <c r="E1263" s="221"/>
      <c r="F1263" s="53" t="s">
        <v>1</v>
      </c>
      <c r="G1263" s="214" t="s">
        <v>66</v>
      </c>
      <c r="H1263" s="53" t="s">
        <v>1678</v>
      </c>
      <c r="I1263" s="222">
        <v>4</v>
      </c>
      <c r="J1263" s="223"/>
      <c r="K1263" s="223"/>
      <c r="L1263" s="223"/>
      <c r="M1263" s="223">
        <v>19</v>
      </c>
      <c r="N1263" s="223"/>
      <c r="O1263" s="224"/>
      <c r="P1263" s="224"/>
      <c r="Q1263" s="224"/>
      <c r="R1263" s="224"/>
      <c r="S1263" s="225"/>
    </row>
    <row r="1264" spans="1:19" ht="15" customHeight="1">
      <c r="A1264" s="413">
        <f t="shared" si="28"/>
        <v>1264</v>
      </c>
      <c r="B1264" s="52">
        <v>204</v>
      </c>
      <c r="C1264" s="219" t="s">
        <v>1406</v>
      </c>
      <c r="D1264" s="220" t="s">
        <v>1403</v>
      </c>
      <c r="E1264" s="221"/>
      <c r="F1264" s="53" t="s">
        <v>67</v>
      </c>
      <c r="G1264" s="214" t="s">
        <v>1860</v>
      </c>
      <c r="H1264" s="53" t="s">
        <v>1679</v>
      </c>
      <c r="I1264" s="222">
        <v>581</v>
      </c>
      <c r="J1264" s="223"/>
      <c r="K1264" s="223"/>
      <c r="L1264" s="223"/>
      <c r="M1264" s="223">
        <v>120</v>
      </c>
      <c r="N1264" s="223"/>
      <c r="O1264" s="224"/>
      <c r="P1264" s="224">
        <v>151</v>
      </c>
      <c r="Q1264" s="224"/>
      <c r="R1264" s="224"/>
      <c r="S1264" s="225"/>
    </row>
    <row r="1265" spans="1:19" ht="15" customHeight="1">
      <c r="A1265" s="413">
        <f t="shared" si="28"/>
        <v>1265</v>
      </c>
      <c r="B1265" s="52">
        <v>204</v>
      </c>
      <c r="C1265" s="219" t="s">
        <v>1406</v>
      </c>
      <c r="D1265" s="220" t="s">
        <v>1403</v>
      </c>
      <c r="E1265" s="221"/>
      <c r="F1265" s="53" t="s">
        <v>1540</v>
      </c>
      <c r="G1265" s="214"/>
      <c r="H1265" s="53" t="s">
        <v>1677</v>
      </c>
      <c r="I1265" s="222">
        <v>77</v>
      </c>
      <c r="J1265" s="223"/>
      <c r="K1265" s="223"/>
      <c r="L1265" s="223"/>
      <c r="M1265" s="223"/>
      <c r="N1265" s="223"/>
      <c r="O1265" s="224"/>
      <c r="P1265" s="224"/>
      <c r="Q1265" s="224"/>
      <c r="R1265" s="224"/>
      <c r="S1265" s="225"/>
    </row>
    <row r="1266" spans="1:19" ht="15" customHeight="1">
      <c r="A1266" s="413">
        <f t="shared" si="28"/>
        <v>1266</v>
      </c>
      <c r="B1266" s="52">
        <v>204</v>
      </c>
      <c r="C1266" s="219" t="s">
        <v>1406</v>
      </c>
      <c r="D1266" s="220" t="s">
        <v>1403</v>
      </c>
      <c r="E1266" s="221"/>
      <c r="F1266" s="53" t="s">
        <v>1</v>
      </c>
      <c r="G1266" s="214" t="s">
        <v>66</v>
      </c>
      <c r="H1266" s="53" t="s">
        <v>1678</v>
      </c>
      <c r="I1266" s="222">
        <v>4</v>
      </c>
      <c r="J1266" s="223"/>
      <c r="K1266" s="223"/>
      <c r="L1266" s="223"/>
      <c r="M1266" s="223">
        <v>19</v>
      </c>
      <c r="N1266" s="223"/>
      <c r="O1266" s="224"/>
      <c r="P1266" s="224"/>
      <c r="Q1266" s="224"/>
      <c r="R1266" s="224"/>
      <c r="S1266" s="225"/>
    </row>
    <row r="1267" spans="1:19" ht="15" customHeight="1">
      <c r="A1267" s="413">
        <f t="shared" si="28"/>
        <v>1267</v>
      </c>
      <c r="B1267" s="52">
        <v>205</v>
      </c>
      <c r="C1267" s="219" t="s">
        <v>1407</v>
      </c>
      <c r="D1267" s="220" t="s">
        <v>1403</v>
      </c>
      <c r="E1267" s="221"/>
      <c r="F1267" s="53" t="s">
        <v>67</v>
      </c>
      <c r="G1267" s="214" t="s">
        <v>1862</v>
      </c>
      <c r="H1267" s="53" t="s">
        <v>1679</v>
      </c>
      <c r="I1267" s="222">
        <v>581</v>
      </c>
      <c r="J1267" s="223"/>
      <c r="K1267" s="223"/>
      <c r="L1267" s="223"/>
      <c r="M1267" s="223">
        <v>120</v>
      </c>
      <c r="N1267" s="223"/>
      <c r="O1267" s="224"/>
      <c r="P1267" s="224">
        <v>151</v>
      </c>
      <c r="Q1267" s="224"/>
      <c r="R1267" s="224"/>
      <c r="S1267" s="225"/>
    </row>
    <row r="1268" spans="1:19" ht="15" customHeight="1">
      <c r="A1268" s="413">
        <f t="shared" si="28"/>
        <v>1268</v>
      </c>
      <c r="B1268" s="52">
        <v>205</v>
      </c>
      <c r="C1268" s="219" t="s">
        <v>1407</v>
      </c>
      <c r="D1268" s="220" t="s">
        <v>1403</v>
      </c>
      <c r="E1268" s="221"/>
      <c r="F1268" s="53" t="s">
        <v>1540</v>
      </c>
      <c r="G1268" s="214"/>
      <c r="H1268" s="53" t="s">
        <v>1677</v>
      </c>
      <c r="I1268" s="222">
        <v>77</v>
      </c>
      <c r="J1268" s="223"/>
      <c r="K1268" s="223"/>
      <c r="L1268" s="223"/>
      <c r="M1268" s="223"/>
      <c r="N1268" s="223"/>
      <c r="O1268" s="224"/>
      <c r="P1268" s="224"/>
      <c r="Q1268" s="224"/>
      <c r="R1268" s="224"/>
      <c r="S1268" s="225"/>
    </row>
    <row r="1269" spans="1:19" ht="15" customHeight="1">
      <c r="A1269" s="413">
        <f t="shared" si="28"/>
        <v>1269</v>
      </c>
      <c r="B1269" s="52">
        <v>205</v>
      </c>
      <c r="C1269" s="219" t="s">
        <v>1407</v>
      </c>
      <c r="D1269" s="220" t="s">
        <v>1403</v>
      </c>
      <c r="E1269" s="221"/>
      <c r="F1269" s="53" t="s">
        <v>1</v>
      </c>
      <c r="G1269" s="214" t="s">
        <v>66</v>
      </c>
      <c r="H1269" s="53" t="s">
        <v>1678</v>
      </c>
      <c r="I1269" s="222">
        <v>4</v>
      </c>
      <c r="J1269" s="223"/>
      <c r="K1269" s="223"/>
      <c r="L1269" s="223"/>
      <c r="M1269" s="223">
        <v>19</v>
      </c>
      <c r="N1269" s="223"/>
      <c r="O1269" s="224"/>
      <c r="P1269" s="224"/>
      <c r="Q1269" s="224"/>
      <c r="R1269" s="224"/>
      <c r="S1269" s="225"/>
    </row>
    <row r="1270" spans="1:19" ht="15" customHeight="1">
      <c r="A1270" s="413">
        <f t="shared" si="28"/>
        <v>1270</v>
      </c>
      <c r="B1270" s="52">
        <v>206</v>
      </c>
      <c r="C1270" s="219" t="s">
        <v>1408</v>
      </c>
      <c r="D1270" s="220" t="s">
        <v>1403</v>
      </c>
      <c r="E1270" s="221"/>
      <c r="F1270" s="53" t="s">
        <v>54</v>
      </c>
      <c r="G1270" s="214" t="s">
        <v>1861</v>
      </c>
      <c r="H1270" s="53" t="s">
        <v>1679</v>
      </c>
      <c r="I1270" s="222">
        <v>462</v>
      </c>
      <c r="J1270" s="223"/>
      <c r="K1270" s="223"/>
      <c r="L1270" s="223">
        <v>100</v>
      </c>
      <c r="M1270" s="223"/>
      <c r="N1270" s="223"/>
      <c r="O1270" s="224"/>
      <c r="P1270" s="224"/>
      <c r="Q1270" s="224"/>
      <c r="R1270" s="224"/>
      <c r="S1270" s="225"/>
    </row>
    <row r="1271" spans="1:19" ht="15" customHeight="1">
      <c r="A1271" s="413">
        <f t="shared" si="28"/>
        <v>1271</v>
      </c>
      <c r="B1271" s="52">
        <v>206</v>
      </c>
      <c r="C1271" s="219" t="s">
        <v>1408</v>
      </c>
      <c r="D1271" s="220" t="s">
        <v>1403</v>
      </c>
      <c r="E1271" s="221"/>
      <c r="F1271" s="53" t="s">
        <v>1541</v>
      </c>
      <c r="G1271" s="214" t="s">
        <v>223</v>
      </c>
      <c r="H1271" s="53" t="s">
        <v>1677</v>
      </c>
      <c r="I1271" s="222">
        <v>64</v>
      </c>
      <c r="J1271" s="223"/>
      <c r="K1271" s="223"/>
      <c r="L1271" s="223"/>
      <c r="M1271" s="223"/>
      <c r="N1271" s="223"/>
      <c r="O1271" s="224"/>
      <c r="P1271" s="224"/>
      <c r="Q1271" s="224"/>
      <c r="R1271" s="224"/>
      <c r="S1271" s="225"/>
    </row>
    <row r="1272" spans="1:19" ht="15" customHeight="1">
      <c r="A1272" s="413">
        <f t="shared" si="28"/>
        <v>1272</v>
      </c>
      <c r="B1272" s="52">
        <v>206</v>
      </c>
      <c r="C1272" s="219" t="s">
        <v>1408</v>
      </c>
      <c r="D1272" s="220" t="s">
        <v>1403</v>
      </c>
      <c r="E1272" s="221"/>
      <c r="F1272" s="53" t="s">
        <v>1</v>
      </c>
      <c r="G1272" s="214" t="s">
        <v>66</v>
      </c>
      <c r="H1272" s="53" t="s">
        <v>1678</v>
      </c>
      <c r="I1272" s="222">
        <v>4</v>
      </c>
      <c r="J1272" s="223"/>
      <c r="K1272" s="223"/>
      <c r="L1272" s="223"/>
      <c r="M1272" s="223">
        <v>19</v>
      </c>
      <c r="N1272" s="223"/>
      <c r="O1272" s="224"/>
      <c r="P1272" s="224"/>
      <c r="Q1272" s="224"/>
      <c r="R1272" s="224"/>
      <c r="S1272" s="225"/>
    </row>
    <row r="1273" spans="1:19" ht="15" customHeight="1">
      <c r="A1273" s="413">
        <f t="shared" si="28"/>
        <v>1273</v>
      </c>
      <c r="B1273" s="52">
        <v>207</v>
      </c>
      <c r="C1273" s="219" t="s">
        <v>1409</v>
      </c>
      <c r="D1273" s="220" t="s">
        <v>1403</v>
      </c>
      <c r="E1273" s="221"/>
      <c r="F1273" s="53" t="s">
        <v>54</v>
      </c>
      <c r="G1273" s="214" t="s">
        <v>1861</v>
      </c>
      <c r="H1273" s="53" t="s">
        <v>1679</v>
      </c>
      <c r="I1273" s="222">
        <v>532</v>
      </c>
      <c r="J1273" s="223"/>
      <c r="K1273" s="223"/>
      <c r="L1273" s="223">
        <v>177</v>
      </c>
      <c r="M1273" s="223">
        <v>13</v>
      </c>
      <c r="N1273" s="223"/>
      <c r="O1273" s="224"/>
      <c r="P1273" s="224"/>
      <c r="Q1273" s="224"/>
      <c r="R1273" s="224"/>
      <c r="S1273" s="225"/>
    </row>
    <row r="1274" spans="1:19" ht="15" customHeight="1">
      <c r="A1274" s="413">
        <f t="shared" si="28"/>
        <v>1274</v>
      </c>
      <c r="B1274" s="52">
        <v>207</v>
      </c>
      <c r="C1274" s="219" t="s">
        <v>1409</v>
      </c>
      <c r="D1274" s="220" t="s">
        <v>1403</v>
      </c>
      <c r="E1274" s="221"/>
      <c r="F1274" s="53" t="s">
        <v>97</v>
      </c>
      <c r="G1274" s="214" t="s">
        <v>1863</v>
      </c>
      <c r="H1274" s="53" t="s">
        <v>1677</v>
      </c>
      <c r="I1274" s="222">
        <v>64</v>
      </c>
      <c r="J1274" s="223"/>
      <c r="K1274" s="223"/>
      <c r="L1274" s="223"/>
      <c r="M1274" s="223"/>
      <c r="N1274" s="223"/>
      <c r="O1274" s="224"/>
      <c r="P1274" s="224"/>
      <c r="Q1274" s="224"/>
      <c r="R1274" s="224"/>
      <c r="S1274" s="225"/>
    </row>
    <row r="1275" spans="1:19" ht="15" customHeight="1">
      <c r="A1275" s="413">
        <f t="shared" si="28"/>
        <v>1275</v>
      </c>
      <c r="B1275" s="52">
        <v>207</v>
      </c>
      <c r="C1275" s="219" t="s">
        <v>1409</v>
      </c>
      <c r="D1275" s="220" t="s">
        <v>1403</v>
      </c>
      <c r="E1275" s="221"/>
      <c r="F1275" s="53" t="s">
        <v>1</v>
      </c>
      <c r="G1275" s="214" t="s">
        <v>66</v>
      </c>
      <c r="H1275" s="53" t="s">
        <v>1678</v>
      </c>
      <c r="I1275" s="222">
        <v>4</v>
      </c>
      <c r="J1275" s="223"/>
      <c r="K1275" s="223"/>
      <c r="L1275" s="223"/>
      <c r="M1275" s="223">
        <v>19</v>
      </c>
      <c r="N1275" s="223"/>
      <c r="O1275" s="224"/>
      <c r="P1275" s="224"/>
      <c r="Q1275" s="224"/>
      <c r="R1275" s="224"/>
      <c r="S1275" s="225"/>
    </row>
    <row r="1276" spans="1:19" ht="15" customHeight="1">
      <c r="A1276" s="413">
        <f t="shared" si="28"/>
        <v>1276</v>
      </c>
      <c r="B1276" s="52">
        <v>208</v>
      </c>
      <c r="C1276" s="219" t="s">
        <v>1668</v>
      </c>
      <c r="D1276" s="220" t="s">
        <v>1403</v>
      </c>
      <c r="E1276" s="221"/>
      <c r="F1276" s="53" t="s">
        <v>54</v>
      </c>
      <c r="G1276" s="214" t="s">
        <v>1860</v>
      </c>
      <c r="H1276" s="53" t="s">
        <v>1676</v>
      </c>
      <c r="I1276" s="222">
        <v>609</v>
      </c>
      <c r="J1276" s="223"/>
      <c r="K1276" s="223"/>
      <c r="L1276" s="223"/>
      <c r="M1276" s="223"/>
      <c r="N1276" s="223"/>
      <c r="O1276" s="224"/>
      <c r="P1276" s="224"/>
      <c r="Q1276" s="224"/>
      <c r="R1276" s="224"/>
      <c r="S1276" s="225"/>
    </row>
    <row r="1277" spans="1:19" ht="15" customHeight="1">
      <c r="A1277" s="413">
        <f t="shared" si="28"/>
        <v>1277</v>
      </c>
      <c r="B1277" s="52">
        <v>209</v>
      </c>
      <c r="C1277" s="219" t="s">
        <v>1669</v>
      </c>
      <c r="D1277" s="220" t="s">
        <v>1403</v>
      </c>
      <c r="E1277" s="221"/>
      <c r="F1277" s="53" t="s">
        <v>54</v>
      </c>
      <c r="G1277" s="214" t="s">
        <v>1861</v>
      </c>
      <c r="H1277" s="53" t="s">
        <v>1680</v>
      </c>
      <c r="I1277" s="222">
        <v>836</v>
      </c>
      <c r="J1277" s="223"/>
      <c r="K1277" s="223"/>
      <c r="L1277" s="223"/>
      <c r="M1277" s="223">
        <v>104</v>
      </c>
      <c r="N1277" s="223"/>
      <c r="O1277" s="224"/>
      <c r="P1277" s="224">
        <v>40</v>
      </c>
      <c r="Q1277" s="224"/>
      <c r="R1277" s="224"/>
      <c r="S1277" s="225"/>
    </row>
    <row r="1278" spans="1:19" ht="15" customHeight="1">
      <c r="A1278" s="413">
        <f t="shared" si="28"/>
        <v>1278</v>
      </c>
      <c r="B1278" s="52">
        <v>209</v>
      </c>
      <c r="C1278" s="219" t="s">
        <v>1669</v>
      </c>
      <c r="D1278" s="220" t="s">
        <v>1403</v>
      </c>
      <c r="E1278" s="221"/>
      <c r="F1278" s="53" t="s">
        <v>97</v>
      </c>
      <c r="G1278" s="214" t="s">
        <v>1863</v>
      </c>
      <c r="H1278" s="53" t="s">
        <v>1677</v>
      </c>
      <c r="I1278" s="222">
        <v>63</v>
      </c>
      <c r="J1278" s="223"/>
      <c r="K1278" s="223"/>
      <c r="L1278" s="223"/>
      <c r="M1278" s="223"/>
      <c r="N1278" s="223"/>
      <c r="O1278" s="224"/>
      <c r="P1278" s="224"/>
      <c r="Q1278" s="224"/>
      <c r="R1278" s="224"/>
      <c r="S1278" s="225"/>
    </row>
    <row r="1279" spans="1:19" ht="15" customHeight="1">
      <c r="A1279" s="413">
        <f t="shared" si="28"/>
        <v>1279</v>
      </c>
      <c r="B1279" s="52">
        <v>209</v>
      </c>
      <c r="C1279" s="219" t="s">
        <v>1669</v>
      </c>
      <c r="D1279" s="220" t="s">
        <v>1403</v>
      </c>
      <c r="E1279" s="221"/>
      <c r="F1279" s="53" t="s">
        <v>1</v>
      </c>
      <c r="G1279" s="214" t="s">
        <v>66</v>
      </c>
      <c r="H1279" s="53" t="s">
        <v>1678</v>
      </c>
      <c r="I1279" s="222">
        <v>4</v>
      </c>
      <c r="J1279" s="223"/>
      <c r="K1279" s="223"/>
      <c r="L1279" s="223"/>
      <c r="M1279" s="223"/>
      <c r="N1279" s="223"/>
      <c r="O1279" s="224"/>
      <c r="P1279" s="224"/>
      <c r="Q1279" s="224"/>
      <c r="R1279" s="224"/>
      <c r="S1279" s="225"/>
    </row>
    <row r="1280" spans="1:19" ht="15" customHeight="1">
      <c r="A1280" s="413">
        <f t="shared" si="28"/>
        <v>1280</v>
      </c>
      <c r="B1280" s="52">
        <v>210</v>
      </c>
      <c r="C1280" s="219" t="s">
        <v>1670</v>
      </c>
      <c r="D1280" s="220" t="s">
        <v>1403</v>
      </c>
      <c r="E1280" s="221"/>
      <c r="F1280" s="53" t="s">
        <v>54</v>
      </c>
      <c r="G1280" s="214" t="s">
        <v>1861</v>
      </c>
      <c r="H1280" s="53" t="s">
        <v>1680</v>
      </c>
      <c r="I1280" s="222">
        <v>581</v>
      </c>
      <c r="J1280" s="223"/>
      <c r="K1280" s="223"/>
      <c r="L1280" s="223"/>
      <c r="M1280" s="223">
        <v>120</v>
      </c>
      <c r="N1280" s="223"/>
      <c r="O1280" s="224"/>
      <c r="P1280" s="224">
        <v>151</v>
      </c>
      <c r="Q1280" s="224"/>
      <c r="R1280" s="224"/>
      <c r="S1280" s="225"/>
    </row>
    <row r="1281" spans="1:19" ht="15" customHeight="1">
      <c r="A1281" s="413">
        <f t="shared" si="28"/>
        <v>1281</v>
      </c>
      <c r="B1281" s="52">
        <v>210</v>
      </c>
      <c r="C1281" s="219" t="s">
        <v>1670</v>
      </c>
      <c r="D1281" s="220" t="s">
        <v>1403</v>
      </c>
      <c r="E1281" s="221"/>
      <c r="F1281" s="53" t="s">
        <v>97</v>
      </c>
      <c r="G1281" s="214" t="s">
        <v>1863</v>
      </c>
      <c r="H1281" s="53" t="s">
        <v>1677</v>
      </c>
      <c r="I1281" s="222">
        <v>77</v>
      </c>
      <c r="J1281" s="223"/>
      <c r="K1281" s="223"/>
      <c r="L1281" s="223"/>
      <c r="M1281" s="223"/>
      <c r="N1281" s="223"/>
      <c r="O1281" s="224"/>
      <c r="P1281" s="224"/>
      <c r="Q1281" s="224"/>
      <c r="R1281" s="224"/>
      <c r="S1281" s="225"/>
    </row>
    <row r="1282" spans="1:19" ht="15" customHeight="1">
      <c r="A1282" s="413">
        <f t="shared" si="28"/>
        <v>1282</v>
      </c>
      <c r="B1282" s="52">
        <v>210</v>
      </c>
      <c r="C1282" s="219" t="s">
        <v>1670</v>
      </c>
      <c r="D1282" s="220" t="s">
        <v>1403</v>
      </c>
      <c r="E1282" s="221"/>
      <c r="F1282" s="53" t="s">
        <v>1</v>
      </c>
      <c r="G1282" s="214" t="s">
        <v>66</v>
      </c>
      <c r="H1282" s="53" t="s">
        <v>1678</v>
      </c>
      <c r="I1282" s="222">
        <v>4</v>
      </c>
      <c r="J1282" s="223"/>
      <c r="K1282" s="223"/>
      <c r="L1282" s="223"/>
      <c r="M1282" s="223">
        <v>19</v>
      </c>
      <c r="N1282" s="223"/>
      <c r="O1282" s="224"/>
      <c r="P1282" s="224"/>
      <c r="Q1282" s="224"/>
      <c r="R1282" s="224"/>
      <c r="S1282" s="225"/>
    </row>
    <row r="1283" spans="1:19" ht="15" customHeight="1">
      <c r="A1283" s="413">
        <f t="shared" ref="A1283:A1346" si="29">1+A1282</f>
        <v>1283</v>
      </c>
      <c r="B1283" s="52">
        <v>211</v>
      </c>
      <c r="C1283" s="219" t="s">
        <v>1671</v>
      </c>
      <c r="D1283" s="220" t="s">
        <v>1403</v>
      </c>
      <c r="E1283" s="221"/>
      <c r="F1283" s="53" t="s">
        <v>54</v>
      </c>
      <c r="G1283" s="214" t="s">
        <v>1861</v>
      </c>
      <c r="H1283" s="53" t="s">
        <v>1676</v>
      </c>
      <c r="I1283" s="222">
        <v>334</v>
      </c>
      <c r="J1283" s="223"/>
      <c r="K1283" s="223"/>
      <c r="L1283" s="223">
        <v>40</v>
      </c>
      <c r="M1283" s="223"/>
      <c r="N1283" s="223"/>
      <c r="O1283" s="224"/>
      <c r="P1283" s="224"/>
      <c r="Q1283" s="224"/>
      <c r="R1283" s="224"/>
      <c r="S1283" s="225"/>
    </row>
    <row r="1284" spans="1:19" ht="15" customHeight="1">
      <c r="A1284" s="413">
        <f t="shared" si="29"/>
        <v>1284</v>
      </c>
      <c r="B1284" s="52">
        <v>211</v>
      </c>
      <c r="C1284" s="219" t="s">
        <v>1671</v>
      </c>
      <c r="D1284" s="220" t="s">
        <v>1403</v>
      </c>
      <c r="E1284" s="221"/>
      <c r="F1284" s="53" t="s">
        <v>97</v>
      </c>
      <c r="G1284" s="214" t="s">
        <v>1863</v>
      </c>
      <c r="H1284" s="53" t="s">
        <v>1677</v>
      </c>
      <c r="I1284" s="222">
        <v>60</v>
      </c>
      <c r="J1284" s="223"/>
      <c r="K1284" s="223"/>
      <c r="L1284" s="223"/>
      <c r="M1284" s="223"/>
      <c r="N1284" s="223"/>
      <c r="O1284" s="224"/>
      <c r="P1284" s="224"/>
      <c r="Q1284" s="224"/>
      <c r="R1284" s="224"/>
      <c r="S1284" s="225"/>
    </row>
    <row r="1285" spans="1:19" ht="15" customHeight="1">
      <c r="A1285" s="413">
        <f t="shared" si="29"/>
        <v>1285</v>
      </c>
      <c r="B1285" s="52">
        <v>211</v>
      </c>
      <c r="C1285" s="219" t="s">
        <v>1671</v>
      </c>
      <c r="D1285" s="220" t="s">
        <v>1403</v>
      </c>
      <c r="E1285" s="221"/>
      <c r="F1285" s="53" t="s">
        <v>1</v>
      </c>
      <c r="G1285" s="214" t="s">
        <v>66</v>
      </c>
      <c r="H1285" s="53" t="s">
        <v>1678</v>
      </c>
      <c r="I1285" s="222">
        <v>4</v>
      </c>
      <c r="J1285" s="223"/>
      <c r="K1285" s="223"/>
      <c r="L1285" s="223"/>
      <c r="M1285" s="223"/>
      <c r="N1285" s="223"/>
      <c r="O1285" s="224"/>
      <c r="P1285" s="224"/>
      <c r="Q1285" s="224"/>
      <c r="R1285" s="224"/>
      <c r="S1285" s="225"/>
    </row>
    <row r="1286" spans="1:19" ht="15" customHeight="1">
      <c r="A1286" s="413">
        <f t="shared" si="29"/>
        <v>1286</v>
      </c>
      <c r="B1286" s="52">
        <v>212</v>
      </c>
      <c r="C1286" s="219" t="s">
        <v>1672</v>
      </c>
      <c r="D1286" s="220" t="s">
        <v>1403</v>
      </c>
      <c r="E1286" s="221"/>
      <c r="F1286" s="53" t="s">
        <v>54</v>
      </c>
      <c r="G1286" s="214" t="s">
        <v>1860</v>
      </c>
      <c r="H1286" s="53" t="s">
        <v>1680</v>
      </c>
      <c r="I1286" s="222">
        <v>378</v>
      </c>
      <c r="J1286" s="223"/>
      <c r="K1286" s="223"/>
      <c r="L1286" s="223"/>
      <c r="M1286" s="223"/>
      <c r="N1286" s="223"/>
      <c r="O1286" s="224"/>
      <c r="P1286" s="224"/>
      <c r="Q1286" s="224"/>
      <c r="R1286" s="224"/>
      <c r="S1286" s="225"/>
    </row>
    <row r="1287" spans="1:19" ht="15" customHeight="1">
      <c r="A1287" s="413">
        <f t="shared" si="29"/>
        <v>1287</v>
      </c>
      <c r="B1287" s="52">
        <v>213</v>
      </c>
      <c r="C1287" s="219" t="s">
        <v>1673</v>
      </c>
      <c r="D1287" s="220" t="s">
        <v>1403</v>
      </c>
      <c r="E1287" s="221"/>
      <c r="F1287" s="53" t="s">
        <v>54</v>
      </c>
      <c r="G1287" s="214" t="s">
        <v>1860</v>
      </c>
      <c r="H1287" s="53" t="s">
        <v>1680</v>
      </c>
      <c r="I1287" s="222">
        <v>492</v>
      </c>
      <c r="J1287" s="223"/>
      <c r="K1287" s="223"/>
      <c r="L1287" s="223"/>
      <c r="M1287" s="223"/>
      <c r="N1287" s="223"/>
      <c r="O1287" s="224"/>
      <c r="P1287" s="224"/>
      <c r="Q1287" s="224"/>
      <c r="R1287" s="224"/>
      <c r="S1287" s="225"/>
    </row>
    <row r="1288" spans="1:19" ht="15" customHeight="1">
      <c r="A1288" s="413">
        <f t="shared" si="29"/>
        <v>1288</v>
      </c>
      <c r="B1288" s="52">
        <v>214</v>
      </c>
      <c r="C1288" s="219" t="s">
        <v>1674</v>
      </c>
      <c r="D1288" s="220" t="s">
        <v>1403</v>
      </c>
      <c r="E1288" s="221"/>
      <c r="F1288" s="53" t="s">
        <v>54</v>
      </c>
      <c r="G1288" s="214" t="s">
        <v>1860</v>
      </c>
      <c r="H1288" s="53" t="s">
        <v>1680</v>
      </c>
      <c r="I1288" s="222">
        <v>467</v>
      </c>
      <c r="J1288" s="223"/>
      <c r="K1288" s="223"/>
      <c r="L1288" s="223"/>
      <c r="M1288" s="223"/>
      <c r="N1288" s="223"/>
      <c r="O1288" s="224"/>
      <c r="P1288" s="224"/>
      <c r="Q1288" s="224"/>
      <c r="R1288" s="224"/>
      <c r="S1288" s="225"/>
    </row>
    <row r="1289" spans="1:19" ht="15" customHeight="1">
      <c r="A1289" s="413">
        <f t="shared" si="29"/>
        <v>1289</v>
      </c>
      <c r="B1289" s="52">
        <v>215</v>
      </c>
      <c r="C1289" s="219" t="s">
        <v>1675</v>
      </c>
      <c r="D1289" s="220" t="s">
        <v>1403</v>
      </c>
      <c r="E1289" s="221"/>
      <c r="F1289" s="53" t="s">
        <v>54</v>
      </c>
      <c r="G1289" s="214" t="s">
        <v>1860</v>
      </c>
      <c r="H1289" s="53" t="s">
        <v>1680</v>
      </c>
      <c r="I1289" s="222">
        <v>510</v>
      </c>
      <c r="J1289" s="223"/>
      <c r="K1289" s="223"/>
      <c r="L1289" s="223"/>
      <c r="M1289" s="223"/>
      <c r="N1289" s="223"/>
      <c r="O1289" s="224"/>
      <c r="P1289" s="224"/>
      <c r="Q1289" s="224"/>
      <c r="R1289" s="224"/>
      <c r="S1289" s="225"/>
    </row>
    <row r="1290" spans="1:19" ht="15" customHeight="1">
      <c r="A1290" s="413">
        <f t="shared" si="29"/>
        <v>1290</v>
      </c>
      <c r="B1290" s="52">
        <v>301</v>
      </c>
      <c r="C1290" s="219" t="s">
        <v>1410</v>
      </c>
      <c r="D1290" s="220" t="s">
        <v>1394</v>
      </c>
      <c r="E1290" s="221"/>
      <c r="F1290" s="53" t="s">
        <v>1543</v>
      </c>
      <c r="G1290" s="214" t="s">
        <v>15</v>
      </c>
      <c r="H1290" s="53" t="s">
        <v>68</v>
      </c>
      <c r="I1290" s="222">
        <v>108</v>
      </c>
      <c r="J1290" s="223"/>
      <c r="K1290" s="223"/>
      <c r="L1290" s="223"/>
      <c r="M1290" s="223"/>
      <c r="N1290" s="223"/>
      <c r="O1290" s="224"/>
      <c r="P1290" s="224"/>
      <c r="Q1290" s="224"/>
      <c r="R1290" s="224"/>
      <c r="S1290" s="225"/>
    </row>
    <row r="1291" spans="1:19" ht="15" customHeight="1">
      <c r="A1291" s="413">
        <f t="shared" si="29"/>
        <v>1291</v>
      </c>
      <c r="B1291" s="52">
        <v>301</v>
      </c>
      <c r="C1291" s="219" t="s">
        <v>1410</v>
      </c>
      <c r="D1291" s="220" t="s">
        <v>1394</v>
      </c>
      <c r="E1291" s="221"/>
      <c r="F1291" s="53" t="s">
        <v>1544</v>
      </c>
      <c r="G1291" s="214" t="s">
        <v>1864</v>
      </c>
      <c r="H1291" s="53" t="s">
        <v>1315</v>
      </c>
      <c r="I1291" s="222">
        <v>1400</v>
      </c>
      <c r="J1291" s="223"/>
      <c r="K1291" s="223"/>
      <c r="L1291" s="223"/>
      <c r="M1291" s="223"/>
      <c r="N1291" s="223"/>
      <c r="O1291" s="224"/>
      <c r="P1291" s="224"/>
      <c r="Q1291" s="224"/>
      <c r="R1291" s="224"/>
      <c r="S1291" s="225"/>
    </row>
    <row r="1292" spans="1:19" ht="15" customHeight="1">
      <c r="A1292" s="413">
        <f t="shared" si="29"/>
        <v>1292</v>
      </c>
      <c r="B1292" s="52">
        <v>301</v>
      </c>
      <c r="C1292" s="219" t="s">
        <v>1410</v>
      </c>
      <c r="D1292" s="220" t="s">
        <v>1394</v>
      </c>
      <c r="E1292" s="221"/>
      <c r="F1292" s="53" t="s">
        <v>1545</v>
      </c>
      <c r="G1292" s="214" t="s">
        <v>1693</v>
      </c>
      <c r="H1292" s="53" t="s">
        <v>109</v>
      </c>
      <c r="I1292" s="222">
        <v>20</v>
      </c>
      <c r="J1292" s="223"/>
      <c r="K1292" s="223">
        <v>72</v>
      </c>
      <c r="L1292" s="223"/>
      <c r="M1292" s="223"/>
      <c r="N1292" s="223"/>
      <c r="O1292" s="224"/>
      <c r="P1292" s="224"/>
      <c r="Q1292" s="224">
        <v>20</v>
      </c>
      <c r="R1292" s="224"/>
      <c r="S1292" s="225"/>
    </row>
    <row r="1293" spans="1:19" ht="15" customHeight="1">
      <c r="A1293" s="413">
        <f t="shared" si="29"/>
        <v>1293</v>
      </c>
      <c r="B1293" s="52">
        <v>301</v>
      </c>
      <c r="C1293" s="219" t="s">
        <v>1410</v>
      </c>
      <c r="D1293" s="220" t="s">
        <v>1394</v>
      </c>
      <c r="E1293" s="221"/>
      <c r="F1293" s="53" t="s">
        <v>1546</v>
      </c>
      <c r="G1293" s="214" t="s">
        <v>1746</v>
      </c>
      <c r="H1293" s="53" t="s">
        <v>109</v>
      </c>
      <c r="I1293" s="222">
        <v>2</v>
      </c>
      <c r="J1293" s="223"/>
      <c r="K1293" s="223"/>
      <c r="L1293" s="223">
        <v>19</v>
      </c>
      <c r="M1293" s="223"/>
      <c r="N1293" s="223"/>
      <c r="O1293" s="224"/>
      <c r="P1293" s="224"/>
      <c r="Q1293" s="224"/>
      <c r="R1293" s="224">
        <v>2</v>
      </c>
      <c r="S1293" s="225"/>
    </row>
    <row r="1294" spans="1:19" ht="15" customHeight="1">
      <c r="A1294" s="413">
        <f t="shared" si="29"/>
        <v>1294</v>
      </c>
      <c r="B1294" s="52">
        <v>301</v>
      </c>
      <c r="C1294" s="219" t="s">
        <v>1410</v>
      </c>
      <c r="D1294" s="220" t="s">
        <v>1394</v>
      </c>
      <c r="E1294" s="221"/>
      <c r="F1294" s="53" t="s">
        <v>17</v>
      </c>
      <c r="G1294" s="214" t="s">
        <v>188</v>
      </c>
      <c r="H1294" s="53" t="s">
        <v>109</v>
      </c>
      <c r="I1294" s="222">
        <v>2</v>
      </c>
      <c r="J1294" s="223">
        <v>12</v>
      </c>
      <c r="K1294" s="223"/>
      <c r="L1294" s="223"/>
      <c r="M1294" s="223"/>
      <c r="N1294" s="223"/>
      <c r="O1294" s="224"/>
      <c r="P1294" s="224"/>
      <c r="Q1294" s="224"/>
      <c r="R1294" s="224">
        <v>2</v>
      </c>
      <c r="S1294" s="225"/>
    </row>
    <row r="1295" spans="1:19" ht="15" customHeight="1">
      <c r="A1295" s="413">
        <f t="shared" si="29"/>
        <v>1295</v>
      </c>
      <c r="B1295" s="52">
        <v>301</v>
      </c>
      <c r="C1295" s="219" t="s">
        <v>1410</v>
      </c>
      <c r="D1295" s="220" t="s">
        <v>1394</v>
      </c>
      <c r="E1295" s="221"/>
      <c r="F1295" s="53" t="s">
        <v>70</v>
      </c>
      <c r="G1295" s="214" t="s">
        <v>1800</v>
      </c>
      <c r="H1295" s="53" t="s">
        <v>109</v>
      </c>
      <c r="I1295" s="222">
        <v>2</v>
      </c>
      <c r="J1295" s="223">
        <v>12</v>
      </c>
      <c r="K1295" s="223"/>
      <c r="L1295" s="223"/>
      <c r="M1295" s="223"/>
      <c r="N1295" s="223"/>
      <c r="O1295" s="224"/>
      <c r="P1295" s="224"/>
      <c r="Q1295" s="224"/>
      <c r="R1295" s="224">
        <v>2</v>
      </c>
      <c r="S1295" s="225"/>
    </row>
    <row r="1296" spans="1:19" ht="15" customHeight="1">
      <c r="A1296" s="413">
        <f t="shared" si="29"/>
        <v>1296</v>
      </c>
      <c r="B1296" s="52">
        <v>301</v>
      </c>
      <c r="C1296" s="219" t="s">
        <v>1410</v>
      </c>
      <c r="D1296" s="220" t="s">
        <v>1394</v>
      </c>
      <c r="E1296" s="221"/>
      <c r="F1296" s="53" t="s">
        <v>65</v>
      </c>
      <c r="G1296" s="214" t="s">
        <v>14</v>
      </c>
      <c r="H1296" s="53" t="s">
        <v>109</v>
      </c>
      <c r="I1296" s="222">
        <v>8</v>
      </c>
      <c r="J1296" s="223"/>
      <c r="K1296" s="223">
        <v>26</v>
      </c>
      <c r="L1296" s="223"/>
      <c r="M1296" s="223"/>
      <c r="N1296" s="223"/>
      <c r="O1296" s="224"/>
      <c r="P1296" s="224"/>
      <c r="Q1296" s="224"/>
      <c r="R1296" s="224">
        <v>8</v>
      </c>
      <c r="S1296" s="225"/>
    </row>
    <row r="1297" spans="1:19" ht="15" customHeight="1">
      <c r="A1297" s="413">
        <f t="shared" si="29"/>
        <v>1297</v>
      </c>
      <c r="B1297" s="52">
        <v>301</v>
      </c>
      <c r="C1297" s="219" t="s">
        <v>1410</v>
      </c>
      <c r="D1297" s="220" t="s">
        <v>1394</v>
      </c>
      <c r="E1297" s="221"/>
      <c r="F1297" s="53" t="s">
        <v>65</v>
      </c>
      <c r="G1297" s="214" t="s">
        <v>66</v>
      </c>
      <c r="H1297" s="53" t="s">
        <v>109</v>
      </c>
      <c r="I1297" s="222">
        <v>6</v>
      </c>
      <c r="J1297" s="223"/>
      <c r="K1297" s="223">
        <v>35</v>
      </c>
      <c r="L1297" s="223"/>
      <c r="M1297" s="223"/>
      <c r="N1297" s="223"/>
      <c r="O1297" s="224"/>
      <c r="P1297" s="224"/>
      <c r="Q1297" s="224"/>
      <c r="R1297" s="224">
        <v>6</v>
      </c>
      <c r="S1297" s="225"/>
    </row>
    <row r="1298" spans="1:19" ht="15" customHeight="1">
      <c r="A1298" s="413">
        <f t="shared" si="29"/>
        <v>1298</v>
      </c>
      <c r="B1298" s="52">
        <v>301</v>
      </c>
      <c r="C1298" s="219" t="s">
        <v>1410</v>
      </c>
      <c r="D1298" s="220" t="s">
        <v>1394</v>
      </c>
      <c r="E1298" s="221"/>
      <c r="F1298" s="53" t="s">
        <v>1547</v>
      </c>
      <c r="G1298" s="214" t="s">
        <v>194</v>
      </c>
      <c r="H1298" s="53" t="s">
        <v>75</v>
      </c>
      <c r="I1298" s="222">
        <v>0.5</v>
      </c>
      <c r="J1298" s="223"/>
      <c r="K1298" s="223"/>
      <c r="L1298" s="223">
        <v>3</v>
      </c>
      <c r="M1298" s="223"/>
      <c r="N1298" s="223"/>
      <c r="O1298" s="224"/>
      <c r="P1298" s="224"/>
      <c r="Q1298" s="224"/>
      <c r="R1298" s="224">
        <v>1</v>
      </c>
      <c r="S1298" s="225"/>
    </row>
    <row r="1299" spans="1:19" ht="15" customHeight="1">
      <c r="A1299" s="413">
        <f t="shared" si="29"/>
        <v>1299</v>
      </c>
      <c r="B1299" s="52">
        <v>301</v>
      </c>
      <c r="C1299" s="219" t="s">
        <v>1410</v>
      </c>
      <c r="D1299" s="220" t="s">
        <v>1394</v>
      </c>
      <c r="E1299" s="221"/>
      <c r="F1299" s="53" t="s">
        <v>1548</v>
      </c>
      <c r="G1299" s="214"/>
      <c r="H1299" s="53" t="s">
        <v>1315</v>
      </c>
      <c r="I1299" s="222">
        <v>335</v>
      </c>
      <c r="J1299" s="223"/>
      <c r="K1299" s="223"/>
      <c r="L1299" s="223">
        <v>3</v>
      </c>
      <c r="M1299" s="223"/>
      <c r="N1299" s="223"/>
      <c r="O1299" s="224"/>
      <c r="P1299" s="224"/>
      <c r="Q1299" s="224"/>
      <c r="R1299" s="224"/>
      <c r="S1299" s="225"/>
    </row>
    <row r="1300" spans="1:19" ht="15" customHeight="1">
      <c r="A1300" s="413">
        <f t="shared" si="29"/>
        <v>1300</v>
      </c>
      <c r="B1300" s="52">
        <v>301</v>
      </c>
      <c r="C1300" s="219" t="s">
        <v>1410</v>
      </c>
      <c r="D1300" s="220" t="s">
        <v>1394</v>
      </c>
      <c r="E1300" s="221"/>
      <c r="F1300" s="53" t="s">
        <v>1549</v>
      </c>
      <c r="G1300" s="214" t="s">
        <v>1865</v>
      </c>
      <c r="H1300" s="53" t="s">
        <v>1053</v>
      </c>
      <c r="I1300" s="222">
        <v>5</v>
      </c>
      <c r="J1300" s="223"/>
      <c r="K1300" s="223"/>
      <c r="L1300" s="223"/>
      <c r="M1300" s="223">
        <v>15</v>
      </c>
      <c r="N1300" s="223"/>
      <c r="O1300" s="224"/>
      <c r="P1300" s="224"/>
      <c r="Q1300" s="224"/>
      <c r="R1300" s="224"/>
      <c r="S1300" s="225"/>
    </row>
    <row r="1301" spans="1:19" ht="15" customHeight="1">
      <c r="A1301" s="413">
        <f t="shared" si="29"/>
        <v>1301</v>
      </c>
      <c r="B1301" s="52">
        <v>301</v>
      </c>
      <c r="C1301" s="219" t="s">
        <v>1410</v>
      </c>
      <c r="D1301" s="220" t="s">
        <v>1394</v>
      </c>
      <c r="E1301" s="221"/>
      <c r="F1301" s="53" t="s">
        <v>1550</v>
      </c>
      <c r="G1301" s="214" t="s">
        <v>1866</v>
      </c>
      <c r="H1301" s="53" t="s">
        <v>1053</v>
      </c>
      <c r="I1301" s="222">
        <v>5</v>
      </c>
      <c r="J1301" s="223"/>
      <c r="K1301" s="223"/>
      <c r="L1301" s="223"/>
      <c r="M1301" s="223">
        <v>15</v>
      </c>
      <c r="N1301" s="223"/>
      <c r="O1301" s="224"/>
      <c r="P1301" s="224"/>
      <c r="Q1301" s="224"/>
      <c r="R1301" s="224"/>
      <c r="S1301" s="225"/>
    </row>
    <row r="1302" spans="1:19" ht="15" customHeight="1">
      <c r="A1302" s="413">
        <f t="shared" si="29"/>
        <v>1302</v>
      </c>
      <c r="B1302" s="52">
        <v>302</v>
      </c>
      <c r="C1302" s="219" t="s">
        <v>1393</v>
      </c>
      <c r="D1302" s="220" t="s">
        <v>1394</v>
      </c>
      <c r="E1302" s="221"/>
      <c r="F1302" s="53" t="s">
        <v>1543</v>
      </c>
      <c r="G1302" s="214" t="s">
        <v>15</v>
      </c>
      <c r="H1302" s="53" t="s">
        <v>68</v>
      </c>
      <c r="I1302" s="222">
        <v>48</v>
      </c>
      <c r="J1302" s="223" t="s">
        <v>316</v>
      </c>
      <c r="K1302" s="223"/>
      <c r="L1302" s="223"/>
      <c r="M1302" s="223"/>
      <c r="N1302" s="223"/>
      <c r="O1302" s="224"/>
      <c r="P1302" s="224"/>
      <c r="Q1302" s="224"/>
      <c r="R1302" s="224"/>
      <c r="S1302" s="225"/>
    </row>
    <row r="1303" spans="1:19" ht="15" customHeight="1">
      <c r="A1303" s="413">
        <f t="shared" si="29"/>
        <v>1303</v>
      </c>
      <c r="B1303" s="52">
        <v>302</v>
      </c>
      <c r="C1303" s="219" t="s">
        <v>1393</v>
      </c>
      <c r="D1303" s="220" t="s">
        <v>1394</v>
      </c>
      <c r="E1303" s="221"/>
      <c r="F1303" s="53" t="s">
        <v>1544</v>
      </c>
      <c r="G1303" s="214" t="s">
        <v>1864</v>
      </c>
      <c r="H1303" s="53" t="s">
        <v>12</v>
      </c>
      <c r="I1303" s="222">
        <v>1178</v>
      </c>
      <c r="J1303" s="223"/>
      <c r="K1303" s="223"/>
      <c r="L1303" s="223"/>
      <c r="M1303" s="223"/>
      <c r="N1303" s="223"/>
      <c r="O1303" s="224"/>
      <c r="P1303" s="224"/>
      <c r="Q1303" s="224"/>
      <c r="R1303" s="224"/>
      <c r="S1303" s="225"/>
    </row>
    <row r="1304" spans="1:19" ht="15" customHeight="1">
      <c r="A1304" s="413">
        <f t="shared" si="29"/>
        <v>1304</v>
      </c>
      <c r="B1304" s="52">
        <v>302</v>
      </c>
      <c r="C1304" s="219" t="s">
        <v>1393</v>
      </c>
      <c r="D1304" s="220" t="s">
        <v>1394</v>
      </c>
      <c r="E1304" s="221"/>
      <c r="F1304" s="53" t="s">
        <v>1551</v>
      </c>
      <c r="G1304" s="214" t="s">
        <v>16</v>
      </c>
      <c r="H1304" s="53" t="s">
        <v>176</v>
      </c>
      <c r="I1304" s="222">
        <v>35</v>
      </c>
      <c r="J1304" s="223">
        <v>20</v>
      </c>
      <c r="K1304" s="223">
        <v>19</v>
      </c>
      <c r="L1304" s="223">
        <v>10</v>
      </c>
      <c r="M1304" s="223"/>
      <c r="N1304" s="223"/>
      <c r="O1304" s="224"/>
      <c r="P1304" s="224"/>
      <c r="Q1304" s="224"/>
      <c r="R1304" s="224">
        <v>35</v>
      </c>
      <c r="S1304" s="225" t="s">
        <v>1552</v>
      </c>
    </row>
    <row r="1305" spans="1:19" ht="15" customHeight="1">
      <c r="A1305" s="413">
        <f t="shared" si="29"/>
        <v>1305</v>
      </c>
      <c r="B1305" s="52">
        <v>302</v>
      </c>
      <c r="C1305" s="219" t="s">
        <v>1393</v>
      </c>
      <c r="D1305" s="220" t="s">
        <v>1394</v>
      </c>
      <c r="E1305" s="221"/>
      <c r="F1305" s="53" t="s">
        <v>18</v>
      </c>
      <c r="G1305" s="214" t="s">
        <v>1867</v>
      </c>
      <c r="H1305" s="53" t="s">
        <v>1312</v>
      </c>
      <c r="I1305" s="222">
        <v>29</v>
      </c>
      <c r="J1305" s="223"/>
      <c r="K1305" s="223"/>
      <c r="L1305" s="223"/>
      <c r="M1305" s="223">
        <v>20</v>
      </c>
      <c r="N1305" s="223"/>
      <c r="O1305" s="224"/>
      <c r="P1305" s="224"/>
      <c r="Q1305" s="224"/>
      <c r="R1305" s="224"/>
      <c r="S1305" s="225"/>
    </row>
    <row r="1306" spans="1:19" ht="15" customHeight="1">
      <c r="A1306" s="413">
        <f t="shared" si="29"/>
        <v>1306</v>
      </c>
      <c r="B1306" s="52">
        <v>302</v>
      </c>
      <c r="C1306" s="219" t="s">
        <v>1393</v>
      </c>
      <c r="D1306" s="220" t="s">
        <v>1394</v>
      </c>
      <c r="E1306" s="221"/>
      <c r="F1306" s="53" t="s">
        <v>1553</v>
      </c>
      <c r="G1306" s="214" t="s">
        <v>63</v>
      </c>
      <c r="H1306" s="53" t="s">
        <v>109</v>
      </c>
      <c r="I1306" s="222">
        <v>181</v>
      </c>
      <c r="J1306" s="223">
        <v>13</v>
      </c>
      <c r="K1306" s="223">
        <v>98</v>
      </c>
      <c r="L1306" s="223"/>
      <c r="M1306" s="223">
        <v>8</v>
      </c>
      <c r="N1306" s="223"/>
      <c r="O1306" s="224"/>
      <c r="P1306" s="224"/>
      <c r="Q1306" s="224"/>
      <c r="R1306" s="224">
        <v>181</v>
      </c>
      <c r="S1306" s="225" t="s">
        <v>1554</v>
      </c>
    </row>
    <row r="1307" spans="1:19" ht="15" customHeight="1">
      <c r="A1307" s="413">
        <f t="shared" si="29"/>
        <v>1307</v>
      </c>
      <c r="B1307" s="52">
        <v>302</v>
      </c>
      <c r="C1307" s="219" t="s">
        <v>1393</v>
      </c>
      <c r="D1307" s="220" t="s">
        <v>1394</v>
      </c>
      <c r="E1307" s="221"/>
      <c r="F1307" s="53" t="s">
        <v>1555</v>
      </c>
      <c r="G1307" s="214" t="s">
        <v>1693</v>
      </c>
      <c r="H1307" s="53" t="s">
        <v>12</v>
      </c>
      <c r="I1307" s="222">
        <v>10</v>
      </c>
      <c r="J1307" s="223"/>
      <c r="K1307" s="223"/>
      <c r="L1307" s="223">
        <v>53</v>
      </c>
      <c r="M1307" s="223"/>
      <c r="N1307" s="223"/>
      <c r="O1307" s="224"/>
      <c r="P1307" s="224">
        <v>10</v>
      </c>
      <c r="Q1307" s="224"/>
      <c r="R1307" s="224"/>
      <c r="S1307" s="225" t="s">
        <v>317</v>
      </c>
    </row>
    <row r="1308" spans="1:19" ht="15" customHeight="1">
      <c r="A1308" s="413">
        <f t="shared" si="29"/>
        <v>1308</v>
      </c>
      <c r="B1308" s="52">
        <v>302</v>
      </c>
      <c r="C1308" s="219" t="s">
        <v>1393</v>
      </c>
      <c r="D1308" s="220" t="s">
        <v>1394</v>
      </c>
      <c r="E1308" s="221"/>
      <c r="F1308" s="53" t="s">
        <v>1556</v>
      </c>
      <c r="G1308" s="214" t="s">
        <v>14</v>
      </c>
      <c r="H1308" s="53" t="s">
        <v>109</v>
      </c>
      <c r="I1308" s="222">
        <v>30</v>
      </c>
      <c r="J1308" s="223"/>
      <c r="K1308" s="223">
        <v>45</v>
      </c>
      <c r="L1308" s="223"/>
      <c r="M1308" s="223"/>
      <c r="N1308" s="223"/>
      <c r="O1308" s="224"/>
      <c r="P1308" s="224"/>
      <c r="Q1308" s="224">
        <v>30</v>
      </c>
      <c r="R1308" s="224"/>
      <c r="S1308" s="225"/>
    </row>
    <row r="1309" spans="1:19" ht="15" customHeight="1">
      <c r="A1309" s="413">
        <f t="shared" si="29"/>
        <v>1309</v>
      </c>
      <c r="B1309" s="52">
        <v>302</v>
      </c>
      <c r="C1309" s="219" t="s">
        <v>1393</v>
      </c>
      <c r="D1309" s="220" t="s">
        <v>1394</v>
      </c>
      <c r="E1309" s="221"/>
      <c r="F1309" s="53" t="s">
        <v>1557</v>
      </c>
      <c r="G1309" s="214" t="s">
        <v>66</v>
      </c>
      <c r="H1309" s="53" t="s">
        <v>109</v>
      </c>
      <c r="I1309" s="222">
        <v>45</v>
      </c>
      <c r="J1309" s="223"/>
      <c r="K1309" s="223">
        <v>88</v>
      </c>
      <c r="L1309" s="223"/>
      <c r="M1309" s="223"/>
      <c r="N1309" s="223"/>
      <c r="O1309" s="224"/>
      <c r="P1309" s="224"/>
      <c r="Q1309" s="224">
        <v>45</v>
      </c>
      <c r="R1309" s="224"/>
      <c r="S1309" s="225"/>
    </row>
    <row r="1310" spans="1:19" ht="15" customHeight="1">
      <c r="A1310" s="413">
        <f t="shared" si="29"/>
        <v>1310</v>
      </c>
      <c r="B1310" s="52">
        <v>302</v>
      </c>
      <c r="C1310" s="219" t="s">
        <v>1393</v>
      </c>
      <c r="D1310" s="220" t="s">
        <v>1394</v>
      </c>
      <c r="E1310" s="221"/>
      <c r="F1310" s="53" t="s">
        <v>1558</v>
      </c>
      <c r="G1310" s="214" t="s">
        <v>1802</v>
      </c>
      <c r="H1310" s="53" t="s">
        <v>1053</v>
      </c>
      <c r="I1310" s="222">
        <v>5</v>
      </c>
      <c r="J1310" s="223"/>
      <c r="K1310" s="223"/>
      <c r="L1310" s="223"/>
      <c r="M1310" s="223">
        <v>15</v>
      </c>
      <c r="N1310" s="223"/>
      <c r="O1310" s="224"/>
      <c r="P1310" s="224"/>
      <c r="Q1310" s="224"/>
      <c r="R1310" s="224"/>
      <c r="S1310" s="225"/>
    </row>
    <row r="1311" spans="1:19" ht="15" customHeight="1">
      <c r="A1311" s="413">
        <f t="shared" si="29"/>
        <v>1311</v>
      </c>
      <c r="B1311" s="52">
        <v>303</v>
      </c>
      <c r="C1311" s="219" t="s">
        <v>133</v>
      </c>
      <c r="D1311" s="220" t="s">
        <v>1394</v>
      </c>
      <c r="E1311" s="221"/>
      <c r="F1311" s="53" t="s">
        <v>1559</v>
      </c>
      <c r="G1311" s="214" t="s">
        <v>15</v>
      </c>
      <c r="H1311" s="53" t="s">
        <v>68</v>
      </c>
      <c r="I1311" s="222">
        <v>104</v>
      </c>
      <c r="J1311" s="223" t="s">
        <v>1560</v>
      </c>
      <c r="K1311" s="223"/>
      <c r="L1311" s="223"/>
      <c r="M1311" s="223"/>
      <c r="N1311" s="223"/>
      <c r="O1311" s="224"/>
      <c r="P1311" s="224"/>
      <c r="Q1311" s="224"/>
      <c r="R1311" s="224"/>
      <c r="S1311" s="225"/>
    </row>
    <row r="1312" spans="1:19" ht="15" customHeight="1">
      <c r="A1312" s="413">
        <f t="shared" si="29"/>
        <v>1312</v>
      </c>
      <c r="B1312" s="52">
        <v>303</v>
      </c>
      <c r="C1312" s="219" t="s">
        <v>133</v>
      </c>
      <c r="D1312" s="220" t="s">
        <v>1394</v>
      </c>
      <c r="E1312" s="221"/>
      <c r="F1312" s="53" t="s">
        <v>1544</v>
      </c>
      <c r="G1312" s="214" t="s">
        <v>1864</v>
      </c>
      <c r="H1312" s="53" t="s">
        <v>12</v>
      </c>
      <c r="I1312" s="222">
        <v>731</v>
      </c>
      <c r="J1312" s="223"/>
      <c r="K1312" s="223"/>
      <c r="L1312" s="223"/>
      <c r="M1312" s="223"/>
      <c r="N1312" s="223"/>
      <c r="O1312" s="224"/>
      <c r="P1312" s="224"/>
      <c r="Q1312" s="224"/>
      <c r="R1312" s="224"/>
      <c r="S1312" s="225"/>
    </row>
    <row r="1313" spans="1:19" ht="15" customHeight="1">
      <c r="A1313" s="413">
        <f t="shared" si="29"/>
        <v>1313</v>
      </c>
      <c r="B1313" s="52">
        <v>303</v>
      </c>
      <c r="C1313" s="219" t="s">
        <v>133</v>
      </c>
      <c r="D1313" s="220" t="s">
        <v>1394</v>
      </c>
      <c r="E1313" s="221"/>
      <c r="F1313" s="53" t="s">
        <v>1544</v>
      </c>
      <c r="G1313" s="214" t="s">
        <v>197</v>
      </c>
      <c r="H1313" s="53" t="s">
        <v>12</v>
      </c>
      <c r="I1313" s="222">
        <v>803</v>
      </c>
      <c r="J1313" s="223"/>
      <c r="K1313" s="223"/>
      <c r="L1313" s="223"/>
      <c r="M1313" s="223"/>
      <c r="N1313" s="223"/>
      <c r="O1313" s="224"/>
      <c r="P1313" s="224"/>
      <c r="Q1313" s="224"/>
      <c r="R1313" s="224"/>
      <c r="S1313" s="225"/>
    </row>
    <row r="1314" spans="1:19" ht="15" customHeight="1">
      <c r="A1314" s="413">
        <f t="shared" si="29"/>
        <v>1314</v>
      </c>
      <c r="B1314" s="52">
        <v>303</v>
      </c>
      <c r="C1314" s="219" t="s">
        <v>133</v>
      </c>
      <c r="D1314" s="220" t="s">
        <v>1394</v>
      </c>
      <c r="E1314" s="221"/>
      <c r="F1314" s="53" t="s">
        <v>67</v>
      </c>
      <c r="G1314" s="214" t="s">
        <v>1868</v>
      </c>
      <c r="H1314" s="53" t="s">
        <v>1561</v>
      </c>
      <c r="I1314" s="222">
        <v>47</v>
      </c>
      <c r="J1314" s="223"/>
      <c r="K1314" s="223"/>
      <c r="L1314" s="223"/>
      <c r="M1314" s="223"/>
      <c r="N1314" s="223"/>
      <c r="O1314" s="224"/>
      <c r="P1314" s="224"/>
      <c r="Q1314" s="224"/>
      <c r="R1314" s="224"/>
      <c r="S1314" s="225"/>
    </row>
    <row r="1315" spans="1:19" ht="15" customHeight="1">
      <c r="A1315" s="413">
        <f t="shared" si="29"/>
        <v>1315</v>
      </c>
      <c r="B1315" s="52">
        <v>303</v>
      </c>
      <c r="C1315" s="219" t="s">
        <v>133</v>
      </c>
      <c r="D1315" s="220" t="s">
        <v>1394</v>
      </c>
      <c r="E1315" s="221"/>
      <c r="F1315" s="53" t="s">
        <v>1544</v>
      </c>
      <c r="G1315" s="214" t="s">
        <v>1869</v>
      </c>
      <c r="H1315" s="53" t="s">
        <v>12</v>
      </c>
      <c r="I1315" s="222">
        <v>122</v>
      </c>
      <c r="J1315" s="223"/>
      <c r="K1315" s="223"/>
      <c r="L1315" s="223"/>
      <c r="M1315" s="223"/>
      <c r="N1315" s="223"/>
      <c r="O1315" s="224"/>
      <c r="P1315" s="224"/>
      <c r="Q1315" s="224"/>
      <c r="R1315" s="224"/>
      <c r="S1315" s="225"/>
    </row>
    <row r="1316" spans="1:19" ht="15" customHeight="1">
      <c r="A1316" s="413">
        <f t="shared" si="29"/>
        <v>1316</v>
      </c>
      <c r="B1316" s="52">
        <v>303</v>
      </c>
      <c r="C1316" s="219" t="s">
        <v>133</v>
      </c>
      <c r="D1316" s="220" t="s">
        <v>1394</v>
      </c>
      <c r="E1316" s="221"/>
      <c r="F1316" s="53" t="s">
        <v>1562</v>
      </c>
      <c r="G1316" s="214" t="s">
        <v>1870</v>
      </c>
      <c r="H1316" s="53" t="s">
        <v>109</v>
      </c>
      <c r="I1316" s="222">
        <v>49</v>
      </c>
      <c r="J1316" s="223"/>
      <c r="K1316" s="223">
        <v>32</v>
      </c>
      <c r="L1316" s="223">
        <v>26</v>
      </c>
      <c r="M1316" s="223"/>
      <c r="N1316" s="223"/>
      <c r="O1316" s="224"/>
      <c r="P1316" s="224"/>
      <c r="Q1316" s="224"/>
      <c r="R1316" s="224">
        <v>49</v>
      </c>
      <c r="S1316" s="225"/>
    </row>
    <row r="1317" spans="1:19" ht="15" customHeight="1">
      <c r="A1317" s="413">
        <f t="shared" si="29"/>
        <v>1317</v>
      </c>
      <c r="B1317" s="52">
        <v>303</v>
      </c>
      <c r="C1317" s="219" t="s">
        <v>133</v>
      </c>
      <c r="D1317" s="220" t="s">
        <v>1394</v>
      </c>
      <c r="E1317" s="221"/>
      <c r="F1317" s="53" t="s">
        <v>18</v>
      </c>
      <c r="G1317" s="214" t="s">
        <v>1867</v>
      </c>
      <c r="H1317" s="53" t="s">
        <v>1312</v>
      </c>
      <c r="I1317" s="222">
        <v>31</v>
      </c>
      <c r="J1317" s="223"/>
      <c r="K1317" s="223"/>
      <c r="L1317" s="223"/>
      <c r="M1317" s="223"/>
      <c r="N1317" s="223"/>
      <c r="O1317" s="224"/>
      <c r="P1317" s="224"/>
      <c r="Q1317" s="224"/>
      <c r="R1317" s="224"/>
      <c r="S1317" s="225"/>
    </row>
    <row r="1318" spans="1:19" ht="15" customHeight="1">
      <c r="A1318" s="413">
        <f t="shared" si="29"/>
        <v>1318</v>
      </c>
      <c r="B1318" s="52">
        <v>303</v>
      </c>
      <c r="C1318" s="219" t="s">
        <v>133</v>
      </c>
      <c r="D1318" s="220" t="s">
        <v>1394</v>
      </c>
      <c r="E1318" s="221"/>
      <c r="F1318" s="53" t="s">
        <v>18</v>
      </c>
      <c r="G1318" s="214"/>
      <c r="H1318" s="53" t="s">
        <v>1312</v>
      </c>
      <c r="I1318" s="222">
        <v>31</v>
      </c>
      <c r="J1318" s="223"/>
      <c r="K1318" s="223"/>
      <c r="L1318" s="223"/>
      <c r="M1318" s="223"/>
      <c r="N1318" s="223"/>
      <c r="O1318" s="224"/>
      <c r="P1318" s="224"/>
      <c r="Q1318" s="224"/>
      <c r="R1318" s="224"/>
      <c r="S1318" s="225"/>
    </row>
    <row r="1319" spans="1:19" ht="15" customHeight="1">
      <c r="A1319" s="413">
        <f t="shared" si="29"/>
        <v>1319</v>
      </c>
      <c r="B1319" s="52">
        <v>303</v>
      </c>
      <c r="C1319" s="219" t="s">
        <v>133</v>
      </c>
      <c r="D1319" s="220" t="s">
        <v>1394</v>
      </c>
      <c r="E1319" s="221"/>
      <c r="F1319" s="53" t="s">
        <v>1563</v>
      </c>
      <c r="G1319" s="214" t="s">
        <v>16</v>
      </c>
      <c r="H1319" s="53" t="s">
        <v>109</v>
      </c>
      <c r="I1319" s="222">
        <v>1013</v>
      </c>
      <c r="J1319" s="223">
        <v>92</v>
      </c>
      <c r="K1319" s="223">
        <v>59</v>
      </c>
      <c r="L1319" s="223"/>
      <c r="M1319" s="223"/>
      <c r="N1319" s="223"/>
      <c r="O1319" s="224"/>
      <c r="P1319" s="224"/>
      <c r="Q1319" s="224"/>
      <c r="R1319" s="224">
        <v>119</v>
      </c>
      <c r="S1319" s="225" t="s">
        <v>1564</v>
      </c>
    </row>
    <row r="1320" spans="1:19" ht="15" customHeight="1">
      <c r="A1320" s="413">
        <f t="shared" si="29"/>
        <v>1320</v>
      </c>
      <c r="B1320" s="52">
        <v>303</v>
      </c>
      <c r="C1320" s="219" t="s">
        <v>133</v>
      </c>
      <c r="D1320" s="220" t="s">
        <v>1394</v>
      </c>
      <c r="E1320" s="221"/>
      <c r="F1320" s="53" t="s">
        <v>1565</v>
      </c>
      <c r="G1320" s="214" t="s">
        <v>1871</v>
      </c>
      <c r="H1320" s="53" t="s">
        <v>12</v>
      </c>
      <c r="I1320" s="222">
        <v>7</v>
      </c>
      <c r="J1320" s="223"/>
      <c r="K1320" s="223"/>
      <c r="L1320" s="223">
        <v>25</v>
      </c>
      <c r="M1320" s="223"/>
      <c r="N1320" s="223"/>
      <c r="O1320" s="224"/>
      <c r="P1320" s="224"/>
      <c r="Q1320" s="224">
        <v>7</v>
      </c>
      <c r="R1320" s="224"/>
      <c r="S1320" s="225"/>
    </row>
    <row r="1321" spans="1:19" ht="15" customHeight="1">
      <c r="A1321" s="413">
        <f t="shared" si="29"/>
        <v>1321</v>
      </c>
      <c r="B1321" s="52">
        <v>303</v>
      </c>
      <c r="C1321" s="219" t="s">
        <v>133</v>
      </c>
      <c r="D1321" s="220" t="s">
        <v>1394</v>
      </c>
      <c r="E1321" s="221"/>
      <c r="F1321" s="53" t="s">
        <v>1545</v>
      </c>
      <c r="G1321" s="214" t="s">
        <v>1693</v>
      </c>
      <c r="H1321" s="53" t="s">
        <v>12</v>
      </c>
      <c r="I1321" s="222">
        <v>17</v>
      </c>
      <c r="J1321" s="223"/>
      <c r="K1321" s="223"/>
      <c r="L1321" s="223">
        <v>45</v>
      </c>
      <c r="M1321" s="223"/>
      <c r="N1321" s="223"/>
      <c r="O1321" s="224"/>
      <c r="P1321" s="224"/>
      <c r="Q1321" s="224">
        <v>17</v>
      </c>
      <c r="R1321" s="224"/>
      <c r="S1321" s="225"/>
    </row>
    <row r="1322" spans="1:19" ht="15" customHeight="1">
      <c r="A1322" s="413">
        <f t="shared" si="29"/>
        <v>1322</v>
      </c>
      <c r="B1322" s="52">
        <v>303</v>
      </c>
      <c r="C1322" s="219" t="s">
        <v>133</v>
      </c>
      <c r="D1322" s="220" t="s">
        <v>1394</v>
      </c>
      <c r="E1322" s="221"/>
      <c r="F1322" s="53" t="s">
        <v>1546</v>
      </c>
      <c r="G1322" s="214" t="s">
        <v>1746</v>
      </c>
      <c r="H1322" s="53" t="s">
        <v>12</v>
      </c>
      <c r="I1322" s="222">
        <v>9</v>
      </c>
      <c r="J1322" s="223"/>
      <c r="K1322" s="223"/>
      <c r="L1322" s="223">
        <v>30</v>
      </c>
      <c r="M1322" s="223"/>
      <c r="N1322" s="223"/>
      <c r="O1322" s="224"/>
      <c r="P1322" s="224"/>
      <c r="Q1322" s="224">
        <v>9</v>
      </c>
      <c r="R1322" s="224"/>
      <c r="S1322" s="225"/>
    </row>
    <row r="1323" spans="1:19" ht="15" customHeight="1">
      <c r="A1323" s="413">
        <f t="shared" si="29"/>
        <v>1323</v>
      </c>
      <c r="B1323" s="52">
        <v>303</v>
      </c>
      <c r="C1323" s="219" t="s">
        <v>133</v>
      </c>
      <c r="D1323" s="220" t="s">
        <v>1394</v>
      </c>
      <c r="E1323" s="221"/>
      <c r="F1323" s="53" t="s">
        <v>291</v>
      </c>
      <c r="G1323" s="214" t="s">
        <v>1872</v>
      </c>
      <c r="H1323" s="53" t="s">
        <v>12</v>
      </c>
      <c r="I1323" s="222">
        <v>4</v>
      </c>
      <c r="J1323" s="223"/>
      <c r="K1323" s="223"/>
      <c r="L1323" s="223">
        <v>25</v>
      </c>
      <c r="M1323" s="223"/>
      <c r="N1323" s="223"/>
      <c r="O1323" s="224"/>
      <c r="P1323" s="224"/>
      <c r="Q1323" s="224">
        <v>4</v>
      </c>
      <c r="R1323" s="224"/>
      <c r="S1323" s="225"/>
    </row>
    <row r="1324" spans="1:19" ht="15" customHeight="1">
      <c r="A1324" s="413">
        <f t="shared" si="29"/>
        <v>1324</v>
      </c>
      <c r="B1324" s="52">
        <v>303</v>
      </c>
      <c r="C1324" s="219" t="s">
        <v>133</v>
      </c>
      <c r="D1324" s="220" t="s">
        <v>1394</v>
      </c>
      <c r="E1324" s="221"/>
      <c r="F1324" s="53" t="s">
        <v>291</v>
      </c>
      <c r="G1324" s="214" t="s">
        <v>1873</v>
      </c>
      <c r="H1324" s="53" t="s">
        <v>160</v>
      </c>
      <c r="I1324" s="222">
        <v>16</v>
      </c>
      <c r="J1324" s="223"/>
      <c r="K1324" s="223"/>
      <c r="L1324" s="223">
        <v>40</v>
      </c>
      <c r="M1324" s="223"/>
      <c r="N1324" s="223"/>
      <c r="O1324" s="224"/>
      <c r="P1324" s="224"/>
      <c r="Q1324" s="224">
        <v>16</v>
      </c>
      <c r="R1324" s="224"/>
      <c r="S1324" s="225"/>
    </row>
    <row r="1325" spans="1:19" ht="15" customHeight="1">
      <c r="A1325" s="413">
        <f t="shared" si="29"/>
        <v>1325</v>
      </c>
      <c r="B1325" s="52">
        <v>303</v>
      </c>
      <c r="C1325" s="219" t="s">
        <v>133</v>
      </c>
      <c r="D1325" s="220" t="s">
        <v>1394</v>
      </c>
      <c r="E1325" s="221"/>
      <c r="F1325" s="53" t="s">
        <v>291</v>
      </c>
      <c r="G1325" s="214" t="s">
        <v>1874</v>
      </c>
      <c r="H1325" s="53" t="s">
        <v>160</v>
      </c>
      <c r="I1325" s="222">
        <v>7</v>
      </c>
      <c r="J1325" s="223"/>
      <c r="K1325" s="223"/>
      <c r="L1325" s="223">
        <v>36</v>
      </c>
      <c r="M1325" s="223"/>
      <c r="N1325" s="223"/>
      <c r="O1325" s="224"/>
      <c r="P1325" s="224"/>
      <c r="Q1325" s="224">
        <v>7</v>
      </c>
      <c r="R1325" s="224"/>
      <c r="S1325" s="225"/>
    </row>
    <row r="1326" spans="1:19" ht="15" customHeight="1">
      <c r="A1326" s="413">
        <f t="shared" si="29"/>
        <v>1326</v>
      </c>
      <c r="B1326" s="52">
        <v>303</v>
      </c>
      <c r="C1326" s="219" t="s">
        <v>133</v>
      </c>
      <c r="D1326" s="220" t="s">
        <v>1394</v>
      </c>
      <c r="E1326" s="221"/>
      <c r="F1326" s="53" t="s">
        <v>70</v>
      </c>
      <c r="G1326" s="214" t="s">
        <v>1800</v>
      </c>
      <c r="H1326" s="53" t="s">
        <v>109</v>
      </c>
      <c r="I1326" s="222">
        <v>6</v>
      </c>
      <c r="J1326" s="223">
        <v>2</v>
      </c>
      <c r="K1326" s="223">
        <v>38</v>
      </c>
      <c r="L1326" s="223"/>
      <c r="M1326" s="223"/>
      <c r="N1326" s="223"/>
      <c r="O1326" s="224"/>
      <c r="P1326" s="224"/>
      <c r="Q1326" s="224">
        <v>6</v>
      </c>
      <c r="R1326" s="224"/>
      <c r="S1326" s="225"/>
    </row>
    <row r="1327" spans="1:19" ht="15" customHeight="1">
      <c r="A1327" s="413">
        <f t="shared" si="29"/>
        <v>1327</v>
      </c>
      <c r="B1327" s="52">
        <v>303</v>
      </c>
      <c r="C1327" s="219" t="s">
        <v>133</v>
      </c>
      <c r="D1327" s="220" t="s">
        <v>1394</v>
      </c>
      <c r="E1327" s="221"/>
      <c r="F1327" s="53" t="s">
        <v>1566</v>
      </c>
      <c r="G1327" s="214" t="s">
        <v>14</v>
      </c>
      <c r="H1327" s="53" t="s">
        <v>109</v>
      </c>
      <c r="I1327" s="222">
        <v>64</v>
      </c>
      <c r="J1327" s="223"/>
      <c r="K1327" s="223">
        <v>195</v>
      </c>
      <c r="L1327" s="223"/>
      <c r="M1327" s="223"/>
      <c r="N1327" s="223"/>
      <c r="O1327" s="224"/>
      <c r="P1327" s="224"/>
      <c r="Q1327" s="224">
        <v>64</v>
      </c>
      <c r="R1327" s="224"/>
      <c r="S1327" s="225"/>
    </row>
    <row r="1328" spans="1:19" ht="15" customHeight="1">
      <c r="A1328" s="413">
        <f t="shared" si="29"/>
        <v>1328</v>
      </c>
      <c r="B1328" s="52">
        <v>303</v>
      </c>
      <c r="C1328" s="219" t="s">
        <v>133</v>
      </c>
      <c r="D1328" s="220" t="s">
        <v>1394</v>
      </c>
      <c r="E1328" s="221"/>
      <c r="F1328" s="53" t="s">
        <v>1566</v>
      </c>
      <c r="G1328" s="214" t="s">
        <v>66</v>
      </c>
      <c r="H1328" s="53" t="s">
        <v>109</v>
      </c>
      <c r="I1328" s="222">
        <v>50</v>
      </c>
      <c r="J1328" s="223"/>
      <c r="K1328" s="223">
        <v>190</v>
      </c>
      <c r="L1328" s="223"/>
      <c r="M1328" s="223"/>
      <c r="N1328" s="223"/>
      <c r="O1328" s="224"/>
      <c r="P1328" s="224"/>
      <c r="Q1328" s="224">
        <v>50</v>
      </c>
      <c r="R1328" s="224"/>
      <c r="S1328" s="225"/>
    </row>
    <row r="1329" spans="1:19" ht="15" customHeight="1">
      <c r="A1329" s="413">
        <f t="shared" si="29"/>
        <v>1329</v>
      </c>
      <c r="B1329" s="52">
        <v>303</v>
      </c>
      <c r="C1329" s="219" t="s">
        <v>133</v>
      </c>
      <c r="D1329" s="220" t="s">
        <v>1394</v>
      </c>
      <c r="E1329" s="221"/>
      <c r="F1329" s="53" t="s">
        <v>1567</v>
      </c>
      <c r="G1329" s="214"/>
      <c r="H1329" s="53" t="s">
        <v>12</v>
      </c>
      <c r="I1329" s="222">
        <v>10</v>
      </c>
      <c r="J1329" s="223"/>
      <c r="K1329" s="223"/>
      <c r="L1329" s="223">
        <v>30</v>
      </c>
      <c r="M1329" s="223"/>
      <c r="N1329" s="223"/>
      <c r="O1329" s="224"/>
      <c r="P1329" s="224">
        <v>10</v>
      </c>
      <c r="Q1329" s="224"/>
      <c r="R1329" s="224"/>
      <c r="S1329" s="225"/>
    </row>
    <row r="1330" spans="1:19" ht="15" customHeight="1">
      <c r="A1330" s="413">
        <f t="shared" si="29"/>
        <v>1330</v>
      </c>
      <c r="B1330" s="52">
        <v>303</v>
      </c>
      <c r="C1330" s="219" t="s">
        <v>133</v>
      </c>
      <c r="D1330" s="220" t="s">
        <v>1394</v>
      </c>
      <c r="E1330" s="221"/>
      <c r="F1330" s="53" t="s">
        <v>1</v>
      </c>
      <c r="G1330" s="214"/>
      <c r="H1330" s="53" t="s">
        <v>1053</v>
      </c>
      <c r="I1330" s="222">
        <v>5</v>
      </c>
      <c r="J1330" s="223"/>
      <c r="K1330" s="223"/>
      <c r="L1330" s="223">
        <v>0</v>
      </c>
      <c r="M1330" s="223"/>
      <c r="N1330" s="223"/>
      <c r="O1330" s="224"/>
      <c r="P1330" s="224"/>
      <c r="Q1330" s="224"/>
      <c r="R1330" s="224"/>
      <c r="S1330" s="225"/>
    </row>
    <row r="1331" spans="1:19" ht="15" customHeight="1">
      <c r="A1331" s="413">
        <f t="shared" si="29"/>
        <v>1331</v>
      </c>
      <c r="B1331" s="52" t="s">
        <v>2057</v>
      </c>
      <c r="C1331" s="153" t="s">
        <v>2053</v>
      </c>
      <c r="D1331" s="220" t="s">
        <v>1394</v>
      </c>
      <c r="E1331" s="221"/>
      <c r="F1331" s="53" t="s">
        <v>1568</v>
      </c>
      <c r="G1331" s="214" t="s">
        <v>1569</v>
      </c>
      <c r="H1331" s="53" t="s">
        <v>1053</v>
      </c>
      <c r="I1331" s="222">
        <v>7</v>
      </c>
      <c r="J1331" s="223"/>
      <c r="K1331" s="223"/>
      <c r="L1331" s="223">
        <v>92</v>
      </c>
      <c r="M1331" s="223"/>
      <c r="N1331" s="223"/>
      <c r="O1331" s="224"/>
      <c r="P1331" s="224"/>
      <c r="Q1331" s="224"/>
      <c r="R1331" s="224"/>
      <c r="S1331" s="225"/>
    </row>
    <row r="1332" spans="1:19" ht="15" customHeight="1">
      <c r="A1332" s="413">
        <f t="shared" si="29"/>
        <v>1332</v>
      </c>
      <c r="B1332" s="52">
        <v>304</v>
      </c>
      <c r="C1332" s="219" t="s">
        <v>1397</v>
      </c>
      <c r="D1332" s="220" t="s">
        <v>1394</v>
      </c>
      <c r="E1332" s="221"/>
      <c r="F1332" s="53" t="s">
        <v>1543</v>
      </c>
      <c r="G1332" s="214" t="s">
        <v>1570</v>
      </c>
      <c r="H1332" s="53" t="s">
        <v>68</v>
      </c>
      <c r="I1332" s="222">
        <v>152</v>
      </c>
      <c r="J1332" s="223"/>
      <c r="K1332" s="223"/>
      <c r="L1332" s="223"/>
      <c r="M1332" s="223"/>
      <c r="N1332" s="223"/>
      <c r="O1332" s="224"/>
      <c r="P1332" s="224"/>
      <c r="Q1332" s="224"/>
      <c r="R1332" s="224"/>
      <c r="S1332" s="225"/>
    </row>
    <row r="1333" spans="1:19" ht="15" customHeight="1">
      <c r="A1333" s="413">
        <f t="shared" si="29"/>
        <v>1333</v>
      </c>
      <c r="B1333" s="52">
        <v>304</v>
      </c>
      <c r="C1333" s="219" t="s">
        <v>1397</v>
      </c>
      <c r="D1333" s="220" t="s">
        <v>1394</v>
      </c>
      <c r="E1333" s="221"/>
      <c r="F1333" s="53" t="s">
        <v>1544</v>
      </c>
      <c r="G1333" s="214" t="s">
        <v>1864</v>
      </c>
      <c r="H1333" s="53" t="s">
        <v>1571</v>
      </c>
      <c r="I1333" s="222">
        <v>1279</v>
      </c>
      <c r="J1333" s="223"/>
      <c r="K1333" s="223"/>
      <c r="L1333" s="223"/>
      <c r="M1333" s="223"/>
      <c r="N1333" s="223"/>
      <c r="O1333" s="224"/>
      <c r="P1333" s="224"/>
      <c r="Q1333" s="224"/>
      <c r="R1333" s="224"/>
      <c r="S1333" s="225"/>
    </row>
    <row r="1334" spans="1:19" ht="15" customHeight="1">
      <c r="A1334" s="413">
        <f t="shared" si="29"/>
        <v>1334</v>
      </c>
      <c r="B1334" s="52">
        <v>304</v>
      </c>
      <c r="C1334" s="219" t="s">
        <v>1397</v>
      </c>
      <c r="D1334" s="220" t="s">
        <v>1394</v>
      </c>
      <c r="E1334" s="221"/>
      <c r="F1334" s="53" t="s">
        <v>1572</v>
      </c>
      <c r="G1334" s="214" t="s">
        <v>1864</v>
      </c>
      <c r="H1334" s="53" t="s">
        <v>1573</v>
      </c>
      <c r="I1334" s="222">
        <v>165</v>
      </c>
      <c r="J1334" s="223"/>
      <c r="K1334" s="223"/>
      <c r="L1334" s="223"/>
      <c r="M1334" s="223"/>
      <c r="N1334" s="223"/>
      <c r="O1334" s="224"/>
      <c r="P1334" s="224"/>
      <c r="Q1334" s="224"/>
      <c r="R1334" s="224"/>
      <c r="S1334" s="225"/>
    </row>
    <row r="1335" spans="1:19" ht="15" customHeight="1">
      <c r="A1335" s="413">
        <f t="shared" si="29"/>
        <v>1335</v>
      </c>
      <c r="B1335" s="52">
        <v>304</v>
      </c>
      <c r="C1335" s="219" t="s">
        <v>1397</v>
      </c>
      <c r="D1335" s="220" t="s">
        <v>1394</v>
      </c>
      <c r="E1335" s="221"/>
      <c r="F1335" s="53" t="s">
        <v>1574</v>
      </c>
      <c r="G1335" s="214" t="s">
        <v>1864</v>
      </c>
      <c r="H1335" s="53" t="s">
        <v>12</v>
      </c>
      <c r="I1335" s="222">
        <v>241</v>
      </c>
      <c r="J1335" s="223"/>
      <c r="K1335" s="223"/>
      <c r="L1335" s="223"/>
      <c r="M1335" s="223"/>
      <c r="N1335" s="223"/>
      <c r="O1335" s="224"/>
      <c r="P1335" s="224"/>
      <c r="Q1335" s="224"/>
      <c r="R1335" s="224"/>
      <c r="S1335" s="225"/>
    </row>
    <row r="1336" spans="1:19" ht="15" customHeight="1">
      <c r="A1336" s="413">
        <f t="shared" si="29"/>
        <v>1336</v>
      </c>
      <c r="B1336" s="52">
        <v>304</v>
      </c>
      <c r="C1336" s="219" t="s">
        <v>1397</v>
      </c>
      <c r="D1336" s="220" t="s">
        <v>1394</v>
      </c>
      <c r="E1336" s="221"/>
      <c r="F1336" s="53" t="s">
        <v>1575</v>
      </c>
      <c r="G1336" s="214" t="s">
        <v>1875</v>
      </c>
      <c r="H1336" s="53" t="s">
        <v>176</v>
      </c>
      <c r="I1336" s="222">
        <v>1</v>
      </c>
      <c r="J1336" s="223"/>
      <c r="K1336" s="223"/>
      <c r="L1336" s="223"/>
      <c r="M1336" s="223">
        <v>22</v>
      </c>
      <c r="N1336" s="223">
        <v>17</v>
      </c>
      <c r="O1336" s="224"/>
      <c r="P1336" s="224"/>
      <c r="Q1336" s="224"/>
      <c r="R1336" s="224">
        <v>9</v>
      </c>
      <c r="S1336" s="225"/>
    </row>
    <row r="1337" spans="1:19" ht="15" customHeight="1">
      <c r="A1337" s="413">
        <f t="shared" si="29"/>
        <v>1337</v>
      </c>
      <c r="B1337" s="52">
        <v>304</v>
      </c>
      <c r="C1337" s="219" t="s">
        <v>1397</v>
      </c>
      <c r="D1337" s="220" t="s">
        <v>1394</v>
      </c>
      <c r="E1337" s="221"/>
      <c r="F1337" s="53" t="s">
        <v>1575</v>
      </c>
      <c r="G1337" s="214" t="s">
        <v>1875</v>
      </c>
      <c r="H1337" s="53" t="s">
        <v>176</v>
      </c>
      <c r="I1337" s="222">
        <v>8</v>
      </c>
      <c r="J1337" s="223"/>
      <c r="K1337" s="223"/>
      <c r="L1337" s="223"/>
      <c r="M1337" s="223">
        <v>22</v>
      </c>
      <c r="N1337" s="223">
        <v>17</v>
      </c>
      <c r="O1337" s="224"/>
      <c r="P1337" s="224"/>
      <c r="Q1337" s="224"/>
      <c r="R1337" s="224">
        <v>9</v>
      </c>
      <c r="S1337" s="225"/>
    </row>
    <row r="1338" spans="1:19" ht="15" customHeight="1">
      <c r="A1338" s="413">
        <f t="shared" si="29"/>
        <v>1338</v>
      </c>
      <c r="B1338" s="52">
        <v>304</v>
      </c>
      <c r="C1338" s="219" t="s">
        <v>1397</v>
      </c>
      <c r="D1338" s="220" t="s">
        <v>1394</v>
      </c>
      <c r="E1338" s="221"/>
      <c r="F1338" s="53" t="s">
        <v>18</v>
      </c>
      <c r="G1338" s="214" t="s">
        <v>1576</v>
      </c>
      <c r="H1338" s="53" t="s">
        <v>1312</v>
      </c>
      <c r="I1338" s="222">
        <v>62</v>
      </c>
      <c r="J1338" s="223"/>
      <c r="K1338" s="223"/>
      <c r="L1338" s="223"/>
      <c r="M1338" s="223">
        <v>36</v>
      </c>
      <c r="N1338" s="223"/>
      <c r="O1338" s="224"/>
      <c r="P1338" s="224"/>
      <c r="Q1338" s="224"/>
      <c r="R1338" s="224"/>
      <c r="S1338" s="225"/>
    </row>
    <row r="1339" spans="1:19" ht="15" customHeight="1">
      <c r="A1339" s="413">
        <f t="shared" si="29"/>
        <v>1339</v>
      </c>
      <c r="B1339" s="52">
        <v>304</v>
      </c>
      <c r="C1339" s="219" t="s">
        <v>1397</v>
      </c>
      <c r="D1339" s="220" t="s">
        <v>1394</v>
      </c>
      <c r="E1339" s="221"/>
      <c r="F1339" s="53" t="s">
        <v>17</v>
      </c>
      <c r="G1339" s="214" t="s">
        <v>16</v>
      </c>
      <c r="H1339" s="53" t="s">
        <v>109</v>
      </c>
      <c r="I1339" s="222">
        <v>12</v>
      </c>
      <c r="J1339" s="223"/>
      <c r="K1339" s="223">
        <v>49</v>
      </c>
      <c r="L1339" s="223"/>
      <c r="M1339" s="223"/>
      <c r="N1339" s="223"/>
      <c r="O1339" s="224"/>
      <c r="P1339" s="224"/>
      <c r="Q1339" s="224">
        <v>12</v>
      </c>
      <c r="R1339" s="224"/>
      <c r="S1339" s="225"/>
    </row>
    <row r="1340" spans="1:19" ht="15" customHeight="1">
      <c r="A1340" s="413">
        <f t="shared" si="29"/>
        <v>1340</v>
      </c>
      <c r="B1340" s="52">
        <v>304</v>
      </c>
      <c r="C1340" s="219" t="s">
        <v>1397</v>
      </c>
      <c r="D1340" s="220" t="s">
        <v>1394</v>
      </c>
      <c r="E1340" s="221"/>
      <c r="F1340" s="53" t="s">
        <v>20</v>
      </c>
      <c r="G1340" s="214" t="s">
        <v>182</v>
      </c>
      <c r="H1340" s="53" t="s">
        <v>109</v>
      </c>
      <c r="I1340" s="222">
        <v>8</v>
      </c>
      <c r="J1340" s="223"/>
      <c r="K1340" s="223">
        <v>33</v>
      </c>
      <c r="L1340" s="223"/>
      <c r="M1340" s="223"/>
      <c r="N1340" s="223"/>
      <c r="O1340" s="224"/>
      <c r="P1340" s="224"/>
      <c r="Q1340" s="224">
        <v>8</v>
      </c>
      <c r="R1340" s="224"/>
      <c r="S1340" s="225"/>
    </row>
    <row r="1341" spans="1:19" ht="15" customHeight="1">
      <c r="A1341" s="413">
        <f t="shared" si="29"/>
        <v>1341</v>
      </c>
      <c r="B1341" s="52">
        <v>304</v>
      </c>
      <c r="C1341" s="219" t="s">
        <v>1397</v>
      </c>
      <c r="D1341" s="220" t="s">
        <v>1394</v>
      </c>
      <c r="E1341" s="221"/>
      <c r="F1341" s="53" t="s">
        <v>1545</v>
      </c>
      <c r="G1341" s="214" t="s">
        <v>1693</v>
      </c>
      <c r="H1341" s="53" t="s">
        <v>109</v>
      </c>
      <c r="I1341" s="222">
        <v>10</v>
      </c>
      <c r="J1341" s="223"/>
      <c r="K1341" s="223">
        <v>45</v>
      </c>
      <c r="L1341" s="223"/>
      <c r="M1341" s="223"/>
      <c r="N1341" s="223"/>
      <c r="O1341" s="224"/>
      <c r="P1341" s="224"/>
      <c r="Q1341" s="224">
        <v>10</v>
      </c>
      <c r="R1341" s="224"/>
      <c r="S1341" s="225"/>
    </row>
    <row r="1342" spans="1:19" ht="15" customHeight="1">
      <c r="A1342" s="413">
        <f t="shared" si="29"/>
        <v>1342</v>
      </c>
      <c r="B1342" s="52">
        <v>304</v>
      </c>
      <c r="C1342" s="219" t="s">
        <v>1397</v>
      </c>
      <c r="D1342" s="220" t="s">
        <v>1394</v>
      </c>
      <c r="E1342" s="221"/>
      <c r="F1342" s="53" t="s">
        <v>1546</v>
      </c>
      <c r="G1342" s="214" t="s">
        <v>1746</v>
      </c>
      <c r="H1342" s="53" t="s">
        <v>109</v>
      </c>
      <c r="I1342" s="222">
        <v>8</v>
      </c>
      <c r="J1342" s="223"/>
      <c r="K1342" s="223">
        <v>38</v>
      </c>
      <c r="L1342" s="223"/>
      <c r="M1342" s="223"/>
      <c r="N1342" s="223"/>
      <c r="O1342" s="224"/>
      <c r="P1342" s="224"/>
      <c r="Q1342" s="224">
        <v>8</v>
      </c>
      <c r="R1342" s="224"/>
      <c r="S1342" s="225"/>
    </row>
    <row r="1343" spans="1:19" ht="15" customHeight="1">
      <c r="A1343" s="413">
        <f t="shared" si="29"/>
        <v>1343</v>
      </c>
      <c r="B1343" s="52">
        <v>304</v>
      </c>
      <c r="C1343" s="219" t="s">
        <v>1397</v>
      </c>
      <c r="D1343" s="220" t="s">
        <v>1394</v>
      </c>
      <c r="E1343" s="221"/>
      <c r="F1343" s="53" t="s">
        <v>1546</v>
      </c>
      <c r="G1343" s="214" t="s">
        <v>1832</v>
      </c>
      <c r="H1343" s="53" t="s">
        <v>109</v>
      </c>
      <c r="I1343" s="222">
        <v>1</v>
      </c>
      <c r="J1343" s="223"/>
      <c r="K1343" s="223">
        <v>13</v>
      </c>
      <c r="L1343" s="223"/>
      <c r="M1343" s="223"/>
      <c r="N1343" s="223"/>
      <c r="O1343" s="224"/>
      <c r="P1343" s="224"/>
      <c r="Q1343" s="224">
        <v>1</v>
      </c>
      <c r="R1343" s="224"/>
      <c r="S1343" s="225"/>
    </row>
    <row r="1344" spans="1:19" ht="15" customHeight="1">
      <c r="A1344" s="413">
        <f t="shared" si="29"/>
        <v>1344</v>
      </c>
      <c r="B1344" s="52">
        <v>304</v>
      </c>
      <c r="C1344" s="219" t="s">
        <v>1397</v>
      </c>
      <c r="D1344" s="220" t="s">
        <v>1394</v>
      </c>
      <c r="E1344" s="221"/>
      <c r="F1344" s="53" t="s">
        <v>1577</v>
      </c>
      <c r="G1344" s="214" t="s">
        <v>1799</v>
      </c>
      <c r="H1344" s="53" t="s">
        <v>109</v>
      </c>
      <c r="I1344" s="222">
        <v>10</v>
      </c>
      <c r="J1344" s="223"/>
      <c r="K1344" s="223">
        <v>13</v>
      </c>
      <c r="L1344" s="223"/>
      <c r="M1344" s="223"/>
      <c r="N1344" s="223"/>
      <c r="O1344" s="224"/>
      <c r="P1344" s="224"/>
      <c r="Q1344" s="224">
        <v>10</v>
      </c>
      <c r="R1344" s="224"/>
      <c r="S1344" s="225"/>
    </row>
    <row r="1345" spans="1:19" ht="15" customHeight="1">
      <c r="A1345" s="413">
        <f t="shared" si="29"/>
        <v>1345</v>
      </c>
      <c r="B1345" s="52">
        <v>304</v>
      </c>
      <c r="C1345" s="219" t="s">
        <v>1397</v>
      </c>
      <c r="D1345" s="220" t="s">
        <v>1394</v>
      </c>
      <c r="E1345" s="221"/>
      <c r="F1345" s="53" t="s">
        <v>70</v>
      </c>
      <c r="G1345" s="214" t="s">
        <v>1800</v>
      </c>
      <c r="H1345" s="53" t="s">
        <v>109</v>
      </c>
      <c r="I1345" s="222">
        <v>10</v>
      </c>
      <c r="J1345" s="223"/>
      <c r="K1345" s="223">
        <v>45</v>
      </c>
      <c r="L1345" s="223"/>
      <c r="M1345" s="223"/>
      <c r="N1345" s="223"/>
      <c r="O1345" s="224"/>
      <c r="P1345" s="224"/>
      <c r="Q1345" s="224">
        <v>10</v>
      </c>
      <c r="R1345" s="224"/>
      <c r="S1345" s="225"/>
    </row>
    <row r="1346" spans="1:19" ht="15" customHeight="1">
      <c r="A1346" s="413">
        <f t="shared" si="29"/>
        <v>1346</v>
      </c>
      <c r="B1346" s="52">
        <v>304</v>
      </c>
      <c r="C1346" s="219" t="s">
        <v>1397</v>
      </c>
      <c r="D1346" s="220" t="s">
        <v>1394</v>
      </c>
      <c r="E1346" s="221"/>
      <c r="F1346" s="53" t="s">
        <v>1566</v>
      </c>
      <c r="G1346" s="214" t="s">
        <v>14</v>
      </c>
      <c r="H1346" s="53" t="s">
        <v>109</v>
      </c>
      <c r="I1346" s="222">
        <v>15</v>
      </c>
      <c r="J1346" s="223"/>
      <c r="K1346" s="223">
        <v>60</v>
      </c>
      <c r="L1346" s="223"/>
      <c r="M1346" s="223"/>
      <c r="N1346" s="223"/>
      <c r="O1346" s="224"/>
      <c r="P1346" s="224"/>
      <c r="Q1346" s="224">
        <v>15</v>
      </c>
      <c r="R1346" s="224"/>
      <c r="S1346" s="225"/>
    </row>
    <row r="1347" spans="1:19" ht="15" customHeight="1">
      <c r="A1347" s="413">
        <f t="shared" ref="A1347:A1410" si="30">1+A1346</f>
        <v>1347</v>
      </c>
      <c r="B1347" s="52">
        <v>304</v>
      </c>
      <c r="C1347" s="219" t="s">
        <v>1397</v>
      </c>
      <c r="D1347" s="220" t="s">
        <v>1394</v>
      </c>
      <c r="E1347" s="221"/>
      <c r="F1347" s="53" t="s">
        <v>1566</v>
      </c>
      <c r="G1347" s="214" t="s">
        <v>66</v>
      </c>
      <c r="H1347" s="53" t="s">
        <v>109</v>
      </c>
      <c r="I1347" s="222">
        <v>11</v>
      </c>
      <c r="J1347" s="223"/>
      <c r="K1347" s="223">
        <v>54</v>
      </c>
      <c r="L1347" s="223"/>
      <c r="M1347" s="223"/>
      <c r="N1347" s="223"/>
      <c r="O1347" s="224"/>
      <c r="P1347" s="224"/>
      <c r="Q1347" s="224">
        <v>11</v>
      </c>
      <c r="R1347" s="224"/>
      <c r="S1347" s="225"/>
    </row>
    <row r="1348" spans="1:19" ht="15" customHeight="1">
      <c r="A1348" s="413">
        <f t="shared" si="30"/>
        <v>1348</v>
      </c>
      <c r="B1348" s="52">
        <v>304</v>
      </c>
      <c r="C1348" s="219" t="s">
        <v>1397</v>
      </c>
      <c r="D1348" s="220" t="s">
        <v>1394</v>
      </c>
      <c r="E1348" s="221"/>
      <c r="F1348" s="53" t="s">
        <v>1578</v>
      </c>
      <c r="G1348" s="214" t="s">
        <v>1579</v>
      </c>
      <c r="H1348" s="53" t="s">
        <v>1315</v>
      </c>
      <c r="I1348" s="222">
        <v>90</v>
      </c>
      <c r="J1348" s="223"/>
      <c r="K1348" s="223"/>
      <c r="L1348" s="223"/>
      <c r="M1348" s="223"/>
      <c r="N1348" s="223"/>
      <c r="O1348" s="224"/>
      <c r="P1348" s="224"/>
      <c r="Q1348" s="224"/>
      <c r="R1348" s="224"/>
      <c r="S1348" s="225" t="s">
        <v>1580</v>
      </c>
    </row>
    <row r="1349" spans="1:19" ht="15" customHeight="1">
      <c r="A1349" s="413">
        <f t="shared" si="30"/>
        <v>1349</v>
      </c>
      <c r="B1349" s="52">
        <v>304</v>
      </c>
      <c r="C1349" s="219" t="s">
        <v>1397</v>
      </c>
      <c r="D1349" s="220" t="s">
        <v>1394</v>
      </c>
      <c r="E1349" s="221"/>
      <c r="F1349" s="53" t="s">
        <v>1558</v>
      </c>
      <c r="G1349" s="214" t="s">
        <v>1802</v>
      </c>
      <c r="H1349" s="53" t="s">
        <v>1053</v>
      </c>
      <c r="I1349" s="222">
        <v>5</v>
      </c>
      <c r="J1349" s="223"/>
      <c r="K1349" s="223"/>
      <c r="L1349" s="223"/>
      <c r="M1349" s="223"/>
      <c r="N1349" s="223"/>
      <c r="O1349" s="224"/>
      <c r="P1349" s="224"/>
      <c r="Q1349" s="224"/>
      <c r="R1349" s="224"/>
      <c r="S1349" s="225"/>
    </row>
    <row r="1350" spans="1:19" ht="15" customHeight="1">
      <c r="A1350" s="413">
        <f t="shared" si="30"/>
        <v>1350</v>
      </c>
      <c r="B1350" s="516">
        <v>304</v>
      </c>
      <c r="C1350" s="517" t="s">
        <v>1397</v>
      </c>
      <c r="D1350" s="518" t="s">
        <v>1394</v>
      </c>
      <c r="E1350" s="519"/>
      <c r="F1350" s="510" t="s">
        <v>1558</v>
      </c>
      <c r="G1350" s="520"/>
      <c r="H1350" s="510" t="s">
        <v>1053</v>
      </c>
      <c r="I1350" s="521">
        <v>5</v>
      </c>
      <c r="J1350" s="522"/>
      <c r="K1350" s="223"/>
      <c r="L1350" s="223"/>
      <c r="M1350" s="223"/>
      <c r="N1350" s="223"/>
      <c r="O1350" s="224"/>
      <c r="P1350" s="224"/>
      <c r="Q1350" s="224"/>
      <c r="R1350" s="224"/>
      <c r="S1350" s="225"/>
    </row>
    <row r="1351" spans="1:19" ht="15" customHeight="1">
      <c r="A1351" s="413">
        <f t="shared" si="30"/>
        <v>1351</v>
      </c>
      <c r="B1351" s="52">
        <v>305</v>
      </c>
      <c r="C1351" s="219" t="s">
        <v>1400</v>
      </c>
      <c r="D1351" s="220" t="s">
        <v>1394</v>
      </c>
      <c r="E1351" s="221"/>
      <c r="F1351" s="53" t="s">
        <v>67</v>
      </c>
      <c r="G1351" s="214" t="s">
        <v>1876</v>
      </c>
      <c r="H1351" s="53" t="s">
        <v>1571</v>
      </c>
      <c r="I1351" s="222">
        <v>608</v>
      </c>
      <c r="J1351" s="223"/>
      <c r="K1351" s="223"/>
      <c r="L1351" s="223"/>
      <c r="M1351" s="223"/>
      <c r="N1351" s="223"/>
      <c r="O1351" s="224"/>
      <c r="P1351" s="224"/>
      <c r="Q1351" s="224"/>
      <c r="R1351" s="224"/>
      <c r="S1351" s="225"/>
    </row>
    <row r="1352" spans="1:19" ht="15" customHeight="1">
      <c r="A1352" s="413">
        <f t="shared" si="30"/>
        <v>1352</v>
      </c>
      <c r="B1352" s="52">
        <v>305</v>
      </c>
      <c r="C1352" s="219" t="s">
        <v>1400</v>
      </c>
      <c r="D1352" s="220" t="s">
        <v>1394</v>
      </c>
      <c r="E1352" s="221"/>
      <c r="F1352" s="53" t="s">
        <v>1572</v>
      </c>
      <c r="G1352" s="214" t="s">
        <v>1876</v>
      </c>
      <c r="H1352" s="53" t="s">
        <v>1573</v>
      </c>
      <c r="I1352" s="222">
        <v>358</v>
      </c>
      <c r="J1352" s="223"/>
      <c r="K1352" s="223"/>
      <c r="L1352" s="223"/>
      <c r="M1352" s="223"/>
      <c r="N1352" s="223"/>
      <c r="O1352" s="224"/>
      <c r="P1352" s="224"/>
      <c r="Q1352" s="224"/>
      <c r="R1352" s="224"/>
      <c r="S1352" s="225"/>
    </row>
    <row r="1353" spans="1:19" ht="15" customHeight="1">
      <c r="A1353" s="413">
        <f t="shared" si="30"/>
        <v>1353</v>
      </c>
      <c r="B1353" s="52">
        <v>305</v>
      </c>
      <c r="C1353" s="219" t="s">
        <v>1400</v>
      </c>
      <c r="D1353" s="220" t="s">
        <v>1394</v>
      </c>
      <c r="E1353" s="221"/>
      <c r="F1353" s="53" t="s">
        <v>1574</v>
      </c>
      <c r="G1353" s="214" t="s">
        <v>1876</v>
      </c>
      <c r="H1353" s="53" t="s">
        <v>12</v>
      </c>
      <c r="I1353" s="222">
        <v>204</v>
      </c>
      <c r="J1353" s="223"/>
      <c r="K1353" s="223"/>
      <c r="L1353" s="223"/>
      <c r="M1353" s="223"/>
      <c r="N1353" s="223"/>
      <c r="O1353" s="224"/>
      <c r="P1353" s="224"/>
      <c r="Q1353" s="224"/>
      <c r="R1353" s="224"/>
      <c r="S1353" s="225"/>
    </row>
    <row r="1354" spans="1:19" ht="15" customHeight="1">
      <c r="A1354" s="413">
        <f t="shared" si="30"/>
        <v>1354</v>
      </c>
      <c r="B1354" s="52">
        <v>305</v>
      </c>
      <c r="C1354" s="219" t="s">
        <v>1400</v>
      </c>
      <c r="D1354" s="220" t="s">
        <v>1394</v>
      </c>
      <c r="E1354" s="221"/>
      <c r="F1354" s="53" t="s">
        <v>1581</v>
      </c>
      <c r="G1354" s="214"/>
      <c r="H1354" s="53" t="s">
        <v>1315</v>
      </c>
      <c r="I1354" s="222">
        <v>146</v>
      </c>
      <c r="J1354" s="223" t="s">
        <v>1582</v>
      </c>
      <c r="K1354" s="223"/>
      <c r="L1354" s="223"/>
      <c r="M1354" s="223"/>
      <c r="N1354" s="223"/>
      <c r="O1354" s="224"/>
      <c r="P1354" s="224"/>
      <c r="Q1354" s="224"/>
      <c r="R1354" s="224"/>
      <c r="S1354" s="225"/>
    </row>
    <row r="1355" spans="1:19" ht="15" customHeight="1">
      <c r="A1355" s="413">
        <f t="shared" si="30"/>
        <v>1355</v>
      </c>
      <c r="B1355" s="52">
        <v>305</v>
      </c>
      <c r="C1355" s="219" t="s">
        <v>1400</v>
      </c>
      <c r="D1355" s="220" t="s">
        <v>1394</v>
      </c>
      <c r="E1355" s="221"/>
      <c r="F1355" s="53" t="s">
        <v>1540</v>
      </c>
      <c r="G1355" s="214" t="s">
        <v>1877</v>
      </c>
      <c r="H1355" s="53" t="s">
        <v>68</v>
      </c>
      <c r="I1355" s="222">
        <v>51</v>
      </c>
      <c r="J1355" s="223" t="s">
        <v>1582</v>
      </c>
      <c r="K1355" s="223"/>
      <c r="L1355" s="223"/>
      <c r="M1355" s="223"/>
      <c r="N1355" s="223"/>
      <c r="O1355" s="224"/>
      <c r="P1355" s="224"/>
      <c r="Q1355" s="224"/>
      <c r="R1355" s="224"/>
      <c r="S1355" s="225"/>
    </row>
    <row r="1356" spans="1:19" ht="15" customHeight="1">
      <c r="A1356" s="413">
        <f t="shared" si="30"/>
        <v>1356</v>
      </c>
      <c r="B1356" s="52">
        <v>305</v>
      </c>
      <c r="C1356" s="219" t="s">
        <v>1400</v>
      </c>
      <c r="D1356" s="220" t="s">
        <v>1394</v>
      </c>
      <c r="E1356" s="221"/>
      <c r="F1356" s="53" t="s">
        <v>1540</v>
      </c>
      <c r="G1356" s="214" t="s">
        <v>1878</v>
      </c>
      <c r="H1356" s="53" t="s">
        <v>68</v>
      </c>
      <c r="I1356" s="222">
        <v>51</v>
      </c>
      <c r="J1356" s="223" t="s">
        <v>1582</v>
      </c>
      <c r="K1356" s="223"/>
      <c r="L1356" s="223"/>
      <c r="M1356" s="223"/>
      <c r="N1356" s="223"/>
      <c r="O1356" s="224"/>
      <c r="P1356" s="224"/>
      <c r="Q1356" s="224"/>
      <c r="R1356" s="224"/>
      <c r="S1356" s="225"/>
    </row>
    <row r="1357" spans="1:19" ht="15" customHeight="1">
      <c r="A1357" s="413">
        <f t="shared" si="30"/>
        <v>1357</v>
      </c>
      <c r="B1357" s="52">
        <v>305</v>
      </c>
      <c r="C1357" s="219" t="s">
        <v>1400</v>
      </c>
      <c r="D1357" s="220" t="s">
        <v>1394</v>
      </c>
      <c r="E1357" s="221"/>
      <c r="F1357" s="53" t="s">
        <v>1583</v>
      </c>
      <c r="G1357" s="214" t="s">
        <v>1879</v>
      </c>
      <c r="H1357" s="53" t="s">
        <v>72</v>
      </c>
      <c r="I1357" s="222">
        <v>1</v>
      </c>
      <c r="J1357" s="223"/>
      <c r="K1357" s="223"/>
      <c r="L1357" s="223"/>
      <c r="M1357" s="223">
        <v>22</v>
      </c>
      <c r="N1357" s="223">
        <v>17</v>
      </c>
      <c r="O1357" s="224"/>
      <c r="P1357" s="224"/>
      <c r="Q1357" s="224"/>
      <c r="R1357" s="224">
        <v>9</v>
      </c>
      <c r="S1357" s="225"/>
    </row>
    <row r="1358" spans="1:19" ht="15" customHeight="1">
      <c r="A1358" s="413">
        <f t="shared" si="30"/>
        <v>1358</v>
      </c>
      <c r="B1358" s="52">
        <v>305</v>
      </c>
      <c r="C1358" s="219" t="s">
        <v>1400</v>
      </c>
      <c r="D1358" s="220" t="s">
        <v>1394</v>
      </c>
      <c r="E1358" s="221"/>
      <c r="F1358" s="53" t="s">
        <v>1583</v>
      </c>
      <c r="G1358" s="214" t="s">
        <v>1879</v>
      </c>
      <c r="H1358" s="53" t="s">
        <v>72</v>
      </c>
      <c r="I1358" s="222">
        <v>8</v>
      </c>
      <c r="J1358" s="223"/>
      <c r="K1358" s="223"/>
      <c r="L1358" s="223"/>
      <c r="M1358" s="223">
        <v>22</v>
      </c>
      <c r="N1358" s="223">
        <v>17</v>
      </c>
      <c r="O1358" s="224"/>
      <c r="P1358" s="224"/>
      <c r="Q1358" s="224"/>
      <c r="R1358" s="224">
        <v>9</v>
      </c>
      <c r="S1358" s="225"/>
    </row>
    <row r="1359" spans="1:19" ht="15" customHeight="1">
      <c r="A1359" s="413">
        <f t="shared" si="30"/>
        <v>1359</v>
      </c>
      <c r="B1359" s="52">
        <v>305</v>
      </c>
      <c r="C1359" s="219" t="s">
        <v>1400</v>
      </c>
      <c r="D1359" s="220" t="s">
        <v>1394</v>
      </c>
      <c r="E1359" s="221"/>
      <c r="F1359" s="53" t="s">
        <v>65</v>
      </c>
      <c r="G1359" s="214" t="s">
        <v>1880</v>
      </c>
      <c r="H1359" s="53" t="s">
        <v>109</v>
      </c>
      <c r="I1359" s="222">
        <v>10</v>
      </c>
      <c r="J1359" s="223"/>
      <c r="K1359" s="223">
        <v>46</v>
      </c>
      <c r="L1359" s="223"/>
      <c r="M1359" s="223"/>
      <c r="N1359" s="223"/>
      <c r="O1359" s="224"/>
      <c r="P1359" s="224"/>
      <c r="Q1359" s="224">
        <v>10</v>
      </c>
      <c r="R1359" s="224"/>
      <c r="S1359" s="225"/>
    </row>
    <row r="1360" spans="1:19" ht="15" customHeight="1">
      <c r="A1360" s="413">
        <f t="shared" si="30"/>
        <v>1360</v>
      </c>
      <c r="B1360" s="52">
        <v>305</v>
      </c>
      <c r="C1360" s="219" t="s">
        <v>1400</v>
      </c>
      <c r="D1360" s="220" t="s">
        <v>1394</v>
      </c>
      <c r="E1360" s="221"/>
      <c r="F1360" s="53" t="s">
        <v>20</v>
      </c>
      <c r="G1360" s="214" t="s">
        <v>1881</v>
      </c>
      <c r="H1360" s="53" t="s">
        <v>109</v>
      </c>
      <c r="I1360" s="222">
        <v>6</v>
      </c>
      <c r="J1360" s="223"/>
      <c r="K1360" s="223">
        <v>34</v>
      </c>
      <c r="L1360" s="223"/>
      <c r="M1360" s="223"/>
      <c r="N1360" s="223"/>
      <c r="O1360" s="224"/>
      <c r="P1360" s="224"/>
      <c r="Q1360" s="224">
        <v>6</v>
      </c>
      <c r="R1360" s="224"/>
      <c r="S1360" s="225"/>
    </row>
    <row r="1361" spans="1:19" ht="15" customHeight="1">
      <c r="A1361" s="413">
        <f t="shared" si="30"/>
        <v>1361</v>
      </c>
      <c r="B1361" s="52">
        <v>305</v>
      </c>
      <c r="C1361" s="219" t="s">
        <v>1400</v>
      </c>
      <c r="D1361" s="220" t="s">
        <v>1394</v>
      </c>
      <c r="E1361" s="221"/>
      <c r="F1361" s="53" t="s">
        <v>69</v>
      </c>
      <c r="G1361" s="214" t="s">
        <v>1882</v>
      </c>
      <c r="H1361" s="53" t="s">
        <v>109</v>
      </c>
      <c r="I1361" s="222">
        <v>11</v>
      </c>
      <c r="J1361" s="223"/>
      <c r="K1361" s="223">
        <v>50</v>
      </c>
      <c r="L1361" s="223"/>
      <c r="M1361" s="223"/>
      <c r="N1361" s="223"/>
      <c r="O1361" s="224"/>
      <c r="P1361" s="224"/>
      <c r="Q1361" s="224">
        <v>11</v>
      </c>
      <c r="R1361" s="224"/>
      <c r="S1361" s="225"/>
    </row>
    <row r="1362" spans="1:19" ht="15" customHeight="1">
      <c r="A1362" s="413">
        <f t="shared" si="30"/>
        <v>1362</v>
      </c>
      <c r="B1362" s="52">
        <v>305</v>
      </c>
      <c r="C1362" s="219" t="s">
        <v>1400</v>
      </c>
      <c r="D1362" s="220" t="s">
        <v>1394</v>
      </c>
      <c r="E1362" s="221"/>
      <c r="F1362" s="53" t="s">
        <v>70</v>
      </c>
      <c r="G1362" s="214" t="s">
        <v>1883</v>
      </c>
      <c r="H1362" s="53" t="s">
        <v>109</v>
      </c>
      <c r="I1362" s="222">
        <v>5</v>
      </c>
      <c r="J1362" s="223">
        <v>2</v>
      </c>
      <c r="K1362" s="223">
        <v>34</v>
      </c>
      <c r="L1362" s="223"/>
      <c r="M1362" s="223"/>
      <c r="N1362" s="223"/>
      <c r="O1362" s="224"/>
      <c r="P1362" s="224"/>
      <c r="Q1362" s="224">
        <v>5</v>
      </c>
      <c r="R1362" s="224"/>
      <c r="S1362" s="225"/>
    </row>
    <row r="1363" spans="1:19" ht="15" customHeight="1">
      <c r="A1363" s="413">
        <f t="shared" si="30"/>
        <v>1363</v>
      </c>
      <c r="B1363" s="52">
        <v>305</v>
      </c>
      <c r="C1363" s="219" t="s">
        <v>1400</v>
      </c>
      <c r="D1363" s="220" t="s">
        <v>1394</v>
      </c>
      <c r="E1363" s="221"/>
      <c r="F1363" s="53" t="s">
        <v>1584</v>
      </c>
      <c r="G1363" s="214" t="s">
        <v>1884</v>
      </c>
      <c r="H1363" s="53" t="s">
        <v>109</v>
      </c>
      <c r="I1363" s="222">
        <v>2</v>
      </c>
      <c r="J1363" s="223"/>
      <c r="K1363" s="223">
        <v>16</v>
      </c>
      <c r="L1363" s="223"/>
      <c r="M1363" s="223"/>
      <c r="N1363" s="223"/>
      <c r="O1363" s="224"/>
      <c r="P1363" s="224"/>
      <c r="Q1363" s="224">
        <v>2</v>
      </c>
      <c r="R1363" s="224"/>
      <c r="S1363" s="225"/>
    </row>
    <row r="1364" spans="1:19" ht="15" customHeight="1">
      <c r="A1364" s="413">
        <f t="shared" si="30"/>
        <v>1364</v>
      </c>
      <c r="B1364" s="52">
        <v>305</v>
      </c>
      <c r="C1364" s="219" t="s">
        <v>1400</v>
      </c>
      <c r="D1364" s="220" t="s">
        <v>1394</v>
      </c>
      <c r="E1364" s="221"/>
      <c r="F1364" s="53" t="s">
        <v>1566</v>
      </c>
      <c r="G1364" s="214" t="s">
        <v>14</v>
      </c>
      <c r="H1364" s="53" t="s">
        <v>109</v>
      </c>
      <c r="I1364" s="222">
        <v>11</v>
      </c>
      <c r="J1364" s="223"/>
      <c r="K1364" s="223">
        <v>46</v>
      </c>
      <c r="L1364" s="223"/>
      <c r="M1364" s="223"/>
      <c r="N1364" s="223"/>
      <c r="O1364" s="224"/>
      <c r="P1364" s="224"/>
      <c r="Q1364" s="224">
        <v>11</v>
      </c>
      <c r="R1364" s="224"/>
      <c r="S1364" s="225"/>
    </row>
    <row r="1365" spans="1:19" ht="15" customHeight="1">
      <c r="A1365" s="413">
        <f t="shared" si="30"/>
        <v>1365</v>
      </c>
      <c r="B1365" s="52">
        <v>305</v>
      </c>
      <c r="C1365" s="219" t="s">
        <v>1400</v>
      </c>
      <c r="D1365" s="220" t="s">
        <v>1394</v>
      </c>
      <c r="E1365" s="221"/>
      <c r="F1365" s="53" t="s">
        <v>1558</v>
      </c>
      <c r="G1365" s="214"/>
      <c r="H1365" s="53" t="s">
        <v>1053</v>
      </c>
      <c r="I1365" s="222">
        <v>5</v>
      </c>
      <c r="J1365" s="223"/>
      <c r="K1365" s="223"/>
      <c r="L1365" s="223"/>
      <c r="M1365" s="223"/>
      <c r="N1365" s="223"/>
      <c r="O1365" s="224"/>
      <c r="P1365" s="224"/>
      <c r="Q1365" s="224"/>
      <c r="R1365" s="224"/>
      <c r="S1365" s="225"/>
    </row>
    <row r="1366" spans="1:19" ht="15" customHeight="1">
      <c r="A1366" s="413">
        <f t="shared" si="30"/>
        <v>1366</v>
      </c>
      <c r="B1366" s="52">
        <v>305</v>
      </c>
      <c r="C1366" s="219" t="s">
        <v>1400</v>
      </c>
      <c r="D1366" s="220" t="s">
        <v>1394</v>
      </c>
      <c r="E1366" s="221"/>
      <c r="F1366" s="53" t="s">
        <v>1585</v>
      </c>
      <c r="G1366" s="214"/>
      <c r="H1366" s="53" t="s">
        <v>1312</v>
      </c>
      <c r="I1366" s="222">
        <v>33</v>
      </c>
      <c r="J1366" s="223"/>
      <c r="K1366" s="223"/>
      <c r="L1366" s="223"/>
      <c r="M1366" s="223">
        <v>18</v>
      </c>
      <c r="N1366" s="223"/>
      <c r="O1366" s="224"/>
      <c r="P1366" s="224"/>
      <c r="Q1366" s="224"/>
      <c r="R1366" s="224"/>
      <c r="S1366" s="225"/>
    </row>
    <row r="1367" spans="1:19" ht="15" customHeight="1">
      <c r="A1367" s="413">
        <f t="shared" si="30"/>
        <v>1367</v>
      </c>
      <c r="B1367" s="52">
        <v>306</v>
      </c>
      <c r="C1367" s="219" t="s">
        <v>1401</v>
      </c>
      <c r="D1367" s="220" t="s">
        <v>1394</v>
      </c>
      <c r="E1367" s="221"/>
      <c r="F1367" s="53" t="s">
        <v>67</v>
      </c>
      <c r="G1367" s="214" t="s">
        <v>1876</v>
      </c>
      <c r="H1367" s="53" t="s">
        <v>1571</v>
      </c>
      <c r="I1367" s="222">
        <v>975</v>
      </c>
      <c r="J1367" s="223"/>
      <c r="K1367" s="223"/>
      <c r="L1367" s="223"/>
      <c r="M1367" s="223"/>
      <c r="N1367" s="223"/>
      <c r="O1367" s="224"/>
      <c r="P1367" s="224"/>
      <c r="Q1367" s="224"/>
      <c r="R1367" s="224"/>
      <c r="S1367" s="225"/>
    </row>
    <row r="1368" spans="1:19" ht="15" customHeight="1">
      <c r="A1368" s="413">
        <f t="shared" si="30"/>
        <v>1368</v>
      </c>
      <c r="B1368" s="52">
        <v>306</v>
      </c>
      <c r="C1368" s="219" t="s">
        <v>1401</v>
      </c>
      <c r="D1368" s="220" t="s">
        <v>1394</v>
      </c>
      <c r="E1368" s="221"/>
      <c r="F1368" s="53" t="s">
        <v>1572</v>
      </c>
      <c r="G1368" s="214" t="s">
        <v>1876</v>
      </c>
      <c r="H1368" s="53" t="s">
        <v>1573</v>
      </c>
      <c r="I1368" s="222">
        <v>347</v>
      </c>
      <c r="J1368" s="223"/>
      <c r="K1368" s="223"/>
      <c r="L1368" s="223"/>
      <c r="M1368" s="223"/>
      <c r="N1368" s="223"/>
      <c r="O1368" s="224"/>
      <c r="P1368" s="224"/>
      <c r="Q1368" s="224"/>
      <c r="R1368" s="224"/>
      <c r="S1368" s="225"/>
    </row>
    <row r="1369" spans="1:19" ht="15" customHeight="1">
      <c r="A1369" s="413">
        <f t="shared" si="30"/>
        <v>1369</v>
      </c>
      <c r="B1369" s="52">
        <v>306</v>
      </c>
      <c r="C1369" s="219" t="s">
        <v>1401</v>
      </c>
      <c r="D1369" s="220" t="s">
        <v>1394</v>
      </c>
      <c r="E1369" s="221"/>
      <c r="F1369" s="53" t="s">
        <v>1574</v>
      </c>
      <c r="G1369" s="214" t="s">
        <v>1876</v>
      </c>
      <c r="H1369" s="53" t="s">
        <v>12</v>
      </c>
      <c r="I1369" s="222">
        <v>203</v>
      </c>
      <c r="J1369" s="223"/>
      <c r="K1369" s="223"/>
      <c r="L1369" s="223"/>
      <c r="M1369" s="223"/>
      <c r="N1369" s="223"/>
      <c r="O1369" s="224"/>
      <c r="P1369" s="224"/>
      <c r="Q1369" s="224"/>
      <c r="R1369" s="224"/>
      <c r="S1369" s="225"/>
    </row>
    <row r="1370" spans="1:19" ht="15" customHeight="1">
      <c r="A1370" s="413">
        <f t="shared" si="30"/>
        <v>1370</v>
      </c>
      <c r="B1370" s="52">
        <v>306</v>
      </c>
      <c r="C1370" s="219" t="s">
        <v>1401</v>
      </c>
      <c r="D1370" s="220" t="s">
        <v>1394</v>
      </c>
      <c r="E1370" s="221"/>
      <c r="F1370" s="53" t="s">
        <v>1566</v>
      </c>
      <c r="G1370" s="214" t="s">
        <v>14</v>
      </c>
      <c r="H1370" s="53" t="s">
        <v>109</v>
      </c>
      <c r="I1370" s="222">
        <v>11</v>
      </c>
      <c r="J1370" s="223"/>
      <c r="K1370" s="223">
        <v>46</v>
      </c>
      <c r="L1370" s="223"/>
      <c r="M1370" s="223"/>
      <c r="N1370" s="223"/>
      <c r="O1370" s="224"/>
      <c r="P1370" s="224"/>
      <c r="Q1370" s="224">
        <v>11</v>
      </c>
      <c r="R1370" s="224"/>
      <c r="S1370" s="225"/>
    </row>
    <row r="1371" spans="1:19" ht="15" customHeight="1">
      <c r="A1371" s="413">
        <f t="shared" si="30"/>
        <v>1371</v>
      </c>
      <c r="B1371" s="52">
        <v>306</v>
      </c>
      <c r="C1371" s="219" t="s">
        <v>1401</v>
      </c>
      <c r="D1371" s="220" t="s">
        <v>1394</v>
      </c>
      <c r="E1371" s="221"/>
      <c r="F1371" s="53" t="s">
        <v>1558</v>
      </c>
      <c r="G1371" s="214"/>
      <c r="H1371" s="53" t="s">
        <v>1053</v>
      </c>
      <c r="I1371" s="222">
        <v>5</v>
      </c>
      <c r="J1371" s="223"/>
      <c r="K1371" s="223"/>
      <c r="L1371" s="223"/>
      <c r="M1371" s="223"/>
      <c r="N1371" s="223"/>
      <c r="O1371" s="224"/>
      <c r="P1371" s="224"/>
      <c r="Q1371" s="224"/>
      <c r="R1371" s="224"/>
      <c r="S1371" s="225"/>
    </row>
    <row r="1372" spans="1:19" ht="15" customHeight="1">
      <c r="A1372" s="413">
        <f t="shared" si="30"/>
        <v>1372</v>
      </c>
      <c r="B1372" s="52">
        <v>306</v>
      </c>
      <c r="C1372" s="219" t="s">
        <v>1401</v>
      </c>
      <c r="D1372" s="220" t="s">
        <v>1394</v>
      </c>
      <c r="E1372" s="221"/>
      <c r="F1372" s="53" t="s">
        <v>1581</v>
      </c>
      <c r="G1372" s="214"/>
      <c r="H1372" s="53" t="s">
        <v>1315</v>
      </c>
      <c r="I1372" s="222">
        <v>32</v>
      </c>
      <c r="J1372" s="223" t="s">
        <v>1582</v>
      </c>
      <c r="K1372" s="223"/>
      <c r="L1372" s="223"/>
      <c r="M1372" s="223"/>
      <c r="N1372" s="223"/>
      <c r="O1372" s="224"/>
      <c r="P1372" s="224"/>
      <c r="Q1372" s="224"/>
      <c r="R1372" s="224"/>
      <c r="S1372" s="225"/>
    </row>
    <row r="1373" spans="1:19" ht="15" customHeight="1">
      <c r="A1373" s="413">
        <f t="shared" si="30"/>
        <v>1373</v>
      </c>
      <c r="B1373" s="52">
        <v>306</v>
      </c>
      <c r="C1373" s="219" t="s">
        <v>1401</v>
      </c>
      <c r="D1373" s="220" t="s">
        <v>1394</v>
      </c>
      <c r="E1373" s="221"/>
      <c r="F1373" s="53" t="s">
        <v>1540</v>
      </c>
      <c r="G1373" s="214" t="s">
        <v>1877</v>
      </c>
      <c r="H1373" s="53" t="s">
        <v>68</v>
      </c>
      <c r="I1373" s="222">
        <v>50</v>
      </c>
      <c r="J1373" s="223" t="s">
        <v>1582</v>
      </c>
      <c r="K1373" s="223"/>
      <c r="L1373" s="223"/>
      <c r="M1373" s="223"/>
      <c r="N1373" s="223"/>
      <c r="O1373" s="224"/>
      <c r="P1373" s="224"/>
      <c r="Q1373" s="224"/>
      <c r="R1373" s="224"/>
      <c r="S1373" s="225"/>
    </row>
    <row r="1374" spans="1:19" ht="15" customHeight="1">
      <c r="A1374" s="413">
        <f t="shared" si="30"/>
        <v>1374</v>
      </c>
      <c r="B1374" s="52">
        <v>306</v>
      </c>
      <c r="C1374" s="219" t="s">
        <v>1401</v>
      </c>
      <c r="D1374" s="220" t="s">
        <v>1394</v>
      </c>
      <c r="E1374" s="221"/>
      <c r="F1374" s="53" t="s">
        <v>1583</v>
      </c>
      <c r="G1374" s="214" t="s">
        <v>1879</v>
      </c>
      <c r="H1374" s="53" t="s">
        <v>72</v>
      </c>
      <c r="I1374" s="222">
        <v>1</v>
      </c>
      <c r="J1374" s="223"/>
      <c r="K1374" s="223"/>
      <c r="L1374" s="223"/>
      <c r="M1374" s="223">
        <v>22</v>
      </c>
      <c r="N1374" s="223">
        <v>17</v>
      </c>
      <c r="O1374" s="224"/>
      <c r="P1374" s="224"/>
      <c r="Q1374" s="224"/>
      <c r="R1374" s="224">
        <v>9</v>
      </c>
      <c r="S1374" s="225"/>
    </row>
    <row r="1375" spans="1:19" ht="15" customHeight="1">
      <c r="A1375" s="413">
        <f t="shared" si="30"/>
        <v>1375</v>
      </c>
      <c r="B1375" s="52">
        <v>306</v>
      </c>
      <c r="C1375" s="219" t="s">
        <v>1401</v>
      </c>
      <c r="D1375" s="220" t="s">
        <v>1394</v>
      </c>
      <c r="E1375" s="221"/>
      <c r="F1375" s="53" t="s">
        <v>1583</v>
      </c>
      <c r="G1375" s="214" t="s">
        <v>1879</v>
      </c>
      <c r="H1375" s="53" t="s">
        <v>72</v>
      </c>
      <c r="I1375" s="222">
        <v>8</v>
      </c>
      <c r="J1375" s="223"/>
      <c r="K1375" s="223"/>
      <c r="L1375" s="223"/>
      <c r="M1375" s="223">
        <v>22</v>
      </c>
      <c r="N1375" s="223">
        <v>17</v>
      </c>
      <c r="O1375" s="224"/>
      <c r="P1375" s="224"/>
      <c r="Q1375" s="224"/>
      <c r="R1375" s="224">
        <v>9</v>
      </c>
      <c r="S1375" s="225"/>
    </row>
    <row r="1376" spans="1:19" ht="15" customHeight="1">
      <c r="A1376" s="413">
        <f t="shared" si="30"/>
        <v>1376</v>
      </c>
      <c r="B1376" s="52">
        <v>306</v>
      </c>
      <c r="C1376" s="219" t="s">
        <v>1401</v>
      </c>
      <c r="D1376" s="220" t="s">
        <v>1394</v>
      </c>
      <c r="E1376" s="221"/>
      <c r="F1376" s="53" t="s">
        <v>65</v>
      </c>
      <c r="G1376" s="214" t="s">
        <v>1880</v>
      </c>
      <c r="H1376" s="53" t="s">
        <v>109</v>
      </c>
      <c r="I1376" s="222">
        <v>15</v>
      </c>
      <c r="J1376" s="223"/>
      <c r="K1376" s="223">
        <v>40</v>
      </c>
      <c r="L1376" s="223"/>
      <c r="M1376" s="223"/>
      <c r="N1376" s="223"/>
      <c r="O1376" s="224"/>
      <c r="P1376" s="224"/>
      <c r="Q1376" s="224">
        <v>15</v>
      </c>
      <c r="R1376" s="224"/>
      <c r="S1376" s="225"/>
    </row>
    <row r="1377" spans="1:19" ht="15" customHeight="1">
      <c r="A1377" s="413">
        <f t="shared" si="30"/>
        <v>1377</v>
      </c>
      <c r="B1377" s="52">
        <v>306</v>
      </c>
      <c r="C1377" s="219" t="s">
        <v>1401</v>
      </c>
      <c r="D1377" s="220" t="s">
        <v>1394</v>
      </c>
      <c r="E1377" s="221"/>
      <c r="F1377" s="53" t="s">
        <v>20</v>
      </c>
      <c r="G1377" s="214" t="s">
        <v>1885</v>
      </c>
      <c r="H1377" s="53" t="s">
        <v>109</v>
      </c>
      <c r="I1377" s="222">
        <v>7</v>
      </c>
      <c r="J1377" s="223"/>
      <c r="K1377" s="223">
        <v>32</v>
      </c>
      <c r="L1377" s="223"/>
      <c r="M1377" s="223"/>
      <c r="N1377" s="223"/>
      <c r="O1377" s="224"/>
      <c r="P1377" s="224"/>
      <c r="Q1377" s="224">
        <v>7</v>
      </c>
      <c r="R1377" s="224"/>
      <c r="S1377" s="225"/>
    </row>
    <row r="1378" spans="1:19" ht="15" customHeight="1">
      <c r="A1378" s="413">
        <f t="shared" si="30"/>
        <v>1378</v>
      </c>
      <c r="B1378" s="52">
        <v>306</v>
      </c>
      <c r="C1378" s="219" t="s">
        <v>1401</v>
      </c>
      <c r="D1378" s="220" t="s">
        <v>1394</v>
      </c>
      <c r="E1378" s="221"/>
      <c r="F1378" s="53" t="s">
        <v>69</v>
      </c>
      <c r="G1378" s="214" t="s">
        <v>1882</v>
      </c>
      <c r="H1378" s="53" t="s">
        <v>109</v>
      </c>
      <c r="I1378" s="222">
        <v>12</v>
      </c>
      <c r="J1378" s="223"/>
      <c r="K1378" s="223">
        <v>42</v>
      </c>
      <c r="L1378" s="223"/>
      <c r="M1378" s="223"/>
      <c r="N1378" s="223"/>
      <c r="O1378" s="224"/>
      <c r="P1378" s="224"/>
      <c r="Q1378" s="224">
        <v>12</v>
      </c>
      <c r="R1378" s="224"/>
      <c r="S1378" s="225"/>
    </row>
    <row r="1379" spans="1:19" ht="15" customHeight="1">
      <c r="A1379" s="413">
        <f t="shared" si="30"/>
        <v>1379</v>
      </c>
      <c r="B1379" s="52">
        <v>306</v>
      </c>
      <c r="C1379" s="219" t="s">
        <v>1401</v>
      </c>
      <c r="D1379" s="220" t="s">
        <v>1394</v>
      </c>
      <c r="E1379" s="221"/>
      <c r="F1379" s="53" t="s">
        <v>70</v>
      </c>
      <c r="G1379" s="214" t="s">
        <v>1883</v>
      </c>
      <c r="H1379" s="53" t="s">
        <v>109</v>
      </c>
      <c r="I1379" s="222">
        <v>6</v>
      </c>
      <c r="J1379" s="223">
        <v>2</v>
      </c>
      <c r="K1379" s="223">
        <v>26</v>
      </c>
      <c r="L1379" s="223"/>
      <c r="M1379" s="223"/>
      <c r="N1379" s="223"/>
      <c r="O1379" s="224"/>
      <c r="P1379" s="224"/>
      <c r="Q1379" s="224">
        <v>6</v>
      </c>
      <c r="R1379" s="224"/>
      <c r="S1379" s="225"/>
    </row>
    <row r="1380" spans="1:19" ht="15" customHeight="1">
      <c r="A1380" s="413">
        <f t="shared" si="30"/>
        <v>1380</v>
      </c>
      <c r="B1380" s="52">
        <v>306</v>
      </c>
      <c r="C1380" s="219" t="s">
        <v>1401</v>
      </c>
      <c r="D1380" s="220" t="s">
        <v>1394</v>
      </c>
      <c r="E1380" s="221"/>
      <c r="F1380" s="53" t="s">
        <v>1584</v>
      </c>
      <c r="G1380" s="214" t="s">
        <v>1884</v>
      </c>
      <c r="H1380" s="53" t="s">
        <v>109</v>
      </c>
      <c r="I1380" s="222">
        <v>2</v>
      </c>
      <c r="J1380" s="223"/>
      <c r="K1380" s="223">
        <v>18</v>
      </c>
      <c r="L1380" s="223"/>
      <c r="M1380" s="223"/>
      <c r="N1380" s="223"/>
      <c r="O1380" s="224"/>
      <c r="P1380" s="224"/>
      <c r="Q1380" s="224">
        <v>2</v>
      </c>
      <c r="R1380" s="224"/>
      <c r="S1380" s="225"/>
    </row>
    <row r="1381" spans="1:19" ht="15" customHeight="1">
      <c r="A1381" s="413">
        <f t="shared" si="30"/>
        <v>1381</v>
      </c>
      <c r="B1381" s="52">
        <v>306</v>
      </c>
      <c r="C1381" s="219" t="s">
        <v>1401</v>
      </c>
      <c r="D1381" s="220" t="s">
        <v>1394</v>
      </c>
      <c r="E1381" s="221"/>
      <c r="F1381" s="53" t="s">
        <v>1586</v>
      </c>
      <c r="G1381" s="214" t="s">
        <v>1886</v>
      </c>
      <c r="H1381" s="53" t="s">
        <v>109</v>
      </c>
      <c r="I1381" s="222">
        <v>13</v>
      </c>
      <c r="J1381" s="223"/>
      <c r="K1381" s="223">
        <v>44</v>
      </c>
      <c r="L1381" s="223"/>
      <c r="M1381" s="223"/>
      <c r="N1381" s="223"/>
      <c r="O1381" s="224"/>
      <c r="P1381" s="224"/>
      <c r="Q1381" s="224">
        <v>13</v>
      </c>
      <c r="R1381" s="224"/>
      <c r="S1381" s="225"/>
    </row>
    <row r="1382" spans="1:19" ht="15" customHeight="1">
      <c r="A1382" s="413">
        <f t="shared" si="30"/>
        <v>1382</v>
      </c>
      <c r="B1382" s="52">
        <v>413</v>
      </c>
      <c r="C1382" s="219" t="s">
        <v>1401</v>
      </c>
      <c r="D1382" s="220" t="s">
        <v>1538</v>
      </c>
      <c r="E1382" s="221"/>
      <c r="F1382" s="53" t="s">
        <v>1587</v>
      </c>
      <c r="G1382" s="214" t="s">
        <v>1887</v>
      </c>
      <c r="H1382" s="53" t="s">
        <v>12</v>
      </c>
      <c r="I1382" s="222">
        <v>11</v>
      </c>
      <c r="J1382" s="223"/>
      <c r="K1382" s="223">
        <v>35</v>
      </c>
      <c r="L1382" s="223"/>
      <c r="M1382" s="223"/>
      <c r="N1382" s="223"/>
      <c r="O1382" s="224"/>
      <c r="P1382" s="224"/>
      <c r="Q1382" s="224">
        <v>11</v>
      </c>
      <c r="R1382" s="224"/>
      <c r="S1382" s="225"/>
    </row>
    <row r="1383" spans="1:19" ht="15" customHeight="1">
      <c r="A1383" s="413">
        <f t="shared" si="30"/>
        <v>1383</v>
      </c>
      <c r="B1383" s="52">
        <v>413</v>
      </c>
      <c r="C1383" s="219" t="s">
        <v>1401</v>
      </c>
      <c r="D1383" s="220" t="s">
        <v>1538</v>
      </c>
      <c r="E1383" s="221"/>
      <c r="F1383" s="53" t="s">
        <v>1588</v>
      </c>
      <c r="G1383" s="214" t="s">
        <v>1888</v>
      </c>
      <c r="H1383" s="53" t="s">
        <v>12</v>
      </c>
      <c r="I1383" s="222">
        <v>31</v>
      </c>
      <c r="J1383" s="223"/>
      <c r="K1383" s="223">
        <v>57</v>
      </c>
      <c r="L1383" s="223"/>
      <c r="M1383" s="223"/>
      <c r="N1383" s="223"/>
      <c r="O1383" s="224"/>
      <c r="P1383" s="224"/>
      <c r="Q1383" s="224">
        <v>31</v>
      </c>
      <c r="R1383" s="224"/>
      <c r="S1383" s="225"/>
    </row>
    <row r="1384" spans="1:19" ht="15" customHeight="1">
      <c r="A1384" s="413">
        <f t="shared" si="30"/>
        <v>1384</v>
      </c>
      <c r="B1384" s="52">
        <v>306</v>
      </c>
      <c r="C1384" s="219" t="s">
        <v>1401</v>
      </c>
      <c r="D1384" s="220" t="s">
        <v>1394</v>
      </c>
      <c r="E1384" s="221"/>
      <c r="F1384" s="53" t="s">
        <v>18</v>
      </c>
      <c r="G1384" s="214"/>
      <c r="H1384" s="53" t="s">
        <v>1312</v>
      </c>
      <c r="I1384" s="222">
        <v>33</v>
      </c>
      <c r="J1384" s="223"/>
      <c r="K1384" s="223"/>
      <c r="L1384" s="223"/>
      <c r="M1384" s="223">
        <v>18</v>
      </c>
      <c r="N1384" s="223"/>
      <c r="O1384" s="224"/>
      <c r="P1384" s="224"/>
      <c r="Q1384" s="224"/>
      <c r="R1384" s="224"/>
      <c r="S1384" s="225"/>
    </row>
    <row r="1385" spans="1:19" ht="15" customHeight="1">
      <c r="A1385" s="413">
        <f t="shared" si="30"/>
        <v>1385</v>
      </c>
      <c r="B1385" s="52">
        <v>307</v>
      </c>
      <c r="C1385" s="219" t="s">
        <v>1395</v>
      </c>
      <c r="D1385" s="220" t="s">
        <v>1394</v>
      </c>
      <c r="E1385" s="221"/>
      <c r="F1385" s="53" t="s">
        <v>1589</v>
      </c>
      <c r="G1385" s="214"/>
      <c r="H1385" s="53" t="s">
        <v>1315</v>
      </c>
      <c r="I1385" s="222">
        <v>366</v>
      </c>
      <c r="J1385" s="223">
        <v>60</v>
      </c>
      <c r="K1385" s="223"/>
      <c r="L1385" s="223"/>
      <c r="M1385" s="223"/>
      <c r="N1385" s="223"/>
      <c r="O1385" s="224"/>
      <c r="P1385" s="224"/>
      <c r="Q1385" s="224"/>
      <c r="R1385" s="224"/>
      <c r="S1385" s="225"/>
    </row>
    <row r="1386" spans="1:19" ht="15" customHeight="1">
      <c r="A1386" s="413">
        <f t="shared" si="30"/>
        <v>1386</v>
      </c>
      <c r="B1386" s="52">
        <v>307</v>
      </c>
      <c r="C1386" s="219" t="s">
        <v>1395</v>
      </c>
      <c r="D1386" s="220" t="s">
        <v>1394</v>
      </c>
      <c r="E1386" s="221"/>
      <c r="F1386" s="53" t="s">
        <v>67</v>
      </c>
      <c r="G1386" s="214" t="s">
        <v>1889</v>
      </c>
      <c r="H1386" s="53" t="s">
        <v>142</v>
      </c>
      <c r="I1386" s="222">
        <v>472</v>
      </c>
      <c r="J1386" s="223"/>
      <c r="K1386" s="223"/>
      <c r="L1386" s="223"/>
      <c r="M1386" s="223"/>
      <c r="N1386" s="223"/>
      <c r="O1386" s="224"/>
      <c r="P1386" s="224"/>
      <c r="Q1386" s="224">
        <v>50</v>
      </c>
      <c r="R1386" s="224"/>
      <c r="S1386" s="225"/>
    </row>
    <row r="1387" spans="1:19" ht="15" customHeight="1">
      <c r="A1387" s="413">
        <f t="shared" si="30"/>
        <v>1387</v>
      </c>
      <c r="B1387" s="52">
        <v>307</v>
      </c>
      <c r="C1387" s="219" t="s">
        <v>1395</v>
      </c>
      <c r="D1387" s="220" t="s">
        <v>1394</v>
      </c>
      <c r="E1387" s="221"/>
      <c r="F1387" s="53" t="s">
        <v>67</v>
      </c>
      <c r="G1387" s="214" t="s">
        <v>15</v>
      </c>
      <c r="H1387" s="53" t="s">
        <v>1571</v>
      </c>
      <c r="I1387" s="222">
        <v>966</v>
      </c>
      <c r="J1387" s="223"/>
      <c r="K1387" s="223"/>
      <c r="L1387" s="223"/>
      <c r="M1387" s="223"/>
      <c r="N1387" s="223"/>
      <c r="O1387" s="224"/>
      <c r="P1387" s="224"/>
      <c r="Q1387" s="224">
        <v>966</v>
      </c>
      <c r="R1387" s="224"/>
      <c r="S1387" s="225"/>
    </row>
    <row r="1388" spans="1:19" ht="15" customHeight="1">
      <c r="A1388" s="413">
        <f t="shared" si="30"/>
        <v>1388</v>
      </c>
      <c r="B1388" s="52">
        <v>307</v>
      </c>
      <c r="C1388" s="219" t="s">
        <v>1395</v>
      </c>
      <c r="D1388" s="220" t="s">
        <v>1394</v>
      </c>
      <c r="E1388" s="221"/>
      <c r="F1388" s="53" t="s">
        <v>67</v>
      </c>
      <c r="G1388" s="214" t="s">
        <v>15</v>
      </c>
      <c r="H1388" s="53" t="s">
        <v>1315</v>
      </c>
      <c r="I1388" s="222">
        <v>188</v>
      </c>
      <c r="J1388" s="223"/>
      <c r="K1388" s="223"/>
      <c r="L1388" s="223"/>
      <c r="M1388" s="223"/>
      <c r="N1388" s="223"/>
      <c r="O1388" s="224"/>
      <c r="P1388" s="224"/>
      <c r="Q1388" s="224">
        <v>188</v>
      </c>
      <c r="R1388" s="224"/>
      <c r="S1388" s="225"/>
    </row>
    <row r="1389" spans="1:19" ht="15" customHeight="1">
      <c r="A1389" s="413">
        <f t="shared" si="30"/>
        <v>1389</v>
      </c>
      <c r="B1389" s="52">
        <v>307</v>
      </c>
      <c r="C1389" s="219" t="s">
        <v>1395</v>
      </c>
      <c r="D1389" s="220" t="s">
        <v>1394</v>
      </c>
      <c r="E1389" s="221"/>
      <c r="F1389" s="53" t="s">
        <v>1420</v>
      </c>
      <c r="G1389" s="214" t="s">
        <v>1890</v>
      </c>
      <c r="H1389" s="53" t="s">
        <v>176</v>
      </c>
      <c r="I1389" s="222">
        <v>53.8</v>
      </c>
      <c r="J1389" s="223">
        <v>10</v>
      </c>
      <c r="K1389" s="223">
        <v>84</v>
      </c>
      <c r="L1389" s="223"/>
      <c r="M1389" s="223"/>
      <c r="N1389" s="223"/>
      <c r="O1389" s="224"/>
      <c r="P1389" s="224"/>
      <c r="Q1389" s="224"/>
      <c r="R1389" s="224"/>
      <c r="S1389" s="225"/>
    </row>
    <row r="1390" spans="1:19" ht="15" customHeight="1">
      <c r="A1390" s="413">
        <f t="shared" si="30"/>
        <v>1390</v>
      </c>
      <c r="B1390" s="52">
        <v>307</v>
      </c>
      <c r="C1390" s="219" t="s">
        <v>1395</v>
      </c>
      <c r="D1390" s="220" t="s">
        <v>1394</v>
      </c>
      <c r="E1390" s="221"/>
      <c r="F1390" s="53" t="s">
        <v>71</v>
      </c>
      <c r="G1390" s="214" t="s">
        <v>63</v>
      </c>
      <c r="H1390" s="53" t="s">
        <v>1315</v>
      </c>
      <c r="I1390" s="222">
        <v>135</v>
      </c>
      <c r="J1390" s="223">
        <v>130</v>
      </c>
      <c r="K1390" s="223"/>
      <c r="L1390" s="223"/>
      <c r="M1390" s="223"/>
      <c r="N1390" s="223"/>
      <c r="O1390" s="224"/>
      <c r="P1390" s="224"/>
      <c r="Q1390" s="224"/>
      <c r="R1390" s="224">
        <v>43</v>
      </c>
      <c r="S1390" s="225"/>
    </row>
    <row r="1391" spans="1:19" ht="15" customHeight="1">
      <c r="A1391" s="413">
        <f t="shared" si="30"/>
        <v>1391</v>
      </c>
      <c r="B1391" s="52">
        <v>307</v>
      </c>
      <c r="C1391" s="219" t="s">
        <v>1395</v>
      </c>
      <c r="D1391" s="220" t="s">
        <v>1394</v>
      </c>
      <c r="E1391" s="221"/>
      <c r="F1391" s="53" t="s">
        <v>1590</v>
      </c>
      <c r="G1391" s="214" t="s">
        <v>14</v>
      </c>
      <c r="H1391" s="53" t="s">
        <v>109</v>
      </c>
      <c r="I1391" s="222">
        <v>31</v>
      </c>
      <c r="J1391" s="223"/>
      <c r="K1391" s="223">
        <v>27</v>
      </c>
      <c r="L1391" s="223"/>
      <c r="M1391" s="223"/>
      <c r="N1391" s="223"/>
      <c r="O1391" s="224"/>
      <c r="P1391" s="224"/>
      <c r="Q1391" s="224">
        <v>31</v>
      </c>
      <c r="R1391" s="224"/>
      <c r="S1391" s="225"/>
    </row>
    <row r="1392" spans="1:19" ht="15" customHeight="1">
      <c r="A1392" s="413">
        <f t="shared" si="30"/>
        <v>1392</v>
      </c>
      <c r="B1392" s="52">
        <v>307</v>
      </c>
      <c r="C1392" s="219" t="s">
        <v>1395</v>
      </c>
      <c r="D1392" s="220" t="s">
        <v>1394</v>
      </c>
      <c r="E1392" s="221"/>
      <c r="F1392" s="53" t="s">
        <v>1590</v>
      </c>
      <c r="G1392" s="214" t="s">
        <v>66</v>
      </c>
      <c r="H1392" s="53" t="s">
        <v>109</v>
      </c>
      <c r="I1392" s="222">
        <v>5</v>
      </c>
      <c r="J1392" s="223"/>
      <c r="K1392" s="223">
        <v>38</v>
      </c>
      <c r="L1392" s="223"/>
      <c r="M1392" s="223"/>
      <c r="N1392" s="223"/>
      <c r="O1392" s="224"/>
      <c r="P1392" s="224"/>
      <c r="Q1392" s="224">
        <v>5</v>
      </c>
      <c r="R1392" s="224"/>
      <c r="S1392" s="225"/>
    </row>
    <row r="1393" spans="1:19" ht="15" customHeight="1">
      <c r="A1393" s="413">
        <f t="shared" si="30"/>
        <v>1393</v>
      </c>
      <c r="B1393" s="52">
        <v>307</v>
      </c>
      <c r="C1393" s="219" t="s">
        <v>1395</v>
      </c>
      <c r="D1393" s="220" t="s">
        <v>1394</v>
      </c>
      <c r="E1393" s="221"/>
      <c r="F1393" s="53" t="s">
        <v>1590</v>
      </c>
      <c r="G1393" s="214" t="s">
        <v>1802</v>
      </c>
      <c r="H1393" s="53" t="s">
        <v>109</v>
      </c>
      <c r="I1393" s="222">
        <v>36</v>
      </c>
      <c r="J1393" s="223"/>
      <c r="K1393" s="223">
        <v>38</v>
      </c>
      <c r="L1393" s="223"/>
      <c r="M1393" s="223"/>
      <c r="N1393" s="223"/>
      <c r="O1393" s="224"/>
      <c r="P1393" s="224"/>
      <c r="Q1393" s="224">
        <v>36</v>
      </c>
      <c r="R1393" s="224"/>
      <c r="S1393" s="225"/>
    </row>
    <row r="1394" spans="1:19" ht="15" customHeight="1">
      <c r="A1394" s="413">
        <f t="shared" si="30"/>
        <v>1394</v>
      </c>
      <c r="B1394" s="52">
        <v>307</v>
      </c>
      <c r="C1394" s="219" t="s">
        <v>1395</v>
      </c>
      <c r="D1394" s="220" t="s">
        <v>1394</v>
      </c>
      <c r="E1394" s="221"/>
      <c r="F1394" s="53" t="s">
        <v>1590</v>
      </c>
      <c r="G1394" s="214" t="s">
        <v>191</v>
      </c>
      <c r="H1394" s="53" t="s">
        <v>109</v>
      </c>
      <c r="I1394" s="222">
        <v>11</v>
      </c>
      <c r="J1394" s="223"/>
      <c r="K1394" s="223">
        <v>38</v>
      </c>
      <c r="L1394" s="223"/>
      <c r="M1394" s="223"/>
      <c r="N1394" s="223"/>
      <c r="O1394" s="224"/>
      <c r="P1394" s="224"/>
      <c r="Q1394" s="224">
        <v>11</v>
      </c>
      <c r="R1394" s="224"/>
      <c r="S1394" s="225"/>
    </row>
    <row r="1395" spans="1:19" ht="15" customHeight="1">
      <c r="A1395" s="413">
        <f t="shared" si="30"/>
        <v>1395</v>
      </c>
      <c r="B1395" s="52">
        <v>307</v>
      </c>
      <c r="C1395" s="219" t="s">
        <v>1395</v>
      </c>
      <c r="D1395" s="220" t="s">
        <v>1394</v>
      </c>
      <c r="E1395" s="221"/>
      <c r="F1395" s="53" t="s">
        <v>291</v>
      </c>
      <c r="G1395" s="214" t="s">
        <v>182</v>
      </c>
      <c r="H1395" s="53" t="s">
        <v>109</v>
      </c>
      <c r="I1395" s="222">
        <v>3</v>
      </c>
      <c r="J1395" s="223"/>
      <c r="K1395" s="223">
        <v>4</v>
      </c>
      <c r="L1395" s="223"/>
      <c r="M1395" s="223"/>
      <c r="N1395" s="223"/>
      <c r="O1395" s="224"/>
      <c r="P1395" s="224"/>
      <c r="Q1395" s="224"/>
      <c r="R1395" s="224">
        <v>3</v>
      </c>
      <c r="S1395" s="225"/>
    </row>
    <row r="1396" spans="1:19" ht="15" customHeight="1">
      <c r="A1396" s="413">
        <f t="shared" si="30"/>
        <v>1396</v>
      </c>
      <c r="B1396" s="52">
        <v>307</v>
      </c>
      <c r="C1396" s="219" t="s">
        <v>1395</v>
      </c>
      <c r="D1396" s="220" t="s">
        <v>1394</v>
      </c>
      <c r="E1396" s="221"/>
      <c r="F1396" s="53" t="s">
        <v>1591</v>
      </c>
      <c r="G1396" s="214" t="s">
        <v>1747</v>
      </c>
      <c r="H1396" s="53" t="s">
        <v>109</v>
      </c>
      <c r="I1396" s="222">
        <v>2</v>
      </c>
      <c r="J1396" s="223">
        <v>14</v>
      </c>
      <c r="K1396" s="223"/>
      <c r="L1396" s="223"/>
      <c r="M1396" s="223"/>
      <c r="N1396" s="223"/>
      <c r="O1396" s="224"/>
      <c r="P1396" s="224"/>
      <c r="Q1396" s="224"/>
      <c r="R1396" s="224">
        <v>2</v>
      </c>
      <c r="S1396" s="225"/>
    </row>
    <row r="1397" spans="1:19" ht="15" customHeight="1">
      <c r="A1397" s="413">
        <f t="shared" si="30"/>
        <v>1397</v>
      </c>
      <c r="B1397" s="52">
        <v>307</v>
      </c>
      <c r="C1397" s="219" t="s">
        <v>1395</v>
      </c>
      <c r="D1397" s="220" t="s">
        <v>1394</v>
      </c>
      <c r="E1397" s="221"/>
      <c r="F1397" s="53" t="s">
        <v>1591</v>
      </c>
      <c r="G1397" s="214" t="s">
        <v>1801</v>
      </c>
      <c r="H1397" s="53" t="s">
        <v>109</v>
      </c>
      <c r="I1397" s="222">
        <v>2.4</v>
      </c>
      <c r="J1397" s="223">
        <v>14</v>
      </c>
      <c r="K1397" s="223"/>
      <c r="L1397" s="223"/>
      <c r="M1397" s="223"/>
      <c r="N1397" s="223"/>
      <c r="O1397" s="224"/>
      <c r="P1397" s="224"/>
      <c r="Q1397" s="224"/>
      <c r="R1397" s="224">
        <v>2</v>
      </c>
      <c r="S1397" s="225"/>
    </row>
    <row r="1398" spans="1:19" ht="15" customHeight="1">
      <c r="A1398" s="413">
        <f t="shared" si="30"/>
        <v>1398</v>
      </c>
      <c r="B1398" s="52">
        <v>307</v>
      </c>
      <c r="C1398" s="219" t="s">
        <v>1395</v>
      </c>
      <c r="D1398" s="220" t="s">
        <v>1394</v>
      </c>
      <c r="E1398" s="221"/>
      <c r="F1398" s="53" t="s">
        <v>1592</v>
      </c>
      <c r="G1398" s="214" t="s">
        <v>1800</v>
      </c>
      <c r="H1398" s="53" t="s">
        <v>109</v>
      </c>
      <c r="I1398" s="222">
        <v>3</v>
      </c>
      <c r="J1398" s="223">
        <v>17</v>
      </c>
      <c r="K1398" s="223"/>
      <c r="L1398" s="223"/>
      <c r="M1398" s="223"/>
      <c r="N1398" s="223"/>
      <c r="O1398" s="224"/>
      <c r="P1398" s="224"/>
      <c r="Q1398" s="224"/>
      <c r="R1398" s="224">
        <v>3</v>
      </c>
      <c r="S1398" s="225"/>
    </row>
    <row r="1399" spans="1:19" ht="15" customHeight="1">
      <c r="A1399" s="413">
        <f t="shared" si="30"/>
        <v>1399</v>
      </c>
      <c r="B1399" s="52">
        <v>307</v>
      </c>
      <c r="C1399" s="219" t="s">
        <v>1395</v>
      </c>
      <c r="D1399" s="220" t="s">
        <v>1394</v>
      </c>
      <c r="E1399" s="221"/>
      <c r="F1399" s="53" t="s">
        <v>1593</v>
      </c>
      <c r="G1399" s="214" t="s">
        <v>1891</v>
      </c>
      <c r="H1399" s="53" t="s">
        <v>109</v>
      </c>
      <c r="I1399" s="222">
        <v>9</v>
      </c>
      <c r="J1399" s="223">
        <v>16</v>
      </c>
      <c r="K1399" s="223">
        <v>16</v>
      </c>
      <c r="L1399" s="223"/>
      <c r="M1399" s="223"/>
      <c r="N1399" s="223"/>
      <c r="O1399" s="224"/>
      <c r="P1399" s="224"/>
      <c r="Q1399" s="224"/>
      <c r="R1399" s="224">
        <v>9</v>
      </c>
      <c r="S1399" s="225"/>
    </row>
    <row r="1400" spans="1:19" ht="15" customHeight="1">
      <c r="A1400" s="413">
        <f t="shared" si="30"/>
        <v>1400</v>
      </c>
      <c r="B1400" s="52">
        <v>307</v>
      </c>
      <c r="C1400" s="219" t="s">
        <v>1395</v>
      </c>
      <c r="D1400" s="220" t="s">
        <v>1394</v>
      </c>
      <c r="E1400" s="221"/>
      <c r="F1400" s="53" t="s">
        <v>292</v>
      </c>
      <c r="G1400" s="214" t="s">
        <v>1693</v>
      </c>
      <c r="H1400" s="53" t="s">
        <v>109</v>
      </c>
      <c r="I1400" s="222">
        <v>13</v>
      </c>
      <c r="J1400" s="223"/>
      <c r="K1400" s="223">
        <v>35</v>
      </c>
      <c r="L1400" s="223"/>
      <c r="M1400" s="223"/>
      <c r="N1400" s="223"/>
      <c r="O1400" s="224"/>
      <c r="P1400" s="224"/>
      <c r="Q1400" s="224"/>
      <c r="R1400" s="224">
        <v>13</v>
      </c>
      <c r="S1400" s="225"/>
    </row>
    <row r="1401" spans="1:19" ht="15" customHeight="1">
      <c r="A1401" s="413">
        <f t="shared" si="30"/>
        <v>1401</v>
      </c>
      <c r="B1401" s="52">
        <v>307</v>
      </c>
      <c r="C1401" s="219" t="s">
        <v>1395</v>
      </c>
      <c r="D1401" s="220" t="s">
        <v>1394</v>
      </c>
      <c r="E1401" s="221"/>
      <c r="F1401" s="53" t="s">
        <v>1594</v>
      </c>
      <c r="G1401" s="214" t="s">
        <v>1746</v>
      </c>
      <c r="H1401" s="53" t="s">
        <v>109</v>
      </c>
      <c r="I1401" s="222">
        <v>6</v>
      </c>
      <c r="J1401" s="223"/>
      <c r="K1401" s="223">
        <v>21</v>
      </c>
      <c r="L1401" s="223"/>
      <c r="M1401" s="223"/>
      <c r="N1401" s="223"/>
      <c r="O1401" s="224"/>
      <c r="P1401" s="224"/>
      <c r="Q1401" s="224"/>
      <c r="R1401" s="224">
        <v>6</v>
      </c>
      <c r="S1401" s="225"/>
    </row>
    <row r="1402" spans="1:19" ht="15" customHeight="1">
      <c r="A1402" s="413">
        <f t="shared" si="30"/>
        <v>1402</v>
      </c>
      <c r="B1402" s="52">
        <v>307</v>
      </c>
      <c r="C1402" s="219" t="s">
        <v>1395</v>
      </c>
      <c r="D1402" s="220" t="s">
        <v>1394</v>
      </c>
      <c r="E1402" s="221"/>
      <c r="F1402" s="53" t="s">
        <v>164</v>
      </c>
      <c r="G1402" s="214"/>
      <c r="H1402" s="53" t="s">
        <v>1312</v>
      </c>
      <c r="I1402" s="222">
        <v>33</v>
      </c>
      <c r="J1402" s="223"/>
      <c r="K1402" s="223"/>
      <c r="L1402" s="223"/>
      <c r="M1402" s="223">
        <v>26</v>
      </c>
      <c r="N1402" s="223"/>
      <c r="O1402" s="224"/>
      <c r="P1402" s="224"/>
      <c r="Q1402" s="224"/>
      <c r="R1402" s="224"/>
      <c r="S1402" s="225"/>
    </row>
    <row r="1403" spans="1:19" ht="15" customHeight="1">
      <c r="A1403" s="413">
        <f t="shared" si="30"/>
        <v>1403</v>
      </c>
      <c r="B1403" s="52">
        <v>307</v>
      </c>
      <c r="C1403" s="219" t="s">
        <v>1395</v>
      </c>
      <c r="D1403" s="220" t="s">
        <v>1394</v>
      </c>
      <c r="E1403" s="221"/>
      <c r="F1403" s="53" t="s">
        <v>164</v>
      </c>
      <c r="G1403" s="214"/>
      <c r="H1403" s="53" t="s">
        <v>1312</v>
      </c>
      <c r="I1403" s="222">
        <v>33</v>
      </c>
      <c r="J1403" s="223"/>
      <c r="K1403" s="223"/>
      <c r="L1403" s="223"/>
      <c r="M1403" s="223">
        <v>26</v>
      </c>
      <c r="N1403" s="223"/>
      <c r="O1403" s="224"/>
      <c r="P1403" s="224"/>
      <c r="Q1403" s="224"/>
      <c r="R1403" s="224"/>
      <c r="S1403" s="225"/>
    </row>
    <row r="1404" spans="1:19" ht="15" customHeight="1">
      <c r="A1404" s="413">
        <f t="shared" si="30"/>
        <v>1404</v>
      </c>
      <c r="B1404" s="52">
        <v>307</v>
      </c>
      <c r="C1404" s="219" t="s">
        <v>1395</v>
      </c>
      <c r="D1404" s="220" t="s">
        <v>1394</v>
      </c>
      <c r="E1404" s="221"/>
      <c r="F1404" s="53" t="s">
        <v>164</v>
      </c>
      <c r="G1404" s="214"/>
      <c r="H1404" s="53" t="s">
        <v>1312</v>
      </c>
      <c r="I1404" s="222">
        <v>33</v>
      </c>
      <c r="J1404" s="223"/>
      <c r="K1404" s="223"/>
      <c r="L1404" s="223"/>
      <c r="M1404" s="223">
        <v>26</v>
      </c>
      <c r="N1404" s="223"/>
      <c r="O1404" s="224"/>
      <c r="P1404" s="224"/>
      <c r="Q1404" s="224"/>
      <c r="R1404" s="224"/>
      <c r="S1404" s="225"/>
    </row>
    <row r="1405" spans="1:19" ht="15" customHeight="1">
      <c r="A1405" s="413">
        <f t="shared" si="30"/>
        <v>1405</v>
      </c>
      <c r="B1405" s="52">
        <v>307</v>
      </c>
      <c r="C1405" s="219" t="s">
        <v>1395</v>
      </c>
      <c r="D1405" s="220" t="s">
        <v>1394</v>
      </c>
      <c r="E1405" s="221"/>
      <c r="F1405" s="53" t="s">
        <v>1540</v>
      </c>
      <c r="G1405" s="214" t="s">
        <v>1892</v>
      </c>
      <c r="H1405" s="53" t="s">
        <v>68</v>
      </c>
      <c r="I1405" s="222">
        <v>147</v>
      </c>
      <c r="J1405" s="223">
        <v>180</v>
      </c>
      <c r="K1405" s="223"/>
      <c r="L1405" s="223"/>
      <c r="M1405" s="223"/>
      <c r="N1405" s="223"/>
      <c r="O1405" s="224"/>
      <c r="P1405" s="224"/>
      <c r="Q1405" s="224"/>
      <c r="R1405" s="224"/>
      <c r="S1405" s="225"/>
    </row>
    <row r="1406" spans="1:19" ht="15" customHeight="1">
      <c r="A1406" s="413">
        <f t="shared" si="30"/>
        <v>1406</v>
      </c>
      <c r="B1406" s="52">
        <v>307</v>
      </c>
      <c r="C1406" s="219" t="s">
        <v>1395</v>
      </c>
      <c r="D1406" s="220" t="s">
        <v>1394</v>
      </c>
      <c r="E1406" s="221"/>
      <c r="F1406" s="53" t="s">
        <v>71</v>
      </c>
      <c r="G1406" s="214" t="s">
        <v>63</v>
      </c>
      <c r="H1406" s="53" t="s">
        <v>1315</v>
      </c>
      <c r="I1406" s="222">
        <v>391</v>
      </c>
      <c r="J1406" s="223"/>
      <c r="K1406" s="223"/>
      <c r="L1406" s="223"/>
      <c r="M1406" s="223"/>
      <c r="N1406" s="223"/>
      <c r="O1406" s="224"/>
      <c r="P1406" s="224"/>
      <c r="Q1406" s="224"/>
      <c r="R1406" s="224"/>
      <c r="S1406" s="225"/>
    </row>
    <row r="1407" spans="1:19" ht="15" customHeight="1">
      <c r="A1407" s="413">
        <f t="shared" si="30"/>
        <v>1407</v>
      </c>
      <c r="B1407" s="52">
        <v>307</v>
      </c>
      <c r="C1407" s="219" t="s">
        <v>1395</v>
      </c>
      <c r="D1407" s="220" t="s">
        <v>1394</v>
      </c>
      <c r="E1407" s="221"/>
      <c r="F1407" s="53" t="s">
        <v>1</v>
      </c>
      <c r="G1407" s="214"/>
      <c r="H1407" s="53" t="s">
        <v>1053</v>
      </c>
      <c r="I1407" s="222">
        <v>5</v>
      </c>
      <c r="J1407" s="223"/>
      <c r="K1407" s="223"/>
      <c r="L1407" s="223"/>
      <c r="M1407" s="223"/>
      <c r="N1407" s="223"/>
      <c r="O1407" s="224"/>
      <c r="P1407" s="224"/>
      <c r="Q1407" s="224"/>
      <c r="R1407" s="224"/>
      <c r="S1407" s="225"/>
    </row>
    <row r="1408" spans="1:19" ht="15" customHeight="1">
      <c r="A1408" s="413">
        <f t="shared" si="30"/>
        <v>1408</v>
      </c>
      <c r="B1408" s="52">
        <v>307</v>
      </c>
      <c r="C1408" s="219" t="s">
        <v>1395</v>
      </c>
      <c r="D1408" s="220" t="s">
        <v>1394</v>
      </c>
      <c r="E1408" s="221"/>
      <c r="F1408" s="53" t="s">
        <v>1</v>
      </c>
      <c r="G1408" s="214"/>
      <c r="H1408" s="53" t="s">
        <v>1053</v>
      </c>
      <c r="I1408" s="222">
        <v>5</v>
      </c>
      <c r="J1408" s="223"/>
      <c r="K1408" s="223"/>
      <c r="L1408" s="223"/>
      <c r="M1408" s="223"/>
      <c r="N1408" s="223"/>
      <c r="O1408" s="224"/>
      <c r="P1408" s="224"/>
      <c r="Q1408" s="224"/>
      <c r="R1408" s="224"/>
      <c r="S1408" s="225"/>
    </row>
    <row r="1409" spans="1:19" ht="15" customHeight="1">
      <c r="A1409" s="413">
        <f t="shared" si="30"/>
        <v>1409</v>
      </c>
      <c r="B1409" s="52">
        <v>308</v>
      </c>
      <c r="C1409" s="219" t="s">
        <v>1402</v>
      </c>
      <c r="D1409" s="220" t="s">
        <v>1394</v>
      </c>
      <c r="E1409" s="221"/>
      <c r="F1409" s="53" t="s">
        <v>1543</v>
      </c>
      <c r="G1409" s="214" t="s">
        <v>15</v>
      </c>
      <c r="H1409" s="53" t="s">
        <v>68</v>
      </c>
      <c r="I1409" s="222">
        <v>42</v>
      </c>
      <c r="J1409" s="223" t="s">
        <v>1582</v>
      </c>
      <c r="K1409" s="223"/>
      <c r="L1409" s="223"/>
      <c r="M1409" s="223"/>
      <c r="N1409" s="223"/>
      <c r="O1409" s="224"/>
      <c r="P1409" s="224"/>
      <c r="Q1409" s="224"/>
      <c r="R1409" s="224"/>
      <c r="S1409" s="225"/>
    </row>
    <row r="1410" spans="1:19" ht="15" customHeight="1">
      <c r="A1410" s="413">
        <f t="shared" si="30"/>
        <v>1410</v>
      </c>
      <c r="B1410" s="52">
        <v>308</v>
      </c>
      <c r="C1410" s="219" t="s">
        <v>1402</v>
      </c>
      <c r="D1410" s="220" t="s">
        <v>1394</v>
      </c>
      <c r="E1410" s="221"/>
      <c r="F1410" s="53" t="s">
        <v>1544</v>
      </c>
      <c r="G1410" s="214" t="s">
        <v>1864</v>
      </c>
      <c r="H1410" s="53" t="s">
        <v>1571</v>
      </c>
      <c r="I1410" s="222">
        <v>623</v>
      </c>
      <c r="J1410" s="223"/>
      <c r="K1410" s="223"/>
      <c r="L1410" s="223"/>
      <c r="M1410" s="223"/>
      <c r="N1410" s="223"/>
      <c r="O1410" s="224"/>
      <c r="P1410" s="224"/>
      <c r="Q1410" s="224"/>
      <c r="R1410" s="224"/>
      <c r="S1410" s="225"/>
    </row>
    <row r="1411" spans="1:19" ht="15" customHeight="1">
      <c r="A1411" s="413">
        <f t="shared" ref="A1411:A1474" si="31">1+A1410</f>
        <v>1411</v>
      </c>
      <c r="B1411" s="52">
        <v>308</v>
      </c>
      <c r="C1411" s="219" t="s">
        <v>1402</v>
      </c>
      <c r="D1411" s="220" t="s">
        <v>1394</v>
      </c>
      <c r="E1411" s="221"/>
      <c r="F1411" s="53" t="s">
        <v>1572</v>
      </c>
      <c r="G1411" s="214" t="s">
        <v>1864</v>
      </c>
      <c r="H1411" s="53" t="s">
        <v>1573</v>
      </c>
      <c r="I1411" s="222">
        <v>421</v>
      </c>
      <c r="J1411" s="223"/>
      <c r="K1411" s="223"/>
      <c r="L1411" s="223"/>
      <c r="M1411" s="223"/>
      <c r="N1411" s="223"/>
      <c r="O1411" s="224"/>
      <c r="P1411" s="224"/>
      <c r="Q1411" s="224"/>
      <c r="R1411" s="224"/>
      <c r="S1411" s="225"/>
    </row>
    <row r="1412" spans="1:19" ht="15" customHeight="1">
      <c r="A1412" s="413">
        <f t="shared" si="31"/>
        <v>1412</v>
      </c>
      <c r="B1412" s="52">
        <v>308</v>
      </c>
      <c r="C1412" s="219" t="s">
        <v>1402</v>
      </c>
      <c r="D1412" s="220" t="s">
        <v>1394</v>
      </c>
      <c r="E1412" s="221"/>
      <c r="F1412" s="53" t="s">
        <v>1574</v>
      </c>
      <c r="G1412" s="214" t="s">
        <v>1864</v>
      </c>
      <c r="H1412" s="53" t="s">
        <v>12</v>
      </c>
      <c r="I1412" s="222">
        <v>199</v>
      </c>
      <c r="J1412" s="223"/>
      <c r="K1412" s="223"/>
      <c r="L1412" s="223"/>
      <c r="M1412" s="223"/>
      <c r="N1412" s="223"/>
      <c r="O1412" s="224"/>
      <c r="P1412" s="224"/>
      <c r="Q1412" s="224"/>
      <c r="R1412" s="224"/>
      <c r="S1412" s="225"/>
    </row>
    <row r="1413" spans="1:19" ht="15" customHeight="1">
      <c r="A1413" s="413">
        <f t="shared" si="31"/>
        <v>1413</v>
      </c>
      <c r="B1413" s="52">
        <v>308</v>
      </c>
      <c r="C1413" s="219" t="s">
        <v>1402</v>
      </c>
      <c r="D1413" s="220" t="s">
        <v>1394</v>
      </c>
      <c r="E1413" s="221"/>
      <c r="F1413" s="53" t="s">
        <v>1575</v>
      </c>
      <c r="G1413" s="214" t="s">
        <v>1875</v>
      </c>
      <c r="H1413" s="53" t="s">
        <v>176</v>
      </c>
      <c r="I1413" s="222">
        <v>1</v>
      </c>
      <c r="J1413" s="223"/>
      <c r="K1413" s="223"/>
      <c r="L1413" s="223"/>
      <c r="M1413" s="223">
        <v>22</v>
      </c>
      <c r="N1413" s="223">
        <v>17</v>
      </c>
      <c r="O1413" s="224"/>
      <c r="P1413" s="224"/>
      <c r="Q1413" s="224"/>
      <c r="R1413" s="224">
        <v>9</v>
      </c>
      <c r="S1413" s="225"/>
    </row>
    <row r="1414" spans="1:19" ht="15" customHeight="1">
      <c r="A1414" s="413">
        <f t="shared" si="31"/>
        <v>1414</v>
      </c>
      <c r="B1414" s="52">
        <v>308</v>
      </c>
      <c r="C1414" s="219" t="s">
        <v>1402</v>
      </c>
      <c r="D1414" s="220" t="s">
        <v>1394</v>
      </c>
      <c r="E1414" s="221"/>
      <c r="F1414" s="53" t="s">
        <v>1575</v>
      </c>
      <c r="G1414" s="214" t="s">
        <v>1875</v>
      </c>
      <c r="H1414" s="53" t="s">
        <v>176</v>
      </c>
      <c r="I1414" s="222">
        <v>8</v>
      </c>
      <c r="J1414" s="223"/>
      <c r="K1414" s="223"/>
      <c r="L1414" s="223"/>
      <c r="M1414" s="223">
        <v>22</v>
      </c>
      <c r="N1414" s="223">
        <v>17</v>
      </c>
      <c r="O1414" s="224"/>
      <c r="P1414" s="224"/>
      <c r="Q1414" s="224"/>
      <c r="R1414" s="224">
        <v>9</v>
      </c>
      <c r="S1414" s="225"/>
    </row>
    <row r="1415" spans="1:19" ht="15" customHeight="1">
      <c r="A1415" s="413">
        <f t="shared" si="31"/>
        <v>1415</v>
      </c>
      <c r="B1415" s="52">
        <v>308</v>
      </c>
      <c r="C1415" s="219" t="s">
        <v>1402</v>
      </c>
      <c r="D1415" s="220" t="s">
        <v>1394</v>
      </c>
      <c r="E1415" s="221"/>
      <c r="F1415" s="53" t="s">
        <v>18</v>
      </c>
      <c r="G1415" s="214" t="s">
        <v>1867</v>
      </c>
      <c r="H1415" s="53" t="s">
        <v>1312</v>
      </c>
      <c r="I1415" s="222">
        <v>33</v>
      </c>
      <c r="J1415" s="223"/>
      <c r="K1415" s="223"/>
      <c r="L1415" s="223"/>
      <c r="M1415" s="223">
        <v>18</v>
      </c>
      <c r="N1415" s="223"/>
      <c r="O1415" s="224"/>
      <c r="P1415" s="224"/>
      <c r="Q1415" s="224"/>
      <c r="R1415" s="224"/>
      <c r="S1415" s="225"/>
    </row>
    <row r="1416" spans="1:19" ht="15" customHeight="1">
      <c r="A1416" s="413">
        <f t="shared" si="31"/>
        <v>1416</v>
      </c>
      <c r="B1416" s="52">
        <v>308</v>
      </c>
      <c r="C1416" s="219" t="s">
        <v>1402</v>
      </c>
      <c r="D1416" s="220" t="s">
        <v>1394</v>
      </c>
      <c r="E1416" s="221"/>
      <c r="F1416" s="53" t="s">
        <v>1553</v>
      </c>
      <c r="G1416" s="214" t="s">
        <v>16</v>
      </c>
      <c r="H1416" s="53" t="s">
        <v>1315</v>
      </c>
      <c r="I1416" s="222">
        <v>6.41</v>
      </c>
      <c r="J1416" s="223"/>
      <c r="K1416" s="223">
        <v>34</v>
      </c>
      <c r="L1416" s="223"/>
      <c r="M1416" s="223"/>
      <c r="N1416" s="223"/>
      <c r="O1416" s="224"/>
      <c r="P1416" s="224"/>
      <c r="Q1416" s="224">
        <v>6</v>
      </c>
      <c r="R1416" s="224"/>
      <c r="S1416" s="225"/>
    </row>
    <row r="1417" spans="1:19" ht="15" customHeight="1">
      <c r="A1417" s="413">
        <f t="shared" si="31"/>
        <v>1417</v>
      </c>
      <c r="B1417" s="52">
        <v>308</v>
      </c>
      <c r="C1417" s="219" t="s">
        <v>1402</v>
      </c>
      <c r="D1417" s="220" t="s">
        <v>1394</v>
      </c>
      <c r="E1417" s="221"/>
      <c r="F1417" s="53" t="s">
        <v>1545</v>
      </c>
      <c r="G1417" s="214" t="s">
        <v>1693</v>
      </c>
      <c r="H1417" s="53" t="s">
        <v>109</v>
      </c>
      <c r="I1417" s="222">
        <v>11</v>
      </c>
      <c r="J1417" s="223"/>
      <c r="K1417" s="223">
        <v>50</v>
      </c>
      <c r="L1417" s="223"/>
      <c r="M1417" s="223"/>
      <c r="N1417" s="223"/>
      <c r="O1417" s="224"/>
      <c r="P1417" s="224"/>
      <c r="Q1417" s="224">
        <v>11</v>
      </c>
      <c r="R1417" s="224"/>
      <c r="S1417" s="225"/>
    </row>
    <row r="1418" spans="1:19" ht="15" customHeight="1">
      <c r="A1418" s="413">
        <f t="shared" si="31"/>
        <v>1418</v>
      </c>
      <c r="B1418" s="52">
        <v>308</v>
      </c>
      <c r="C1418" s="219" t="s">
        <v>1402</v>
      </c>
      <c r="D1418" s="220" t="s">
        <v>1394</v>
      </c>
      <c r="E1418" s="221"/>
      <c r="F1418" s="53" t="s">
        <v>1546</v>
      </c>
      <c r="G1418" s="214" t="s">
        <v>1746</v>
      </c>
      <c r="H1418" s="53" t="s">
        <v>109</v>
      </c>
      <c r="I1418" s="222">
        <v>2</v>
      </c>
      <c r="J1418" s="223"/>
      <c r="K1418" s="223">
        <v>16</v>
      </c>
      <c r="L1418" s="223"/>
      <c r="M1418" s="223"/>
      <c r="N1418" s="223"/>
      <c r="O1418" s="224"/>
      <c r="P1418" s="224"/>
      <c r="Q1418" s="224">
        <v>2</v>
      </c>
      <c r="R1418" s="224"/>
      <c r="S1418" s="225"/>
    </row>
    <row r="1419" spans="1:19" ht="15" customHeight="1">
      <c r="A1419" s="413">
        <f t="shared" si="31"/>
        <v>1419</v>
      </c>
      <c r="B1419" s="52">
        <v>414</v>
      </c>
      <c r="C1419" s="219" t="s">
        <v>1402</v>
      </c>
      <c r="D1419" s="220" t="s">
        <v>1538</v>
      </c>
      <c r="E1419" s="221"/>
      <c r="F1419" s="53" t="s">
        <v>1595</v>
      </c>
      <c r="G1419" s="214" t="s">
        <v>1799</v>
      </c>
      <c r="H1419" s="53" t="s">
        <v>12</v>
      </c>
      <c r="I1419" s="222">
        <v>11</v>
      </c>
      <c r="J1419" s="223"/>
      <c r="K1419" s="223">
        <v>35</v>
      </c>
      <c r="L1419" s="223"/>
      <c r="M1419" s="223"/>
      <c r="N1419" s="223"/>
      <c r="O1419" s="224"/>
      <c r="P1419" s="224"/>
      <c r="Q1419" s="224">
        <v>11</v>
      </c>
      <c r="R1419" s="224"/>
      <c r="S1419" s="225"/>
    </row>
    <row r="1420" spans="1:19" ht="15" customHeight="1">
      <c r="A1420" s="413">
        <f t="shared" si="31"/>
        <v>1420</v>
      </c>
      <c r="B1420" s="52">
        <v>414</v>
      </c>
      <c r="C1420" s="219" t="s">
        <v>1402</v>
      </c>
      <c r="D1420" s="220" t="s">
        <v>1538</v>
      </c>
      <c r="E1420" s="221"/>
      <c r="F1420" s="53" t="s">
        <v>1596</v>
      </c>
      <c r="G1420" s="214" t="s">
        <v>1888</v>
      </c>
      <c r="H1420" s="53" t="s">
        <v>12</v>
      </c>
      <c r="I1420" s="222">
        <v>30</v>
      </c>
      <c r="J1420" s="223"/>
      <c r="K1420" s="223">
        <v>69</v>
      </c>
      <c r="L1420" s="223"/>
      <c r="M1420" s="223"/>
      <c r="N1420" s="223"/>
      <c r="O1420" s="224"/>
      <c r="P1420" s="224"/>
      <c r="Q1420" s="224">
        <v>30</v>
      </c>
      <c r="R1420" s="224"/>
      <c r="S1420" s="225"/>
    </row>
    <row r="1421" spans="1:19" ht="15" customHeight="1">
      <c r="A1421" s="413">
        <f t="shared" si="31"/>
        <v>1421</v>
      </c>
      <c r="B1421" s="52">
        <v>308</v>
      </c>
      <c r="C1421" s="219" t="s">
        <v>1402</v>
      </c>
      <c r="D1421" s="220" t="s">
        <v>1394</v>
      </c>
      <c r="E1421" s="221"/>
      <c r="F1421" s="53" t="s">
        <v>70</v>
      </c>
      <c r="G1421" s="214" t="s">
        <v>1800</v>
      </c>
      <c r="H1421" s="53" t="s">
        <v>109</v>
      </c>
      <c r="I1421" s="222">
        <v>6</v>
      </c>
      <c r="J1421" s="223">
        <v>2</v>
      </c>
      <c r="K1421" s="223">
        <v>38</v>
      </c>
      <c r="L1421" s="223"/>
      <c r="M1421" s="223"/>
      <c r="N1421" s="223"/>
      <c r="O1421" s="224"/>
      <c r="P1421" s="224"/>
      <c r="Q1421" s="224">
        <v>6</v>
      </c>
      <c r="R1421" s="224"/>
      <c r="S1421" s="225"/>
    </row>
    <row r="1422" spans="1:19" ht="15" customHeight="1">
      <c r="A1422" s="413">
        <f t="shared" si="31"/>
        <v>1422</v>
      </c>
      <c r="B1422" s="52">
        <v>308</v>
      </c>
      <c r="C1422" s="219" t="s">
        <v>1402</v>
      </c>
      <c r="D1422" s="220" t="s">
        <v>1394</v>
      </c>
      <c r="E1422" s="221"/>
      <c r="F1422" s="53" t="s">
        <v>1566</v>
      </c>
      <c r="G1422" s="214" t="s">
        <v>14</v>
      </c>
      <c r="H1422" s="53" t="s">
        <v>109</v>
      </c>
      <c r="I1422" s="222">
        <v>11</v>
      </c>
      <c r="J1422" s="223"/>
      <c r="K1422" s="223">
        <v>46</v>
      </c>
      <c r="L1422" s="223"/>
      <c r="M1422" s="223"/>
      <c r="N1422" s="223"/>
      <c r="O1422" s="224"/>
      <c r="P1422" s="224"/>
      <c r="Q1422" s="224">
        <v>11</v>
      </c>
      <c r="R1422" s="224"/>
      <c r="S1422" s="225"/>
    </row>
    <row r="1423" spans="1:19" ht="15" customHeight="1">
      <c r="A1423" s="413">
        <f t="shared" si="31"/>
        <v>1423</v>
      </c>
      <c r="B1423" s="52">
        <v>308</v>
      </c>
      <c r="C1423" s="219" t="s">
        <v>1402</v>
      </c>
      <c r="D1423" s="220" t="s">
        <v>1394</v>
      </c>
      <c r="E1423" s="221"/>
      <c r="F1423" s="53" t="s">
        <v>1578</v>
      </c>
      <c r="G1423" s="214"/>
      <c r="H1423" s="53" t="s">
        <v>1315</v>
      </c>
      <c r="I1423" s="222">
        <v>32</v>
      </c>
      <c r="J1423" s="223"/>
      <c r="K1423" s="223"/>
      <c r="L1423" s="223"/>
      <c r="M1423" s="223"/>
      <c r="N1423" s="223"/>
      <c r="O1423" s="224"/>
      <c r="P1423" s="224"/>
      <c r="Q1423" s="224"/>
      <c r="R1423" s="224"/>
      <c r="S1423" s="225"/>
    </row>
    <row r="1424" spans="1:19" ht="15" customHeight="1">
      <c r="A1424" s="413">
        <f t="shared" si="31"/>
        <v>1424</v>
      </c>
      <c r="B1424" s="52">
        <v>308</v>
      </c>
      <c r="C1424" s="219" t="s">
        <v>1402</v>
      </c>
      <c r="D1424" s="220" t="s">
        <v>1394</v>
      </c>
      <c r="E1424" s="221"/>
      <c r="F1424" s="53" t="s">
        <v>1558</v>
      </c>
      <c r="G1424" s="214" t="s">
        <v>1802</v>
      </c>
      <c r="H1424" s="53" t="s">
        <v>1053</v>
      </c>
      <c r="I1424" s="222">
        <v>5</v>
      </c>
      <c r="J1424" s="223"/>
      <c r="K1424" s="223"/>
      <c r="L1424" s="223"/>
      <c r="M1424" s="223"/>
      <c r="N1424" s="223"/>
      <c r="O1424" s="224"/>
      <c r="P1424" s="224"/>
      <c r="Q1424" s="224"/>
      <c r="R1424" s="224"/>
      <c r="S1424" s="225"/>
    </row>
    <row r="1425" spans="1:19" ht="15" customHeight="1">
      <c r="A1425" s="413">
        <f t="shared" si="31"/>
        <v>1425</v>
      </c>
      <c r="B1425" s="52">
        <v>309</v>
      </c>
      <c r="C1425" s="219" t="s">
        <v>1398</v>
      </c>
      <c r="D1425" s="220" t="s">
        <v>1394</v>
      </c>
      <c r="E1425" s="221"/>
      <c r="F1425" s="53" t="s">
        <v>1543</v>
      </c>
      <c r="G1425" s="214" t="s">
        <v>15</v>
      </c>
      <c r="H1425" s="53" t="s">
        <v>68</v>
      </c>
      <c r="I1425" s="222">
        <v>41</v>
      </c>
      <c r="J1425" s="223" t="s">
        <v>1582</v>
      </c>
      <c r="K1425" s="223"/>
      <c r="L1425" s="223"/>
      <c r="M1425" s="223"/>
      <c r="N1425" s="223"/>
      <c r="O1425" s="224"/>
      <c r="P1425" s="224"/>
      <c r="Q1425" s="224"/>
      <c r="R1425" s="224"/>
      <c r="S1425" s="225"/>
    </row>
    <row r="1426" spans="1:19" ht="15" customHeight="1">
      <c r="A1426" s="413">
        <f t="shared" si="31"/>
        <v>1426</v>
      </c>
      <c r="B1426" s="52">
        <v>309</v>
      </c>
      <c r="C1426" s="219" t="s">
        <v>1398</v>
      </c>
      <c r="D1426" s="220" t="s">
        <v>1394</v>
      </c>
      <c r="E1426" s="221"/>
      <c r="F1426" s="53" t="s">
        <v>1544</v>
      </c>
      <c r="G1426" s="214" t="s">
        <v>1864</v>
      </c>
      <c r="H1426" s="53" t="s">
        <v>1571</v>
      </c>
      <c r="I1426" s="222">
        <v>496</v>
      </c>
      <c r="J1426" s="223"/>
      <c r="K1426" s="223"/>
      <c r="L1426" s="223"/>
      <c r="M1426" s="223"/>
      <c r="N1426" s="223"/>
      <c r="O1426" s="224"/>
      <c r="P1426" s="224"/>
      <c r="Q1426" s="224"/>
      <c r="R1426" s="224"/>
      <c r="S1426" s="225"/>
    </row>
    <row r="1427" spans="1:19" ht="15" customHeight="1">
      <c r="A1427" s="413">
        <f t="shared" si="31"/>
        <v>1427</v>
      </c>
      <c r="B1427" s="52">
        <v>309</v>
      </c>
      <c r="C1427" s="219" t="s">
        <v>1398</v>
      </c>
      <c r="D1427" s="220" t="s">
        <v>1394</v>
      </c>
      <c r="E1427" s="221"/>
      <c r="F1427" s="53" t="s">
        <v>1572</v>
      </c>
      <c r="G1427" s="214" t="s">
        <v>1864</v>
      </c>
      <c r="H1427" s="53" t="s">
        <v>1573</v>
      </c>
      <c r="I1427" s="222">
        <v>531</v>
      </c>
      <c r="J1427" s="223"/>
      <c r="K1427" s="223"/>
      <c r="L1427" s="223"/>
      <c r="M1427" s="223"/>
      <c r="N1427" s="223"/>
      <c r="O1427" s="224"/>
      <c r="P1427" s="224"/>
      <c r="Q1427" s="224"/>
      <c r="R1427" s="224"/>
      <c r="S1427" s="225"/>
    </row>
    <row r="1428" spans="1:19" ht="15" customHeight="1">
      <c r="A1428" s="413">
        <f t="shared" si="31"/>
        <v>1428</v>
      </c>
      <c r="B1428" s="52">
        <v>309</v>
      </c>
      <c r="C1428" s="219" t="s">
        <v>1398</v>
      </c>
      <c r="D1428" s="220" t="s">
        <v>1394</v>
      </c>
      <c r="E1428" s="221"/>
      <c r="F1428" s="53" t="s">
        <v>1597</v>
      </c>
      <c r="G1428" s="214" t="s">
        <v>1864</v>
      </c>
      <c r="H1428" s="53" t="s">
        <v>12</v>
      </c>
      <c r="I1428" s="222">
        <v>199</v>
      </c>
      <c r="J1428" s="223"/>
      <c r="K1428" s="223"/>
      <c r="L1428" s="223"/>
      <c r="M1428" s="223"/>
      <c r="N1428" s="223"/>
      <c r="O1428" s="224"/>
      <c r="P1428" s="224"/>
      <c r="Q1428" s="224"/>
      <c r="R1428" s="224"/>
      <c r="S1428" s="225"/>
    </row>
    <row r="1429" spans="1:19" ht="15" customHeight="1">
      <c r="A1429" s="413">
        <f t="shared" si="31"/>
        <v>1429</v>
      </c>
      <c r="B1429" s="52">
        <v>309</v>
      </c>
      <c r="C1429" s="219" t="s">
        <v>1398</v>
      </c>
      <c r="D1429" s="220" t="s">
        <v>1394</v>
      </c>
      <c r="E1429" s="221"/>
      <c r="F1429" s="53" t="s">
        <v>1575</v>
      </c>
      <c r="G1429" s="214" t="s">
        <v>1875</v>
      </c>
      <c r="H1429" s="53" t="s">
        <v>176</v>
      </c>
      <c r="I1429" s="222">
        <v>1</v>
      </c>
      <c r="J1429" s="223"/>
      <c r="K1429" s="223"/>
      <c r="L1429" s="223"/>
      <c r="M1429" s="223">
        <v>22</v>
      </c>
      <c r="N1429" s="223">
        <v>17</v>
      </c>
      <c r="O1429" s="224"/>
      <c r="P1429" s="224"/>
      <c r="Q1429" s="224"/>
      <c r="R1429" s="224">
        <v>9</v>
      </c>
      <c r="S1429" s="225"/>
    </row>
    <row r="1430" spans="1:19" ht="15" customHeight="1">
      <c r="A1430" s="413">
        <f t="shared" si="31"/>
        <v>1430</v>
      </c>
      <c r="B1430" s="52">
        <v>309</v>
      </c>
      <c r="C1430" s="219" t="s">
        <v>1398</v>
      </c>
      <c r="D1430" s="220" t="s">
        <v>1394</v>
      </c>
      <c r="E1430" s="221"/>
      <c r="F1430" s="53" t="s">
        <v>1575</v>
      </c>
      <c r="G1430" s="214" t="s">
        <v>1875</v>
      </c>
      <c r="H1430" s="53" t="s">
        <v>176</v>
      </c>
      <c r="I1430" s="222">
        <v>8</v>
      </c>
      <c r="J1430" s="223"/>
      <c r="K1430" s="223"/>
      <c r="L1430" s="223"/>
      <c r="M1430" s="223">
        <v>22</v>
      </c>
      <c r="N1430" s="223">
        <v>17</v>
      </c>
      <c r="O1430" s="224"/>
      <c r="P1430" s="224"/>
      <c r="Q1430" s="224"/>
      <c r="R1430" s="224">
        <v>9</v>
      </c>
      <c r="S1430" s="225"/>
    </row>
    <row r="1431" spans="1:19" ht="15" customHeight="1">
      <c r="A1431" s="413">
        <f t="shared" si="31"/>
        <v>1431</v>
      </c>
      <c r="B1431" s="52">
        <v>309</v>
      </c>
      <c r="C1431" s="219" t="s">
        <v>1398</v>
      </c>
      <c r="D1431" s="220" t="s">
        <v>1394</v>
      </c>
      <c r="E1431" s="221"/>
      <c r="F1431" s="53" t="s">
        <v>18</v>
      </c>
      <c r="G1431" s="214" t="s">
        <v>1867</v>
      </c>
      <c r="H1431" s="53" t="s">
        <v>1312</v>
      </c>
      <c r="I1431" s="222">
        <v>33</v>
      </c>
      <c r="J1431" s="223"/>
      <c r="K1431" s="223"/>
      <c r="L1431" s="223"/>
      <c r="M1431" s="223">
        <v>18</v>
      </c>
      <c r="N1431" s="223"/>
      <c r="O1431" s="224"/>
      <c r="P1431" s="224"/>
      <c r="Q1431" s="224"/>
      <c r="R1431" s="224"/>
      <c r="S1431" s="225"/>
    </row>
    <row r="1432" spans="1:19" ht="15" customHeight="1">
      <c r="A1432" s="413">
        <f t="shared" si="31"/>
        <v>1432</v>
      </c>
      <c r="B1432" s="52">
        <v>309</v>
      </c>
      <c r="C1432" s="219" t="s">
        <v>1398</v>
      </c>
      <c r="D1432" s="220" t="s">
        <v>1394</v>
      </c>
      <c r="E1432" s="221"/>
      <c r="F1432" s="53" t="s">
        <v>1598</v>
      </c>
      <c r="G1432" s="214" t="s">
        <v>16</v>
      </c>
      <c r="H1432" s="53" t="s">
        <v>1315</v>
      </c>
      <c r="I1432" s="222">
        <v>6.41</v>
      </c>
      <c r="J1432" s="223"/>
      <c r="K1432" s="223">
        <v>44</v>
      </c>
      <c r="L1432" s="223"/>
      <c r="M1432" s="223"/>
      <c r="N1432" s="223"/>
      <c r="O1432" s="224"/>
      <c r="P1432" s="224"/>
      <c r="Q1432" s="224">
        <v>6</v>
      </c>
      <c r="R1432" s="224"/>
      <c r="S1432" s="225"/>
    </row>
    <row r="1433" spans="1:19" ht="15" customHeight="1">
      <c r="A1433" s="413">
        <f t="shared" si="31"/>
        <v>1433</v>
      </c>
      <c r="B1433" s="52">
        <v>309</v>
      </c>
      <c r="C1433" s="219" t="s">
        <v>1398</v>
      </c>
      <c r="D1433" s="220" t="s">
        <v>1394</v>
      </c>
      <c r="E1433" s="221"/>
      <c r="F1433" s="53" t="s">
        <v>1545</v>
      </c>
      <c r="G1433" s="214" t="s">
        <v>1693</v>
      </c>
      <c r="H1433" s="53" t="s">
        <v>109</v>
      </c>
      <c r="I1433" s="222">
        <v>11</v>
      </c>
      <c r="J1433" s="223"/>
      <c r="K1433" s="223">
        <v>68</v>
      </c>
      <c r="L1433" s="223"/>
      <c r="M1433" s="223"/>
      <c r="N1433" s="223"/>
      <c r="O1433" s="224"/>
      <c r="P1433" s="224"/>
      <c r="Q1433" s="224">
        <v>11</v>
      </c>
      <c r="R1433" s="224"/>
      <c r="S1433" s="225"/>
    </row>
    <row r="1434" spans="1:19" ht="15" customHeight="1">
      <c r="A1434" s="413">
        <f t="shared" si="31"/>
        <v>1434</v>
      </c>
      <c r="B1434" s="52">
        <v>309</v>
      </c>
      <c r="C1434" s="219" t="s">
        <v>1398</v>
      </c>
      <c r="D1434" s="220" t="s">
        <v>1394</v>
      </c>
      <c r="E1434" s="221"/>
      <c r="F1434" s="53" t="s">
        <v>1546</v>
      </c>
      <c r="G1434" s="214" t="s">
        <v>1746</v>
      </c>
      <c r="H1434" s="53" t="s">
        <v>109</v>
      </c>
      <c r="I1434" s="222">
        <v>3</v>
      </c>
      <c r="J1434" s="223"/>
      <c r="K1434" s="223">
        <v>16</v>
      </c>
      <c r="L1434" s="223"/>
      <c r="M1434" s="223"/>
      <c r="N1434" s="223"/>
      <c r="O1434" s="224"/>
      <c r="P1434" s="224"/>
      <c r="Q1434" s="224">
        <v>3</v>
      </c>
      <c r="R1434" s="224"/>
      <c r="S1434" s="225"/>
    </row>
    <row r="1435" spans="1:19" ht="15" customHeight="1">
      <c r="A1435" s="413">
        <f t="shared" si="31"/>
        <v>1435</v>
      </c>
      <c r="B1435" s="52">
        <v>309</v>
      </c>
      <c r="C1435" s="219" t="s">
        <v>1398</v>
      </c>
      <c r="D1435" s="220" t="s">
        <v>1394</v>
      </c>
      <c r="E1435" s="221"/>
      <c r="F1435" s="53" t="s">
        <v>70</v>
      </c>
      <c r="G1435" s="214" t="s">
        <v>1800</v>
      </c>
      <c r="H1435" s="53" t="s">
        <v>109</v>
      </c>
      <c r="I1435" s="222">
        <v>6</v>
      </c>
      <c r="J1435" s="223"/>
      <c r="K1435" s="223">
        <v>52</v>
      </c>
      <c r="L1435" s="223"/>
      <c r="M1435" s="223"/>
      <c r="N1435" s="223"/>
      <c r="O1435" s="224"/>
      <c r="P1435" s="224"/>
      <c r="Q1435" s="224">
        <v>6</v>
      </c>
      <c r="R1435" s="224"/>
      <c r="S1435" s="225"/>
    </row>
    <row r="1436" spans="1:19" ht="15" customHeight="1">
      <c r="A1436" s="413">
        <f t="shared" si="31"/>
        <v>1436</v>
      </c>
      <c r="B1436" s="52">
        <v>309</v>
      </c>
      <c r="C1436" s="219" t="s">
        <v>1398</v>
      </c>
      <c r="D1436" s="220" t="s">
        <v>1394</v>
      </c>
      <c r="E1436" s="221"/>
      <c r="F1436" s="53" t="s">
        <v>1566</v>
      </c>
      <c r="G1436" s="214" t="s">
        <v>14</v>
      </c>
      <c r="H1436" s="53" t="s">
        <v>109</v>
      </c>
      <c r="I1436" s="222">
        <v>10</v>
      </c>
      <c r="J1436" s="223"/>
      <c r="K1436" s="223">
        <v>54</v>
      </c>
      <c r="L1436" s="223"/>
      <c r="M1436" s="223"/>
      <c r="N1436" s="223"/>
      <c r="O1436" s="224"/>
      <c r="P1436" s="224"/>
      <c r="Q1436" s="224">
        <v>10</v>
      </c>
      <c r="R1436" s="224"/>
      <c r="S1436" s="225"/>
    </row>
    <row r="1437" spans="1:19" ht="15" customHeight="1">
      <c r="A1437" s="413">
        <f t="shared" si="31"/>
        <v>1437</v>
      </c>
      <c r="B1437" s="52">
        <v>309</v>
      </c>
      <c r="C1437" s="219" t="s">
        <v>1398</v>
      </c>
      <c r="D1437" s="220" t="s">
        <v>1394</v>
      </c>
      <c r="E1437" s="221"/>
      <c r="F1437" s="53" t="s">
        <v>1578</v>
      </c>
      <c r="G1437" s="214"/>
      <c r="H1437" s="53" t="s">
        <v>1315</v>
      </c>
      <c r="I1437" s="222">
        <v>32</v>
      </c>
      <c r="J1437" s="223"/>
      <c r="K1437" s="223"/>
      <c r="L1437" s="223"/>
      <c r="M1437" s="223"/>
      <c r="N1437" s="223"/>
      <c r="O1437" s="224"/>
      <c r="P1437" s="224"/>
      <c r="Q1437" s="224"/>
      <c r="R1437" s="224"/>
      <c r="S1437" s="225" t="s">
        <v>1580</v>
      </c>
    </row>
    <row r="1438" spans="1:19" ht="15" customHeight="1">
      <c r="A1438" s="413">
        <f t="shared" si="31"/>
        <v>1438</v>
      </c>
      <c r="B1438" s="52">
        <v>309</v>
      </c>
      <c r="C1438" s="219" t="s">
        <v>1398</v>
      </c>
      <c r="D1438" s="220" t="s">
        <v>1394</v>
      </c>
      <c r="E1438" s="221"/>
      <c r="F1438" s="53" t="s">
        <v>1558</v>
      </c>
      <c r="G1438" s="214" t="s">
        <v>1893</v>
      </c>
      <c r="H1438" s="53" t="s">
        <v>1053</v>
      </c>
      <c r="I1438" s="222">
        <v>5</v>
      </c>
      <c r="J1438" s="223"/>
      <c r="K1438" s="223"/>
      <c r="L1438" s="223"/>
      <c r="M1438" s="223"/>
      <c r="N1438" s="223"/>
      <c r="O1438" s="224"/>
      <c r="P1438" s="224"/>
      <c r="Q1438" s="224"/>
      <c r="R1438" s="224"/>
      <c r="S1438" s="225"/>
    </row>
    <row r="1439" spans="1:19" ht="15" customHeight="1">
      <c r="A1439" s="413">
        <f t="shared" si="31"/>
        <v>1439</v>
      </c>
      <c r="B1439" s="52">
        <v>310</v>
      </c>
      <c r="C1439" s="219" t="s">
        <v>1399</v>
      </c>
      <c r="D1439" s="220" t="s">
        <v>1394</v>
      </c>
      <c r="E1439" s="221"/>
      <c r="F1439" s="53" t="s">
        <v>1543</v>
      </c>
      <c r="G1439" s="214" t="s">
        <v>15</v>
      </c>
      <c r="H1439" s="53" t="s">
        <v>68</v>
      </c>
      <c r="I1439" s="222">
        <v>50</v>
      </c>
      <c r="J1439" s="223" t="s">
        <v>1582</v>
      </c>
      <c r="K1439" s="223"/>
      <c r="L1439" s="223"/>
      <c r="M1439" s="223"/>
      <c r="N1439" s="223"/>
      <c r="O1439" s="224"/>
      <c r="P1439" s="224"/>
      <c r="Q1439" s="224"/>
      <c r="R1439" s="224"/>
      <c r="S1439" s="225"/>
    </row>
    <row r="1440" spans="1:19" ht="15" customHeight="1">
      <c r="A1440" s="413">
        <f t="shared" si="31"/>
        <v>1440</v>
      </c>
      <c r="B1440" s="52">
        <v>310</v>
      </c>
      <c r="C1440" s="219" t="s">
        <v>1399</v>
      </c>
      <c r="D1440" s="220" t="s">
        <v>1394</v>
      </c>
      <c r="E1440" s="221"/>
      <c r="F1440" s="53" t="s">
        <v>1544</v>
      </c>
      <c r="G1440" s="214" t="s">
        <v>1864</v>
      </c>
      <c r="H1440" s="53" t="s">
        <v>1571</v>
      </c>
      <c r="I1440" s="222">
        <v>790</v>
      </c>
      <c r="J1440" s="223"/>
      <c r="K1440" s="223"/>
      <c r="L1440" s="223"/>
      <c r="M1440" s="223"/>
      <c r="N1440" s="223"/>
      <c r="O1440" s="224"/>
      <c r="P1440" s="224"/>
      <c r="Q1440" s="224"/>
      <c r="R1440" s="224"/>
      <c r="S1440" s="225"/>
    </row>
    <row r="1441" spans="1:19" ht="15" customHeight="1">
      <c r="A1441" s="413">
        <f t="shared" si="31"/>
        <v>1441</v>
      </c>
      <c r="B1441" s="52">
        <v>310</v>
      </c>
      <c r="C1441" s="219" t="s">
        <v>1399</v>
      </c>
      <c r="D1441" s="220" t="s">
        <v>1394</v>
      </c>
      <c r="E1441" s="221"/>
      <c r="F1441" s="53" t="s">
        <v>1599</v>
      </c>
      <c r="G1441" s="214" t="s">
        <v>1864</v>
      </c>
      <c r="H1441" s="53" t="s">
        <v>1573</v>
      </c>
      <c r="I1441" s="222">
        <v>345</v>
      </c>
      <c r="J1441" s="223"/>
      <c r="K1441" s="223"/>
      <c r="L1441" s="223"/>
      <c r="M1441" s="223"/>
      <c r="N1441" s="223"/>
      <c r="O1441" s="224"/>
      <c r="P1441" s="224"/>
      <c r="Q1441" s="224"/>
      <c r="R1441" s="224"/>
      <c r="S1441" s="225"/>
    </row>
    <row r="1442" spans="1:19" ht="15" customHeight="1">
      <c r="A1442" s="413">
        <f t="shared" si="31"/>
        <v>1442</v>
      </c>
      <c r="B1442" s="52">
        <v>310</v>
      </c>
      <c r="C1442" s="219" t="s">
        <v>1399</v>
      </c>
      <c r="D1442" s="220" t="s">
        <v>1394</v>
      </c>
      <c r="E1442" s="221"/>
      <c r="F1442" s="53" t="s">
        <v>1574</v>
      </c>
      <c r="G1442" s="214" t="s">
        <v>1864</v>
      </c>
      <c r="H1442" s="53" t="s">
        <v>12</v>
      </c>
      <c r="I1442" s="222">
        <v>201</v>
      </c>
      <c r="J1442" s="223"/>
      <c r="K1442" s="223"/>
      <c r="L1442" s="223"/>
      <c r="M1442" s="223"/>
      <c r="N1442" s="223"/>
      <c r="O1442" s="224"/>
      <c r="P1442" s="224"/>
      <c r="Q1442" s="224"/>
      <c r="R1442" s="224"/>
      <c r="S1442" s="225"/>
    </row>
    <row r="1443" spans="1:19" ht="15" customHeight="1">
      <c r="A1443" s="413">
        <f t="shared" si="31"/>
        <v>1443</v>
      </c>
      <c r="B1443" s="52">
        <v>310</v>
      </c>
      <c r="C1443" s="219" t="s">
        <v>1399</v>
      </c>
      <c r="D1443" s="220" t="s">
        <v>1394</v>
      </c>
      <c r="E1443" s="221"/>
      <c r="F1443" s="53" t="s">
        <v>1575</v>
      </c>
      <c r="G1443" s="214" t="s">
        <v>1875</v>
      </c>
      <c r="H1443" s="53" t="s">
        <v>176</v>
      </c>
      <c r="I1443" s="222">
        <v>1</v>
      </c>
      <c r="J1443" s="223"/>
      <c r="K1443" s="223"/>
      <c r="L1443" s="223"/>
      <c r="M1443" s="223">
        <v>22</v>
      </c>
      <c r="N1443" s="223">
        <v>17</v>
      </c>
      <c r="O1443" s="224"/>
      <c r="P1443" s="224"/>
      <c r="Q1443" s="224"/>
      <c r="R1443" s="224">
        <v>9</v>
      </c>
      <c r="S1443" s="225"/>
    </row>
    <row r="1444" spans="1:19" ht="15" customHeight="1">
      <c r="A1444" s="413">
        <f t="shared" si="31"/>
        <v>1444</v>
      </c>
      <c r="B1444" s="52">
        <v>310</v>
      </c>
      <c r="C1444" s="219" t="s">
        <v>1399</v>
      </c>
      <c r="D1444" s="220" t="s">
        <v>1394</v>
      </c>
      <c r="E1444" s="221"/>
      <c r="F1444" s="53" t="s">
        <v>1575</v>
      </c>
      <c r="G1444" s="214" t="s">
        <v>1875</v>
      </c>
      <c r="H1444" s="53" t="s">
        <v>176</v>
      </c>
      <c r="I1444" s="222">
        <v>8</v>
      </c>
      <c r="J1444" s="223"/>
      <c r="K1444" s="223"/>
      <c r="L1444" s="223"/>
      <c r="M1444" s="223">
        <v>22</v>
      </c>
      <c r="N1444" s="223">
        <v>17</v>
      </c>
      <c r="O1444" s="224"/>
      <c r="P1444" s="224"/>
      <c r="Q1444" s="224"/>
      <c r="R1444" s="224">
        <v>9</v>
      </c>
      <c r="S1444" s="225"/>
    </row>
    <row r="1445" spans="1:19" ht="15" customHeight="1">
      <c r="A1445" s="413">
        <f t="shared" si="31"/>
        <v>1445</v>
      </c>
      <c r="B1445" s="52">
        <v>310</v>
      </c>
      <c r="C1445" s="219" t="s">
        <v>1399</v>
      </c>
      <c r="D1445" s="220" t="s">
        <v>1394</v>
      </c>
      <c r="E1445" s="221"/>
      <c r="F1445" s="53" t="s">
        <v>18</v>
      </c>
      <c r="G1445" s="214" t="s">
        <v>1867</v>
      </c>
      <c r="H1445" s="53" t="s">
        <v>1312</v>
      </c>
      <c r="I1445" s="222">
        <v>33</v>
      </c>
      <c r="J1445" s="223"/>
      <c r="K1445" s="223"/>
      <c r="L1445" s="223"/>
      <c r="M1445" s="223">
        <v>18</v>
      </c>
      <c r="N1445" s="223"/>
      <c r="O1445" s="224"/>
      <c r="P1445" s="224"/>
      <c r="Q1445" s="224"/>
      <c r="R1445" s="224"/>
      <c r="S1445" s="225"/>
    </row>
    <row r="1446" spans="1:19" ht="15" customHeight="1">
      <c r="A1446" s="413">
        <f t="shared" si="31"/>
        <v>1446</v>
      </c>
      <c r="B1446" s="52">
        <v>310</v>
      </c>
      <c r="C1446" s="219" t="s">
        <v>1399</v>
      </c>
      <c r="D1446" s="220" t="s">
        <v>1394</v>
      </c>
      <c r="E1446" s="221"/>
      <c r="F1446" s="53" t="s">
        <v>20</v>
      </c>
      <c r="G1446" s="214" t="s">
        <v>16</v>
      </c>
      <c r="H1446" s="53" t="s">
        <v>109</v>
      </c>
      <c r="I1446" s="222">
        <v>6.41</v>
      </c>
      <c r="J1446" s="223"/>
      <c r="K1446" s="223">
        <v>34</v>
      </c>
      <c r="L1446" s="223"/>
      <c r="M1446" s="223"/>
      <c r="N1446" s="223"/>
      <c r="O1446" s="224"/>
      <c r="P1446" s="224"/>
      <c r="Q1446" s="224">
        <v>6</v>
      </c>
      <c r="R1446" s="224"/>
      <c r="S1446" s="225"/>
    </row>
    <row r="1447" spans="1:19" ht="15" customHeight="1">
      <c r="A1447" s="413">
        <f t="shared" si="31"/>
        <v>1447</v>
      </c>
      <c r="B1447" s="52">
        <v>310</v>
      </c>
      <c r="C1447" s="219" t="s">
        <v>1399</v>
      </c>
      <c r="D1447" s="220" t="s">
        <v>1394</v>
      </c>
      <c r="E1447" s="221"/>
      <c r="F1447" s="53" t="s">
        <v>1600</v>
      </c>
      <c r="G1447" s="214" t="s">
        <v>1694</v>
      </c>
      <c r="H1447" s="53" t="s">
        <v>109</v>
      </c>
      <c r="I1447" s="222">
        <v>13</v>
      </c>
      <c r="J1447" s="223"/>
      <c r="K1447" s="223">
        <v>63</v>
      </c>
      <c r="L1447" s="223"/>
      <c r="M1447" s="223"/>
      <c r="N1447" s="223"/>
      <c r="O1447" s="224"/>
      <c r="P1447" s="224"/>
      <c r="Q1447" s="224">
        <v>13</v>
      </c>
      <c r="R1447" s="224"/>
      <c r="S1447" s="225"/>
    </row>
    <row r="1448" spans="1:19" ht="15" customHeight="1">
      <c r="A1448" s="413">
        <f t="shared" si="31"/>
        <v>1448</v>
      </c>
      <c r="B1448" s="52">
        <v>310</v>
      </c>
      <c r="C1448" s="219" t="s">
        <v>1399</v>
      </c>
      <c r="D1448" s="220" t="s">
        <v>1394</v>
      </c>
      <c r="E1448" s="221"/>
      <c r="F1448" s="53" t="s">
        <v>1545</v>
      </c>
      <c r="G1448" s="214" t="s">
        <v>1693</v>
      </c>
      <c r="H1448" s="53" t="s">
        <v>109</v>
      </c>
      <c r="I1448" s="222">
        <v>11</v>
      </c>
      <c r="J1448" s="223"/>
      <c r="K1448" s="223">
        <v>64</v>
      </c>
      <c r="L1448" s="223"/>
      <c r="M1448" s="223"/>
      <c r="N1448" s="223"/>
      <c r="O1448" s="224"/>
      <c r="P1448" s="224"/>
      <c r="Q1448" s="224">
        <v>11</v>
      </c>
      <c r="R1448" s="224"/>
      <c r="S1448" s="225"/>
    </row>
    <row r="1449" spans="1:19" ht="15" customHeight="1">
      <c r="A1449" s="413">
        <f t="shared" si="31"/>
        <v>1449</v>
      </c>
      <c r="B1449" s="52">
        <v>310</v>
      </c>
      <c r="C1449" s="219" t="s">
        <v>1399</v>
      </c>
      <c r="D1449" s="220" t="s">
        <v>1394</v>
      </c>
      <c r="E1449" s="221"/>
      <c r="F1449" s="53" t="s">
        <v>1546</v>
      </c>
      <c r="G1449" s="214" t="s">
        <v>1746</v>
      </c>
      <c r="H1449" s="53" t="s">
        <v>109</v>
      </c>
      <c r="I1449" s="222">
        <v>2</v>
      </c>
      <c r="J1449" s="223"/>
      <c r="K1449" s="223">
        <v>16</v>
      </c>
      <c r="L1449" s="223"/>
      <c r="M1449" s="223"/>
      <c r="N1449" s="223"/>
      <c r="O1449" s="224"/>
      <c r="P1449" s="224"/>
      <c r="Q1449" s="224">
        <v>2</v>
      </c>
      <c r="R1449" s="224"/>
      <c r="S1449" s="225"/>
    </row>
    <row r="1450" spans="1:19" ht="15" customHeight="1">
      <c r="A1450" s="413">
        <f t="shared" si="31"/>
        <v>1450</v>
      </c>
      <c r="B1450" s="52">
        <v>310</v>
      </c>
      <c r="C1450" s="219" t="s">
        <v>1399</v>
      </c>
      <c r="D1450" s="220" t="s">
        <v>1394</v>
      </c>
      <c r="E1450" s="221"/>
      <c r="F1450" s="53" t="s">
        <v>70</v>
      </c>
      <c r="G1450" s="214" t="s">
        <v>1800</v>
      </c>
      <c r="H1450" s="53" t="s">
        <v>109</v>
      </c>
      <c r="I1450" s="222">
        <v>6</v>
      </c>
      <c r="J1450" s="223">
        <v>3</v>
      </c>
      <c r="K1450" s="223">
        <v>42</v>
      </c>
      <c r="L1450" s="223"/>
      <c r="M1450" s="223"/>
      <c r="N1450" s="223"/>
      <c r="O1450" s="224"/>
      <c r="P1450" s="224"/>
      <c r="Q1450" s="224">
        <v>6</v>
      </c>
      <c r="R1450" s="224"/>
      <c r="S1450" s="225"/>
    </row>
    <row r="1451" spans="1:19" ht="15" customHeight="1">
      <c r="A1451" s="413">
        <f t="shared" si="31"/>
        <v>1451</v>
      </c>
      <c r="B1451" s="52">
        <v>310</v>
      </c>
      <c r="C1451" s="219" t="s">
        <v>1399</v>
      </c>
      <c r="D1451" s="220" t="s">
        <v>1394</v>
      </c>
      <c r="E1451" s="221"/>
      <c r="F1451" s="53" t="s">
        <v>1566</v>
      </c>
      <c r="G1451" s="214" t="s">
        <v>14</v>
      </c>
      <c r="H1451" s="53" t="s">
        <v>109</v>
      </c>
      <c r="I1451" s="222">
        <v>11</v>
      </c>
      <c r="J1451" s="223"/>
      <c r="K1451" s="223">
        <v>52</v>
      </c>
      <c r="L1451" s="223"/>
      <c r="M1451" s="223"/>
      <c r="N1451" s="223"/>
      <c r="O1451" s="224"/>
      <c r="P1451" s="224"/>
      <c r="Q1451" s="224">
        <v>11</v>
      </c>
      <c r="R1451" s="224"/>
      <c r="S1451" s="225"/>
    </row>
    <row r="1452" spans="1:19" ht="15" customHeight="1">
      <c r="A1452" s="413">
        <f t="shared" si="31"/>
        <v>1452</v>
      </c>
      <c r="B1452" s="52">
        <v>310</v>
      </c>
      <c r="C1452" s="219" t="s">
        <v>1399</v>
      </c>
      <c r="D1452" s="220" t="s">
        <v>1394</v>
      </c>
      <c r="E1452" s="221"/>
      <c r="F1452" s="53" t="s">
        <v>1578</v>
      </c>
      <c r="G1452" s="214"/>
      <c r="H1452" s="53" t="s">
        <v>1315</v>
      </c>
      <c r="I1452" s="222">
        <v>32</v>
      </c>
      <c r="J1452" s="223"/>
      <c r="K1452" s="223"/>
      <c r="L1452" s="223"/>
      <c r="M1452" s="223"/>
      <c r="N1452" s="223"/>
      <c r="O1452" s="224"/>
      <c r="P1452" s="224"/>
      <c r="Q1452" s="224"/>
      <c r="R1452" s="224"/>
      <c r="S1452" s="225"/>
    </row>
    <row r="1453" spans="1:19" ht="15" customHeight="1">
      <c r="A1453" s="413">
        <f t="shared" si="31"/>
        <v>1453</v>
      </c>
      <c r="B1453" s="52">
        <v>310</v>
      </c>
      <c r="C1453" s="219" t="s">
        <v>1399</v>
      </c>
      <c r="D1453" s="220" t="s">
        <v>1394</v>
      </c>
      <c r="E1453" s="221"/>
      <c r="F1453" s="53" t="s">
        <v>1558</v>
      </c>
      <c r="G1453" s="214"/>
      <c r="H1453" s="53" t="s">
        <v>1053</v>
      </c>
      <c r="I1453" s="222">
        <v>5</v>
      </c>
      <c r="J1453" s="223"/>
      <c r="K1453" s="223"/>
      <c r="L1453" s="223"/>
      <c r="M1453" s="223"/>
      <c r="N1453" s="223"/>
      <c r="O1453" s="224"/>
      <c r="P1453" s="224"/>
      <c r="Q1453" s="224"/>
      <c r="R1453" s="224"/>
      <c r="S1453" s="225"/>
    </row>
    <row r="1454" spans="1:19" ht="15" customHeight="1">
      <c r="A1454" s="413">
        <f t="shared" si="31"/>
        <v>1454</v>
      </c>
      <c r="B1454" s="52">
        <v>311</v>
      </c>
      <c r="C1454" s="219" t="s">
        <v>1396</v>
      </c>
      <c r="D1454" s="220" t="s">
        <v>1394</v>
      </c>
      <c r="E1454" s="221"/>
      <c r="F1454" s="53" t="s">
        <v>1543</v>
      </c>
      <c r="G1454" s="214" t="s">
        <v>1894</v>
      </c>
      <c r="H1454" s="53" t="s">
        <v>1601</v>
      </c>
      <c r="I1454" s="222">
        <v>88</v>
      </c>
      <c r="J1454" s="223"/>
      <c r="K1454" s="223"/>
      <c r="L1454" s="223"/>
      <c r="M1454" s="223"/>
      <c r="N1454" s="223"/>
      <c r="O1454" s="224"/>
      <c r="P1454" s="224"/>
      <c r="Q1454" s="224"/>
      <c r="R1454" s="224"/>
      <c r="S1454" s="225"/>
    </row>
    <row r="1455" spans="1:19" ht="15" customHeight="1">
      <c r="A1455" s="413">
        <f t="shared" si="31"/>
        <v>1455</v>
      </c>
      <c r="B1455" s="52">
        <v>311</v>
      </c>
      <c r="C1455" s="219" t="s">
        <v>1396</v>
      </c>
      <c r="D1455" s="220" t="s">
        <v>1394</v>
      </c>
      <c r="E1455" s="221"/>
      <c r="F1455" s="53" t="s">
        <v>1602</v>
      </c>
      <c r="G1455" s="214" t="s">
        <v>236</v>
      </c>
      <c r="H1455" s="53" t="s">
        <v>12</v>
      </c>
      <c r="I1455" s="222">
        <v>1257</v>
      </c>
      <c r="J1455" s="223"/>
      <c r="K1455" s="223"/>
      <c r="L1455" s="223"/>
      <c r="M1455" s="223"/>
      <c r="N1455" s="223"/>
      <c r="O1455" s="224"/>
      <c r="P1455" s="224"/>
      <c r="Q1455" s="224"/>
      <c r="R1455" s="224"/>
      <c r="S1455" s="225"/>
    </row>
    <row r="1456" spans="1:19" ht="15" customHeight="1">
      <c r="A1456" s="413">
        <f t="shared" si="31"/>
        <v>1456</v>
      </c>
      <c r="B1456" s="52">
        <v>311</v>
      </c>
      <c r="C1456" s="219" t="s">
        <v>1396</v>
      </c>
      <c r="D1456" s="220" t="s">
        <v>1394</v>
      </c>
      <c r="E1456" s="221"/>
      <c r="F1456" s="53" t="s">
        <v>1603</v>
      </c>
      <c r="G1456" s="214" t="s">
        <v>236</v>
      </c>
      <c r="H1456" s="53" t="s">
        <v>12</v>
      </c>
      <c r="I1456" s="222">
        <v>305</v>
      </c>
      <c r="J1456" s="223"/>
      <c r="K1456" s="223"/>
      <c r="L1456" s="223"/>
      <c r="M1456" s="223"/>
      <c r="N1456" s="223"/>
      <c r="O1456" s="224"/>
      <c r="P1456" s="224"/>
      <c r="Q1456" s="224"/>
      <c r="R1456" s="224"/>
      <c r="S1456" s="225"/>
    </row>
    <row r="1457" spans="1:19" ht="15" customHeight="1">
      <c r="A1457" s="413">
        <f t="shared" si="31"/>
        <v>1457</v>
      </c>
      <c r="B1457" s="52">
        <v>311</v>
      </c>
      <c r="C1457" s="219" t="s">
        <v>1396</v>
      </c>
      <c r="D1457" s="220" t="s">
        <v>1394</v>
      </c>
      <c r="E1457" s="221"/>
      <c r="F1457" s="53" t="s">
        <v>18</v>
      </c>
      <c r="G1457" s="214" t="s">
        <v>1864</v>
      </c>
      <c r="H1457" s="53" t="s">
        <v>1312</v>
      </c>
      <c r="I1457" s="222">
        <v>24</v>
      </c>
      <c r="J1457" s="223"/>
      <c r="K1457" s="223"/>
      <c r="L1457" s="223"/>
      <c r="M1457" s="223"/>
      <c r="N1457" s="223"/>
      <c r="O1457" s="224"/>
      <c r="P1457" s="224"/>
      <c r="Q1457" s="224"/>
      <c r="R1457" s="224"/>
      <c r="S1457" s="225"/>
    </row>
    <row r="1458" spans="1:19" ht="15" customHeight="1">
      <c r="A1458" s="413">
        <f t="shared" si="31"/>
        <v>1458</v>
      </c>
      <c r="B1458" s="52">
        <v>311</v>
      </c>
      <c r="C1458" s="219" t="s">
        <v>1396</v>
      </c>
      <c r="D1458" s="220" t="s">
        <v>1394</v>
      </c>
      <c r="E1458" s="221"/>
      <c r="F1458" s="53" t="s">
        <v>18</v>
      </c>
      <c r="G1458" s="214" t="s">
        <v>15</v>
      </c>
      <c r="H1458" s="53" t="s">
        <v>1312</v>
      </c>
      <c r="I1458" s="222">
        <v>24</v>
      </c>
      <c r="J1458" s="223"/>
      <c r="K1458" s="223"/>
      <c r="L1458" s="223"/>
      <c r="M1458" s="223"/>
      <c r="N1458" s="223"/>
      <c r="O1458" s="224"/>
      <c r="P1458" s="224"/>
      <c r="Q1458" s="224"/>
      <c r="R1458" s="224"/>
      <c r="S1458" s="225"/>
    </row>
    <row r="1459" spans="1:19" ht="15" customHeight="1">
      <c r="A1459" s="413">
        <f t="shared" si="31"/>
        <v>1459</v>
      </c>
      <c r="B1459" s="52">
        <v>311</v>
      </c>
      <c r="C1459" s="219" t="s">
        <v>1396</v>
      </c>
      <c r="D1459" s="220" t="s">
        <v>1394</v>
      </c>
      <c r="E1459" s="221"/>
      <c r="F1459" s="53" t="s">
        <v>1553</v>
      </c>
      <c r="G1459" s="214"/>
      <c r="H1459" s="53" t="s">
        <v>109</v>
      </c>
      <c r="I1459" s="222">
        <v>427</v>
      </c>
      <c r="J1459" s="223"/>
      <c r="K1459" s="223"/>
      <c r="L1459" s="223"/>
      <c r="M1459" s="223"/>
      <c r="N1459" s="223"/>
      <c r="O1459" s="224"/>
      <c r="P1459" s="224"/>
      <c r="Q1459" s="224"/>
      <c r="R1459" s="224"/>
      <c r="S1459" s="225"/>
    </row>
    <row r="1460" spans="1:19" ht="15" customHeight="1">
      <c r="A1460" s="413">
        <f t="shared" si="31"/>
        <v>1460</v>
      </c>
      <c r="B1460" s="52">
        <v>311</v>
      </c>
      <c r="C1460" s="219" t="s">
        <v>1396</v>
      </c>
      <c r="D1460" s="220" t="s">
        <v>1394</v>
      </c>
      <c r="E1460" s="221"/>
      <c r="F1460" s="53" t="s">
        <v>1553</v>
      </c>
      <c r="G1460" s="214" t="s">
        <v>1895</v>
      </c>
      <c r="H1460" s="53" t="s">
        <v>176</v>
      </c>
      <c r="I1460" s="222">
        <v>7</v>
      </c>
      <c r="J1460" s="223"/>
      <c r="K1460" s="223">
        <v>15</v>
      </c>
      <c r="L1460" s="223"/>
      <c r="M1460" s="223"/>
      <c r="N1460" s="223"/>
      <c r="O1460" s="224"/>
      <c r="P1460" s="224"/>
      <c r="Q1460" s="224"/>
      <c r="R1460" s="224"/>
      <c r="S1460" s="225"/>
    </row>
    <row r="1461" spans="1:19" ht="15" customHeight="1">
      <c r="A1461" s="413">
        <f t="shared" si="31"/>
        <v>1461</v>
      </c>
      <c r="B1461" s="52">
        <v>311</v>
      </c>
      <c r="C1461" s="219" t="s">
        <v>1396</v>
      </c>
      <c r="D1461" s="220" t="s">
        <v>1394</v>
      </c>
      <c r="E1461" s="221"/>
      <c r="F1461" s="53" t="s">
        <v>1543</v>
      </c>
      <c r="G1461" s="214" t="s">
        <v>1822</v>
      </c>
      <c r="H1461" s="53" t="s">
        <v>176</v>
      </c>
      <c r="I1461" s="222">
        <v>5</v>
      </c>
      <c r="J1461" s="223"/>
      <c r="K1461" s="223"/>
      <c r="L1461" s="223"/>
      <c r="M1461" s="223"/>
      <c r="N1461" s="223"/>
      <c r="O1461" s="224"/>
      <c r="P1461" s="224"/>
      <c r="Q1461" s="224"/>
      <c r="R1461" s="224"/>
      <c r="S1461" s="225"/>
    </row>
    <row r="1462" spans="1:19" ht="15" customHeight="1">
      <c r="A1462" s="413">
        <f t="shared" si="31"/>
        <v>1462</v>
      </c>
      <c r="B1462" s="52">
        <v>311</v>
      </c>
      <c r="C1462" s="219" t="s">
        <v>1396</v>
      </c>
      <c r="D1462" s="220" t="s">
        <v>1394</v>
      </c>
      <c r="E1462" s="221"/>
      <c r="F1462" s="53" t="s">
        <v>70</v>
      </c>
      <c r="G1462" s="214" t="s">
        <v>1896</v>
      </c>
      <c r="H1462" s="53" t="s">
        <v>176</v>
      </c>
      <c r="I1462" s="222">
        <v>12</v>
      </c>
      <c r="J1462" s="223">
        <v>35</v>
      </c>
      <c r="K1462" s="223">
        <v>35</v>
      </c>
      <c r="L1462" s="223"/>
      <c r="M1462" s="223"/>
      <c r="N1462" s="223"/>
      <c r="O1462" s="224"/>
      <c r="P1462" s="224"/>
      <c r="Q1462" s="224">
        <v>12</v>
      </c>
      <c r="R1462" s="224"/>
      <c r="S1462" s="225"/>
    </row>
    <row r="1463" spans="1:19" ht="15" customHeight="1">
      <c r="A1463" s="413">
        <f t="shared" si="31"/>
        <v>1463</v>
      </c>
      <c r="B1463" s="52">
        <v>311</v>
      </c>
      <c r="C1463" s="219" t="s">
        <v>1396</v>
      </c>
      <c r="D1463" s="220" t="s">
        <v>1394</v>
      </c>
      <c r="E1463" s="221"/>
      <c r="F1463" s="53" t="s">
        <v>1591</v>
      </c>
      <c r="G1463" s="214" t="s">
        <v>1897</v>
      </c>
      <c r="H1463" s="53" t="s">
        <v>109</v>
      </c>
      <c r="I1463" s="222">
        <v>2</v>
      </c>
      <c r="J1463" s="223">
        <v>12</v>
      </c>
      <c r="K1463" s="223"/>
      <c r="L1463" s="223"/>
      <c r="M1463" s="223"/>
      <c r="N1463" s="223"/>
      <c r="O1463" s="224"/>
      <c r="P1463" s="224"/>
      <c r="Q1463" s="224">
        <v>2</v>
      </c>
      <c r="R1463" s="224"/>
      <c r="S1463" s="225"/>
    </row>
    <row r="1464" spans="1:19" ht="15" customHeight="1">
      <c r="A1464" s="413">
        <f t="shared" si="31"/>
        <v>1464</v>
      </c>
      <c r="B1464" s="52">
        <v>311</v>
      </c>
      <c r="C1464" s="219" t="s">
        <v>1396</v>
      </c>
      <c r="D1464" s="220" t="s">
        <v>1394</v>
      </c>
      <c r="E1464" s="221"/>
      <c r="F1464" s="53" t="s">
        <v>58</v>
      </c>
      <c r="G1464" s="214" t="s">
        <v>200</v>
      </c>
      <c r="H1464" s="53" t="s">
        <v>1604</v>
      </c>
      <c r="I1464" s="222">
        <v>14</v>
      </c>
      <c r="J1464" s="223"/>
      <c r="K1464" s="223">
        <v>30</v>
      </c>
      <c r="L1464" s="223"/>
      <c r="M1464" s="223"/>
      <c r="N1464" s="223"/>
      <c r="O1464" s="224"/>
      <c r="P1464" s="224"/>
      <c r="Q1464" s="224">
        <v>14</v>
      </c>
      <c r="R1464" s="224"/>
      <c r="S1464" s="225"/>
    </row>
    <row r="1465" spans="1:19" ht="15" customHeight="1">
      <c r="A1465" s="413">
        <f t="shared" si="31"/>
        <v>1465</v>
      </c>
      <c r="B1465" s="52">
        <v>311</v>
      </c>
      <c r="C1465" s="219" t="s">
        <v>1396</v>
      </c>
      <c r="D1465" s="220" t="s">
        <v>1394</v>
      </c>
      <c r="E1465" s="221"/>
      <c r="F1465" s="53" t="s">
        <v>292</v>
      </c>
      <c r="G1465" s="214" t="s">
        <v>215</v>
      </c>
      <c r="H1465" s="53" t="s">
        <v>1604</v>
      </c>
      <c r="I1465" s="222">
        <v>14</v>
      </c>
      <c r="J1465" s="223"/>
      <c r="K1465" s="223">
        <v>30</v>
      </c>
      <c r="L1465" s="223"/>
      <c r="M1465" s="223"/>
      <c r="N1465" s="223"/>
      <c r="O1465" s="224"/>
      <c r="P1465" s="224"/>
      <c r="Q1465" s="224">
        <v>14</v>
      </c>
      <c r="R1465" s="224"/>
      <c r="S1465" s="225"/>
    </row>
    <row r="1466" spans="1:19" ht="15" customHeight="1">
      <c r="A1466" s="413">
        <f t="shared" si="31"/>
        <v>1466</v>
      </c>
      <c r="B1466" s="52">
        <v>311</v>
      </c>
      <c r="C1466" s="219" t="s">
        <v>1396</v>
      </c>
      <c r="D1466" s="220" t="s">
        <v>1394</v>
      </c>
      <c r="E1466" s="221"/>
      <c r="F1466" s="53" t="s">
        <v>1594</v>
      </c>
      <c r="G1466" s="214" t="s">
        <v>1898</v>
      </c>
      <c r="H1466" s="53" t="s">
        <v>318</v>
      </c>
      <c r="I1466" s="222">
        <v>2</v>
      </c>
      <c r="J1466" s="223"/>
      <c r="K1466" s="223">
        <v>9</v>
      </c>
      <c r="L1466" s="223"/>
      <c r="M1466" s="223"/>
      <c r="N1466" s="223"/>
      <c r="O1466" s="224"/>
      <c r="P1466" s="224"/>
      <c r="Q1466" s="224">
        <v>2</v>
      </c>
      <c r="R1466" s="224"/>
      <c r="S1466" s="225"/>
    </row>
    <row r="1467" spans="1:19" ht="15" customHeight="1">
      <c r="A1467" s="413">
        <f t="shared" si="31"/>
        <v>1467</v>
      </c>
      <c r="B1467" s="52" t="s">
        <v>2056</v>
      </c>
      <c r="C1467" s="153" t="s">
        <v>2054</v>
      </c>
      <c r="D1467" s="220" t="s">
        <v>1394</v>
      </c>
      <c r="E1467" s="221"/>
      <c r="F1467" s="53" t="s">
        <v>1</v>
      </c>
      <c r="G1467" s="214" t="s">
        <v>1802</v>
      </c>
      <c r="H1467" s="53" t="s">
        <v>1053</v>
      </c>
      <c r="I1467" s="222">
        <v>5</v>
      </c>
      <c r="J1467" s="223"/>
      <c r="K1467" s="223"/>
      <c r="L1467" s="223"/>
      <c r="M1467" s="223"/>
      <c r="N1467" s="223"/>
      <c r="O1467" s="224"/>
      <c r="P1467" s="224"/>
      <c r="Q1467" s="224"/>
      <c r="R1467" s="224"/>
      <c r="S1467" s="225"/>
    </row>
    <row r="1468" spans="1:19" ht="15" customHeight="1">
      <c r="A1468" s="413">
        <f t="shared" si="31"/>
        <v>1468</v>
      </c>
      <c r="B1468" s="52">
        <v>312</v>
      </c>
      <c r="C1468" s="219" t="s">
        <v>1411</v>
      </c>
      <c r="D1468" s="220" t="s">
        <v>1394</v>
      </c>
      <c r="E1468" s="221"/>
      <c r="F1468" s="53" t="s">
        <v>1543</v>
      </c>
      <c r="G1468" s="214" t="s">
        <v>15</v>
      </c>
      <c r="H1468" s="53" t="s">
        <v>68</v>
      </c>
      <c r="I1468" s="222">
        <v>86</v>
      </c>
      <c r="J1468" s="223"/>
      <c r="K1468" s="223"/>
      <c r="L1468" s="223"/>
      <c r="M1468" s="223"/>
      <c r="N1468" s="223"/>
      <c r="O1468" s="224"/>
      <c r="P1468" s="224"/>
      <c r="Q1468" s="224"/>
      <c r="R1468" s="224"/>
      <c r="S1468" s="225"/>
    </row>
    <row r="1469" spans="1:19" ht="15" customHeight="1">
      <c r="A1469" s="413">
        <f t="shared" si="31"/>
        <v>1469</v>
      </c>
      <c r="B1469" s="52">
        <v>312</v>
      </c>
      <c r="C1469" s="219" t="s">
        <v>1411</v>
      </c>
      <c r="D1469" s="220" t="s">
        <v>1394</v>
      </c>
      <c r="E1469" s="221"/>
      <c r="F1469" s="53" t="s">
        <v>1544</v>
      </c>
      <c r="G1469" s="214" t="s">
        <v>1864</v>
      </c>
      <c r="H1469" s="53" t="s">
        <v>1571</v>
      </c>
      <c r="I1469" s="222">
        <v>1090</v>
      </c>
      <c r="J1469" s="223"/>
      <c r="K1469" s="223"/>
      <c r="L1469" s="223"/>
      <c r="M1469" s="223"/>
      <c r="N1469" s="223"/>
      <c r="O1469" s="224"/>
      <c r="P1469" s="224"/>
      <c r="Q1469" s="224"/>
      <c r="R1469" s="224"/>
      <c r="S1469" s="225"/>
    </row>
    <row r="1470" spans="1:19" ht="15" customHeight="1">
      <c r="A1470" s="413">
        <f t="shared" si="31"/>
        <v>1470</v>
      </c>
      <c r="B1470" s="52">
        <v>312</v>
      </c>
      <c r="C1470" s="219" t="s">
        <v>1411</v>
      </c>
      <c r="D1470" s="220" t="s">
        <v>1394</v>
      </c>
      <c r="E1470" s="221"/>
      <c r="F1470" s="53" t="s">
        <v>1572</v>
      </c>
      <c r="G1470" s="214" t="s">
        <v>1864</v>
      </c>
      <c r="H1470" s="53" t="s">
        <v>1573</v>
      </c>
      <c r="I1470" s="222">
        <v>50</v>
      </c>
      <c r="J1470" s="223"/>
      <c r="K1470" s="223"/>
      <c r="L1470" s="223"/>
      <c r="M1470" s="223"/>
      <c r="N1470" s="223"/>
      <c r="O1470" s="224"/>
      <c r="P1470" s="224"/>
      <c r="Q1470" s="224"/>
      <c r="R1470" s="224"/>
      <c r="S1470" s="225"/>
    </row>
    <row r="1471" spans="1:19" ht="15" customHeight="1">
      <c r="A1471" s="413">
        <f t="shared" si="31"/>
        <v>1471</v>
      </c>
      <c r="B1471" s="52">
        <v>312</v>
      </c>
      <c r="C1471" s="219" t="s">
        <v>1411</v>
      </c>
      <c r="D1471" s="220" t="s">
        <v>1394</v>
      </c>
      <c r="E1471" s="221"/>
      <c r="F1471" s="53" t="s">
        <v>1574</v>
      </c>
      <c r="G1471" s="214" t="s">
        <v>1864</v>
      </c>
      <c r="H1471" s="53" t="s">
        <v>12</v>
      </c>
      <c r="I1471" s="222">
        <v>54</v>
      </c>
      <c r="J1471" s="223"/>
      <c r="K1471" s="223"/>
      <c r="L1471" s="223"/>
      <c r="M1471" s="223"/>
      <c r="N1471" s="223"/>
      <c r="O1471" s="224"/>
      <c r="P1471" s="224"/>
      <c r="Q1471" s="224"/>
      <c r="R1471" s="224"/>
      <c r="S1471" s="225"/>
    </row>
    <row r="1472" spans="1:19" ht="15" customHeight="1">
      <c r="A1472" s="413">
        <f t="shared" si="31"/>
        <v>1472</v>
      </c>
      <c r="B1472" s="52">
        <v>312</v>
      </c>
      <c r="C1472" s="219" t="s">
        <v>1411</v>
      </c>
      <c r="D1472" s="220" t="s">
        <v>1394</v>
      </c>
      <c r="E1472" s="221"/>
      <c r="F1472" s="53" t="s">
        <v>1605</v>
      </c>
      <c r="G1472" s="214">
        <v>10101</v>
      </c>
      <c r="H1472" s="53" t="s">
        <v>1315</v>
      </c>
      <c r="I1472" s="222">
        <v>140</v>
      </c>
      <c r="J1472" s="223"/>
      <c r="K1472" s="223"/>
      <c r="L1472" s="223"/>
      <c r="M1472" s="223"/>
      <c r="N1472" s="223"/>
      <c r="O1472" s="224"/>
      <c r="P1472" s="224"/>
      <c r="Q1472" s="224"/>
      <c r="R1472" s="224"/>
      <c r="S1472" s="225"/>
    </row>
    <row r="1473" spans="1:19" ht="15" customHeight="1">
      <c r="A1473" s="413">
        <f t="shared" si="31"/>
        <v>1473</v>
      </c>
      <c r="B1473" s="52">
        <v>312</v>
      </c>
      <c r="C1473" s="219" t="s">
        <v>1411</v>
      </c>
      <c r="D1473" s="220" t="s">
        <v>1394</v>
      </c>
      <c r="E1473" s="221"/>
      <c r="F1473" s="53" t="s">
        <v>71</v>
      </c>
      <c r="G1473" s="214" t="s">
        <v>16</v>
      </c>
      <c r="H1473" s="53" t="s">
        <v>1315</v>
      </c>
      <c r="I1473" s="222">
        <v>6.41</v>
      </c>
      <c r="J1473" s="223"/>
      <c r="K1473" s="223">
        <v>46</v>
      </c>
      <c r="L1473" s="223"/>
      <c r="M1473" s="223"/>
      <c r="N1473" s="223"/>
      <c r="O1473" s="224"/>
      <c r="P1473" s="224"/>
      <c r="Q1473" s="224">
        <v>6</v>
      </c>
      <c r="R1473" s="224"/>
      <c r="S1473" s="225"/>
    </row>
    <row r="1474" spans="1:19" ht="15" customHeight="1">
      <c r="A1474" s="413">
        <f t="shared" si="31"/>
        <v>1474</v>
      </c>
      <c r="B1474" s="52">
        <v>312</v>
      </c>
      <c r="C1474" s="219" t="s">
        <v>1411</v>
      </c>
      <c r="D1474" s="220" t="s">
        <v>1394</v>
      </c>
      <c r="E1474" s="221"/>
      <c r="F1474" s="53" t="s">
        <v>1600</v>
      </c>
      <c r="G1474" s="214" t="s">
        <v>1694</v>
      </c>
      <c r="H1474" s="53" t="s">
        <v>109</v>
      </c>
      <c r="I1474" s="222">
        <v>14</v>
      </c>
      <c r="J1474" s="223"/>
      <c r="K1474" s="223">
        <v>62</v>
      </c>
      <c r="L1474" s="223"/>
      <c r="M1474" s="223"/>
      <c r="N1474" s="223"/>
      <c r="O1474" s="224"/>
      <c r="P1474" s="224"/>
      <c r="Q1474" s="224">
        <v>14</v>
      </c>
      <c r="R1474" s="224"/>
      <c r="S1474" s="225"/>
    </row>
    <row r="1475" spans="1:19" ht="15" customHeight="1">
      <c r="A1475" s="413">
        <f t="shared" ref="A1475:A1538" si="32">1+A1474</f>
        <v>1475</v>
      </c>
      <c r="B1475" s="52">
        <v>312</v>
      </c>
      <c r="C1475" s="219" t="s">
        <v>1411</v>
      </c>
      <c r="D1475" s="220" t="s">
        <v>1394</v>
      </c>
      <c r="E1475" s="221"/>
      <c r="F1475" s="53" t="s">
        <v>1545</v>
      </c>
      <c r="G1475" s="214" t="s">
        <v>1693</v>
      </c>
      <c r="H1475" s="53" t="s">
        <v>109</v>
      </c>
      <c r="I1475" s="222">
        <v>12</v>
      </c>
      <c r="J1475" s="223"/>
      <c r="K1475" s="223">
        <v>60</v>
      </c>
      <c r="L1475" s="223"/>
      <c r="M1475" s="223"/>
      <c r="N1475" s="223"/>
      <c r="O1475" s="224"/>
      <c r="P1475" s="224"/>
      <c r="Q1475" s="224">
        <v>12</v>
      </c>
      <c r="R1475" s="224"/>
      <c r="S1475" s="225"/>
    </row>
    <row r="1476" spans="1:19" ht="15" customHeight="1">
      <c r="A1476" s="413">
        <f t="shared" si="32"/>
        <v>1476</v>
      </c>
      <c r="B1476" s="52">
        <v>312</v>
      </c>
      <c r="C1476" s="219" t="s">
        <v>1411</v>
      </c>
      <c r="D1476" s="220" t="s">
        <v>1394</v>
      </c>
      <c r="E1476" s="221"/>
      <c r="F1476" s="53" t="s">
        <v>1546</v>
      </c>
      <c r="G1476" s="214" t="s">
        <v>1746</v>
      </c>
      <c r="H1476" s="53" t="s">
        <v>109</v>
      </c>
      <c r="I1476" s="222">
        <v>2</v>
      </c>
      <c r="J1476" s="223"/>
      <c r="K1476" s="223">
        <v>28</v>
      </c>
      <c r="L1476" s="223"/>
      <c r="M1476" s="223"/>
      <c r="N1476" s="223"/>
      <c r="O1476" s="224"/>
      <c r="P1476" s="224"/>
      <c r="Q1476" s="224">
        <v>2</v>
      </c>
      <c r="R1476" s="224"/>
      <c r="S1476" s="225"/>
    </row>
    <row r="1477" spans="1:19" ht="15" customHeight="1">
      <c r="A1477" s="413">
        <f t="shared" si="32"/>
        <v>1477</v>
      </c>
      <c r="B1477" s="52">
        <v>415</v>
      </c>
      <c r="C1477" s="219" t="s">
        <v>1411</v>
      </c>
      <c r="D1477" s="220" t="s">
        <v>1538</v>
      </c>
      <c r="E1477" s="221"/>
      <c r="F1477" s="53" t="s">
        <v>1587</v>
      </c>
      <c r="G1477" s="214" t="s">
        <v>1799</v>
      </c>
      <c r="H1477" s="53" t="s">
        <v>12</v>
      </c>
      <c r="I1477" s="222">
        <v>10</v>
      </c>
      <c r="J1477" s="223"/>
      <c r="K1477" s="223">
        <v>52</v>
      </c>
      <c r="L1477" s="223"/>
      <c r="M1477" s="223"/>
      <c r="N1477" s="223"/>
      <c r="O1477" s="224"/>
      <c r="P1477" s="224"/>
      <c r="Q1477" s="224">
        <v>10</v>
      </c>
      <c r="R1477" s="224"/>
      <c r="S1477" s="225"/>
    </row>
    <row r="1478" spans="1:19" ht="15" customHeight="1">
      <c r="A1478" s="413">
        <f t="shared" si="32"/>
        <v>1478</v>
      </c>
      <c r="B1478" s="52">
        <v>415</v>
      </c>
      <c r="C1478" s="219" t="s">
        <v>1411</v>
      </c>
      <c r="D1478" s="220" t="s">
        <v>1538</v>
      </c>
      <c r="E1478" s="221"/>
      <c r="F1478" s="53" t="s">
        <v>1606</v>
      </c>
      <c r="G1478" s="214" t="s">
        <v>1888</v>
      </c>
      <c r="H1478" s="53" t="s">
        <v>12</v>
      </c>
      <c r="I1478" s="222">
        <v>32</v>
      </c>
      <c r="J1478" s="223"/>
      <c r="K1478" s="223">
        <v>94</v>
      </c>
      <c r="L1478" s="223"/>
      <c r="M1478" s="223"/>
      <c r="N1478" s="223"/>
      <c r="O1478" s="224"/>
      <c r="P1478" s="224"/>
      <c r="Q1478" s="224">
        <v>32</v>
      </c>
      <c r="R1478" s="224"/>
      <c r="S1478" s="225"/>
    </row>
    <row r="1479" spans="1:19" ht="15" customHeight="1">
      <c r="A1479" s="413">
        <f t="shared" si="32"/>
        <v>1479</v>
      </c>
      <c r="B1479" s="52">
        <v>312</v>
      </c>
      <c r="C1479" s="219" t="s">
        <v>1411</v>
      </c>
      <c r="D1479" s="220" t="s">
        <v>1394</v>
      </c>
      <c r="E1479" s="221"/>
      <c r="F1479" s="53" t="s">
        <v>70</v>
      </c>
      <c r="G1479" s="214" t="s">
        <v>1800</v>
      </c>
      <c r="H1479" s="53" t="s">
        <v>109</v>
      </c>
      <c r="I1479" s="222">
        <v>6</v>
      </c>
      <c r="J1479" s="223">
        <v>7</v>
      </c>
      <c r="K1479" s="223">
        <v>25</v>
      </c>
      <c r="L1479" s="223"/>
      <c r="M1479" s="223"/>
      <c r="N1479" s="223"/>
      <c r="O1479" s="224"/>
      <c r="P1479" s="224"/>
      <c r="Q1479" s="224">
        <v>6</v>
      </c>
      <c r="R1479" s="224"/>
      <c r="S1479" s="225"/>
    </row>
    <row r="1480" spans="1:19" ht="15" customHeight="1">
      <c r="A1480" s="413">
        <f t="shared" si="32"/>
        <v>1480</v>
      </c>
      <c r="B1480" s="52">
        <v>312</v>
      </c>
      <c r="C1480" s="219" t="s">
        <v>1411</v>
      </c>
      <c r="D1480" s="220" t="s">
        <v>1394</v>
      </c>
      <c r="E1480" s="221"/>
      <c r="F1480" s="53" t="s">
        <v>1607</v>
      </c>
      <c r="G1480" s="214" t="s">
        <v>14</v>
      </c>
      <c r="H1480" s="53" t="s">
        <v>109</v>
      </c>
      <c r="I1480" s="222">
        <v>14</v>
      </c>
      <c r="J1480" s="223"/>
      <c r="K1480" s="223">
        <v>62</v>
      </c>
      <c r="L1480" s="223"/>
      <c r="M1480" s="223"/>
      <c r="N1480" s="223"/>
      <c r="O1480" s="224"/>
      <c r="P1480" s="224"/>
      <c r="Q1480" s="224">
        <v>14</v>
      </c>
      <c r="R1480" s="224"/>
      <c r="S1480" s="225"/>
    </row>
    <row r="1481" spans="1:19" ht="15" customHeight="1">
      <c r="A1481" s="413">
        <f t="shared" si="32"/>
        <v>1481</v>
      </c>
      <c r="B1481" s="52">
        <v>312</v>
      </c>
      <c r="C1481" s="219" t="s">
        <v>1411</v>
      </c>
      <c r="D1481" s="220" t="s">
        <v>1394</v>
      </c>
      <c r="E1481" s="221"/>
      <c r="F1481" s="53" t="s">
        <v>1578</v>
      </c>
      <c r="G1481" s="214"/>
      <c r="H1481" s="53" t="s">
        <v>1315</v>
      </c>
      <c r="I1481" s="222">
        <v>32</v>
      </c>
      <c r="J1481" s="223"/>
      <c r="K1481" s="223"/>
      <c r="L1481" s="223"/>
      <c r="M1481" s="223"/>
      <c r="N1481" s="223"/>
      <c r="O1481" s="224"/>
      <c r="P1481" s="224"/>
      <c r="Q1481" s="224"/>
      <c r="R1481" s="224"/>
      <c r="S1481" s="225"/>
    </row>
    <row r="1482" spans="1:19" ht="15" customHeight="1">
      <c r="A1482" s="413">
        <f t="shared" si="32"/>
        <v>1482</v>
      </c>
      <c r="B1482" s="52">
        <v>312</v>
      </c>
      <c r="C1482" s="219" t="s">
        <v>1411</v>
      </c>
      <c r="D1482" s="220" t="s">
        <v>1394</v>
      </c>
      <c r="E1482" s="221"/>
      <c r="F1482" s="53" t="s">
        <v>1558</v>
      </c>
      <c r="G1482" s="214"/>
      <c r="H1482" s="53" t="s">
        <v>1053</v>
      </c>
      <c r="I1482" s="222">
        <v>5</v>
      </c>
      <c r="J1482" s="223"/>
      <c r="K1482" s="223" t="s">
        <v>1542</v>
      </c>
      <c r="L1482" s="223"/>
      <c r="M1482" s="223"/>
      <c r="N1482" s="223"/>
      <c r="O1482" s="224"/>
      <c r="P1482" s="224"/>
      <c r="Q1482" s="224"/>
      <c r="R1482" s="224"/>
      <c r="S1482" s="225"/>
    </row>
    <row r="1483" spans="1:19" ht="15" customHeight="1">
      <c r="A1483" s="413">
        <f t="shared" si="32"/>
        <v>1483</v>
      </c>
      <c r="B1483" s="52">
        <v>401</v>
      </c>
      <c r="C1483" s="219" t="s">
        <v>1537</v>
      </c>
      <c r="D1483" s="220" t="s">
        <v>1538</v>
      </c>
      <c r="E1483" s="221"/>
      <c r="F1483" s="53" t="s">
        <v>1608</v>
      </c>
      <c r="G1483" s="214" t="s">
        <v>1801</v>
      </c>
      <c r="H1483" s="53" t="s">
        <v>176</v>
      </c>
      <c r="I1483" s="222">
        <v>12</v>
      </c>
      <c r="J1483" s="223">
        <v>2</v>
      </c>
      <c r="K1483" s="223"/>
      <c r="L1483" s="223">
        <v>39</v>
      </c>
      <c r="M1483" s="223"/>
      <c r="N1483" s="223"/>
      <c r="O1483" s="224"/>
      <c r="P1483" s="224"/>
      <c r="Q1483" s="224">
        <v>12</v>
      </c>
      <c r="R1483" s="224"/>
      <c r="S1483" s="225"/>
    </row>
    <row r="1484" spans="1:19" ht="15" customHeight="1">
      <c r="A1484" s="413">
        <f t="shared" si="32"/>
        <v>1484</v>
      </c>
      <c r="B1484" s="52">
        <v>401</v>
      </c>
      <c r="C1484" s="219" t="s">
        <v>1537</v>
      </c>
      <c r="D1484" s="220" t="s">
        <v>1538</v>
      </c>
      <c r="E1484" s="221"/>
      <c r="F1484" s="53" t="s">
        <v>1591</v>
      </c>
      <c r="G1484" s="214" t="s">
        <v>1747</v>
      </c>
      <c r="H1484" s="53" t="s">
        <v>176</v>
      </c>
      <c r="I1484" s="222">
        <v>3</v>
      </c>
      <c r="J1484" s="223">
        <v>17</v>
      </c>
      <c r="K1484" s="223"/>
      <c r="L1484" s="223"/>
      <c r="M1484" s="223"/>
      <c r="N1484" s="223"/>
      <c r="O1484" s="224"/>
      <c r="P1484" s="224"/>
      <c r="Q1484" s="224"/>
      <c r="R1484" s="224">
        <v>3</v>
      </c>
      <c r="S1484" s="225"/>
    </row>
    <row r="1485" spans="1:19" ht="15" customHeight="1">
      <c r="A1485" s="413">
        <f t="shared" si="32"/>
        <v>1485</v>
      </c>
      <c r="B1485" s="52">
        <v>401</v>
      </c>
      <c r="C1485" s="219" t="s">
        <v>1537</v>
      </c>
      <c r="D1485" s="220" t="s">
        <v>1538</v>
      </c>
      <c r="E1485" s="221"/>
      <c r="F1485" s="53" t="s">
        <v>291</v>
      </c>
      <c r="G1485" s="214" t="s">
        <v>16</v>
      </c>
      <c r="H1485" s="53" t="s">
        <v>176</v>
      </c>
      <c r="I1485" s="222">
        <v>16</v>
      </c>
      <c r="J1485" s="223"/>
      <c r="K1485" s="223"/>
      <c r="L1485" s="223">
        <v>55</v>
      </c>
      <c r="M1485" s="223"/>
      <c r="N1485" s="223"/>
      <c r="O1485" s="224"/>
      <c r="P1485" s="224"/>
      <c r="Q1485" s="224"/>
      <c r="R1485" s="224">
        <v>16</v>
      </c>
      <c r="S1485" s="225"/>
    </row>
    <row r="1486" spans="1:19" ht="15" customHeight="1">
      <c r="A1486" s="413">
        <f t="shared" si="32"/>
        <v>1486</v>
      </c>
      <c r="B1486" s="52">
        <v>401</v>
      </c>
      <c r="C1486" s="219" t="s">
        <v>1537</v>
      </c>
      <c r="D1486" s="220" t="s">
        <v>1538</v>
      </c>
      <c r="E1486" s="221"/>
      <c r="F1486" s="53" t="s">
        <v>1609</v>
      </c>
      <c r="G1486" s="214" t="s">
        <v>1899</v>
      </c>
      <c r="H1486" s="53" t="s">
        <v>176</v>
      </c>
      <c r="I1486" s="222">
        <v>12</v>
      </c>
      <c r="J1486" s="223"/>
      <c r="K1486" s="223"/>
      <c r="L1486" s="223">
        <v>17</v>
      </c>
      <c r="M1486" s="223"/>
      <c r="N1486" s="223"/>
      <c r="O1486" s="224"/>
      <c r="P1486" s="224"/>
      <c r="Q1486" s="224">
        <v>12</v>
      </c>
      <c r="R1486" s="224"/>
      <c r="S1486" s="225"/>
    </row>
    <row r="1487" spans="1:19" ht="15" customHeight="1">
      <c r="A1487" s="413">
        <f t="shared" si="32"/>
        <v>1487</v>
      </c>
      <c r="B1487" s="52">
        <v>401</v>
      </c>
      <c r="C1487" s="219" t="s">
        <v>1537</v>
      </c>
      <c r="D1487" s="220" t="s">
        <v>1538</v>
      </c>
      <c r="E1487" s="221"/>
      <c r="F1487" s="53" t="s">
        <v>1610</v>
      </c>
      <c r="G1487" s="214" t="s">
        <v>1900</v>
      </c>
      <c r="H1487" s="53" t="s">
        <v>176</v>
      </c>
      <c r="I1487" s="222">
        <v>5</v>
      </c>
      <c r="J1487" s="223"/>
      <c r="K1487" s="223">
        <v>30</v>
      </c>
      <c r="L1487" s="223"/>
      <c r="M1487" s="223"/>
      <c r="N1487" s="223"/>
      <c r="O1487" s="224"/>
      <c r="P1487" s="224"/>
      <c r="Q1487" s="224">
        <v>5</v>
      </c>
      <c r="R1487" s="224"/>
      <c r="S1487" s="225"/>
    </row>
    <row r="1488" spans="1:19" ht="15" customHeight="1">
      <c r="A1488" s="413">
        <f t="shared" si="32"/>
        <v>1488</v>
      </c>
      <c r="B1488" s="52">
        <v>401</v>
      </c>
      <c r="C1488" s="219" t="s">
        <v>1537</v>
      </c>
      <c r="D1488" s="220" t="s">
        <v>1538</v>
      </c>
      <c r="E1488" s="221"/>
      <c r="F1488" s="53" t="s">
        <v>1565</v>
      </c>
      <c r="G1488" s="214" t="s">
        <v>1833</v>
      </c>
      <c r="H1488" s="53" t="s">
        <v>176</v>
      </c>
      <c r="I1488" s="222">
        <v>6</v>
      </c>
      <c r="J1488" s="223"/>
      <c r="K1488" s="223">
        <v>30</v>
      </c>
      <c r="L1488" s="223"/>
      <c r="M1488" s="223"/>
      <c r="N1488" s="223"/>
      <c r="O1488" s="224"/>
      <c r="P1488" s="224"/>
      <c r="Q1488" s="224">
        <v>6</v>
      </c>
      <c r="R1488" s="224"/>
      <c r="S1488" s="225"/>
    </row>
    <row r="1489" spans="1:19" ht="15" customHeight="1">
      <c r="A1489" s="413">
        <f t="shared" si="32"/>
        <v>1489</v>
      </c>
      <c r="B1489" s="52">
        <v>401</v>
      </c>
      <c r="C1489" s="219" t="s">
        <v>1537</v>
      </c>
      <c r="D1489" s="220" t="s">
        <v>1538</v>
      </c>
      <c r="E1489" s="221"/>
      <c r="F1489" s="53" t="s">
        <v>1611</v>
      </c>
      <c r="G1489" s="214" t="s">
        <v>1901</v>
      </c>
      <c r="H1489" s="53" t="s">
        <v>176</v>
      </c>
      <c r="I1489" s="222">
        <v>7</v>
      </c>
      <c r="J1489" s="223"/>
      <c r="K1489" s="223"/>
      <c r="L1489" s="223">
        <v>32</v>
      </c>
      <c r="M1489" s="223"/>
      <c r="N1489" s="223"/>
      <c r="O1489" s="224"/>
      <c r="P1489" s="224"/>
      <c r="Q1489" s="224">
        <v>7</v>
      </c>
      <c r="R1489" s="224"/>
      <c r="S1489" s="225"/>
    </row>
    <row r="1490" spans="1:19" ht="15" customHeight="1">
      <c r="A1490" s="413">
        <f t="shared" si="32"/>
        <v>1490</v>
      </c>
      <c r="B1490" s="52">
        <v>401</v>
      </c>
      <c r="C1490" s="219" t="s">
        <v>1537</v>
      </c>
      <c r="D1490" s="220" t="s">
        <v>1538</v>
      </c>
      <c r="E1490" s="221"/>
      <c r="F1490" s="53" t="s">
        <v>1611</v>
      </c>
      <c r="G1490" s="214" t="s">
        <v>1902</v>
      </c>
      <c r="H1490" s="53" t="s">
        <v>176</v>
      </c>
      <c r="I1490" s="222">
        <v>16</v>
      </c>
      <c r="J1490" s="223"/>
      <c r="K1490" s="223"/>
      <c r="L1490" s="223">
        <v>50</v>
      </c>
      <c r="M1490" s="223"/>
      <c r="N1490" s="223"/>
      <c r="O1490" s="224"/>
      <c r="P1490" s="224"/>
      <c r="Q1490" s="224">
        <v>16</v>
      </c>
      <c r="R1490" s="224"/>
      <c r="S1490" s="225"/>
    </row>
    <row r="1491" spans="1:19" ht="15" customHeight="1">
      <c r="A1491" s="413">
        <f t="shared" si="32"/>
        <v>1491</v>
      </c>
      <c r="B1491" s="52">
        <v>401</v>
      </c>
      <c r="C1491" s="219" t="s">
        <v>1537</v>
      </c>
      <c r="D1491" s="220" t="s">
        <v>1538</v>
      </c>
      <c r="E1491" s="221"/>
      <c r="F1491" s="53"/>
      <c r="G1491" s="214" t="s">
        <v>1903</v>
      </c>
      <c r="H1491" s="53" t="s">
        <v>176</v>
      </c>
      <c r="I1491" s="222">
        <v>85</v>
      </c>
      <c r="J1491" s="223"/>
      <c r="K1491" s="223"/>
      <c r="L1491" s="223">
        <v>144</v>
      </c>
      <c r="M1491" s="223"/>
      <c r="N1491" s="223"/>
      <c r="O1491" s="224"/>
      <c r="P1491" s="224"/>
      <c r="Q1491" s="224">
        <v>85</v>
      </c>
      <c r="R1491" s="224"/>
      <c r="S1491" s="225"/>
    </row>
    <row r="1492" spans="1:19" ht="15" customHeight="1">
      <c r="A1492" s="413">
        <f t="shared" si="32"/>
        <v>1492</v>
      </c>
      <c r="B1492" s="52">
        <v>401</v>
      </c>
      <c r="C1492" s="219" t="s">
        <v>1537</v>
      </c>
      <c r="D1492" s="220" t="s">
        <v>1538</v>
      </c>
      <c r="E1492" s="221"/>
      <c r="F1492" s="53" t="s">
        <v>291</v>
      </c>
      <c r="G1492" s="214" t="s">
        <v>182</v>
      </c>
      <c r="H1492" s="53" t="s">
        <v>176</v>
      </c>
      <c r="I1492" s="222">
        <v>6</v>
      </c>
      <c r="J1492" s="223">
        <v>20</v>
      </c>
      <c r="K1492" s="223"/>
      <c r="L1492" s="223"/>
      <c r="M1492" s="223"/>
      <c r="N1492" s="223"/>
      <c r="O1492" s="224"/>
      <c r="P1492" s="224"/>
      <c r="Q1492" s="224"/>
      <c r="R1492" s="224">
        <v>6</v>
      </c>
      <c r="S1492" s="225"/>
    </row>
    <row r="1493" spans="1:19" ht="15" customHeight="1">
      <c r="A1493" s="413">
        <f t="shared" si="32"/>
        <v>1493</v>
      </c>
      <c r="B1493" s="52">
        <v>401</v>
      </c>
      <c r="C1493" s="219" t="s">
        <v>1537</v>
      </c>
      <c r="D1493" s="220" t="s">
        <v>1538</v>
      </c>
      <c r="E1493" s="221"/>
      <c r="F1493" s="53" t="s">
        <v>1612</v>
      </c>
      <c r="G1493" s="214" t="s">
        <v>1904</v>
      </c>
      <c r="H1493" s="53" t="s">
        <v>176</v>
      </c>
      <c r="I1493" s="222">
        <v>2</v>
      </c>
      <c r="J1493" s="223"/>
      <c r="K1493" s="223"/>
      <c r="L1493" s="223"/>
      <c r="M1493" s="223"/>
      <c r="N1493" s="223"/>
      <c r="O1493" s="224"/>
      <c r="P1493" s="224"/>
      <c r="Q1493" s="224"/>
      <c r="R1493" s="224">
        <v>2</v>
      </c>
      <c r="S1493" s="225"/>
    </row>
    <row r="1494" spans="1:19" ht="15" customHeight="1">
      <c r="A1494" s="413">
        <f t="shared" si="32"/>
        <v>1494</v>
      </c>
      <c r="B1494" s="52">
        <v>401</v>
      </c>
      <c r="C1494" s="219" t="s">
        <v>1537</v>
      </c>
      <c r="D1494" s="220" t="s">
        <v>1538</v>
      </c>
      <c r="E1494" s="221"/>
      <c r="F1494" s="53" t="s">
        <v>1613</v>
      </c>
      <c r="G1494" s="214" t="s">
        <v>183</v>
      </c>
      <c r="H1494" s="53" t="s">
        <v>12</v>
      </c>
      <c r="I1494" s="222">
        <v>4</v>
      </c>
      <c r="J1494" s="223"/>
      <c r="K1494" s="223"/>
      <c r="L1494" s="223"/>
      <c r="M1494" s="223"/>
      <c r="N1494" s="223"/>
      <c r="O1494" s="224"/>
      <c r="P1494" s="224">
        <v>4</v>
      </c>
      <c r="Q1494" s="224"/>
      <c r="R1494" s="224"/>
      <c r="S1494" s="225"/>
    </row>
    <row r="1495" spans="1:19" ht="15" customHeight="1">
      <c r="A1495" s="413">
        <f t="shared" si="32"/>
        <v>1495</v>
      </c>
      <c r="B1495" s="52">
        <v>401</v>
      </c>
      <c r="C1495" s="219" t="s">
        <v>1537</v>
      </c>
      <c r="D1495" s="220" t="s">
        <v>1538</v>
      </c>
      <c r="E1495" s="221"/>
      <c r="F1495" s="53" t="s">
        <v>1611</v>
      </c>
      <c r="G1495" s="214" t="s">
        <v>1905</v>
      </c>
      <c r="H1495" s="53" t="s">
        <v>12</v>
      </c>
      <c r="I1495" s="222">
        <v>27</v>
      </c>
      <c r="J1495" s="223"/>
      <c r="K1495" s="223"/>
      <c r="L1495" s="223"/>
      <c r="M1495" s="223"/>
      <c r="N1495" s="223"/>
      <c r="O1495" s="224"/>
      <c r="P1495" s="224">
        <v>27</v>
      </c>
      <c r="Q1495" s="224"/>
      <c r="R1495" s="224"/>
      <c r="S1495" s="225"/>
    </row>
    <row r="1496" spans="1:19" ht="15" customHeight="1">
      <c r="A1496" s="413">
        <f t="shared" si="32"/>
        <v>1496</v>
      </c>
      <c r="B1496" s="52">
        <v>401</v>
      </c>
      <c r="C1496" s="219" t="s">
        <v>1537</v>
      </c>
      <c r="D1496" s="220" t="s">
        <v>1538</v>
      </c>
      <c r="E1496" s="221"/>
      <c r="F1496" s="53" t="s">
        <v>1611</v>
      </c>
      <c r="G1496" s="214" t="s">
        <v>1906</v>
      </c>
      <c r="H1496" s="53" t="s">
        <v>12</v>
      </c>
      <c r="I1496" s="222">
        <v>12</v>
      </c>
      <c r="J1496" s="223"/>
      <c r="K1496" s="223"/>
      <c r="L1496" s="223"/>
      <c r="M1496" s="223"/>
      <c r="N1496" s="223"/>
      <c r="O1496" s="224"/>
      <c r="P1496" s="224">
        <v>12</v>
      </c>
      <c r="Q1496" s="224"/>
      <c r="R1496" s="224"/>
      <c r="S1496" s="225"/>
    </row>
    <row r="1497" spans="1:19" ht="15" customHeight="1">
      <c r="A1497" s="413">
        <f t="shared" si="32"/>
        <v>1497</v>
      </c>
      <c r="B1497" s="52">
        <v>401</v>
      </c>
      <c r="C1497" s="219" t="s">
        <v>1537</v>
      </c>
      <c r="D1497" s="220" t="s">
        <v>1538</v>
      </c>
      <c r="E1497" s="221"/>
      <c r="F1497" s="53" t="s">
        <v>1611</v>
      </c>
      <c r="G1497" s="214" t="s">
        <v>1907</v>
      </c>
      <c r="H1497" s="53" t="s">
        <v>12</v>
      </c>
      <c r="I1497" s="222">
        <v>12</v>
      </c>
      <c r="J1497" s="223"/>
      <c r="K1497" s="223"/>
      <c r="L1497" s="223"/>
      <c r="M1497" s="223"/>
      <c r="N1497" s="223"/>
      <c r="O1497" s="224"/>
      <c r="P1497" s="224">
        <v>12</v>
      </c>
      <c r="Q1497" s="224"/>
      <c r="R1497" s="224"/>
      <c r="S1497" s="225"/>
    </row>
    <row r="1498" spans="1:19" ht="15" customHeight="1">
      <c r="A1498" s="413">
        <f t="shared" si="32"/>
        <v>1498</v>
      </c>
      <c r="B1498" s="52">
        <v>401</v>
      </c>
      <c r="C1498" s="219" t="s">
        <v>1537</v>
      </c>
      <c r="D1498" s="220" t="s">
        <v>1538</v>
      </c>
      <c r="E1498" s="221"/>
      <c r="F1498" s="53" t="s">
        <v>319</v>
      </c>
      <c r="G1498" s="214" t="s">
        <v>1908</v>
      </c>
      <c r="H1498" s="53" t="s">
        <v>12</v>
      </c>
      <c r="I1498" s="222">
        <v>12</v>
      </c>
      <c r="J1498" s="223"/>
      <c r="K1498" s="223"/>
      <c r="L1498" s="223"/>
      <c r="M1498" s="223"/>
      <c r="N1498" s="223"/>
      <c r="O1498" s="224"/>
      <c r="P1498" s="224">
        <v>12</v>
      </c>
      <c r="Q1498" s="224"/>
      <c r="R1498" s="224"/>
      <c r="S1498" s="225"/>
    </row>
    <row r="1499" spans="1:19" ht="15" customHeight="1">
      <c r="A1499" s="413">
        <f t="shared" si="32"/>
        <v>1499</v>
      </c>
      <c r="B1499" s="52">
        <v>402</v>
      </c>
      <c r="C1499" s="219" t="s">
        <v>288</v>
      </c>
      <c r="D1499" s="220" t="s">
        <v>1538</v>
      </c>
      <c r="E1499" s="221"/>
      <c r="F1499" s="53" t="s">
        <v>111</v>
      </c>
      <c r="G1499" s="214" t="s">
        <v>1482</v>
      </c>
      <c r="H1499" s="53" t="s">
        <v>160</v>
      </c>
      <c r="I1499" s="222">
        <v>19</v>
      </c>
      <c r="J1499" s="223"/>
      <c r="K1499" s="223"/>
      <c r="L1499" s="223">
        <v>55</v>
      </c>
      <c r="M1499" s="223"/>
      <c r="N1499" s="223"/>
      <c r="O1499" s="224"/>
      <c r="P1499" s="224"/>
      <c r="Q1499" s="224">
        <v>19</v>
      </c>
      <c r="R1499" s="224"/>
      <c r="S1499" s="225"/>
    </row>
    <row r="1500" spans="1:19" ht="15" customHeight="1">
      <c r="A1500" s="413">
        <f t="shared" si="32"/>
        <v>1500</v>
      </c>
      <c r="B1500" s="52">
        <v>402</v>
      </c>
      <c r="C1500" s="219" t="s">
        <v>288</v>
      </c>
      <c r="D1500" s="220" t="s">
        <v>1538</v>
      </c>
      <c r="E1500" s="221"/>
      <c r="F1500" s="53" t="s">
        <v>1614</v>
      </c>
      <c r="G1500" s="214" t="s">
        <v>1486</v>
      </c>
      <c r="H1500" s="53" t="s">
        <v>160</v>
      </c>
      <c r="I1500" s="222">
        <v>12</v>
      </c>
      <c r="J1500" s="223">
        <v>2</v>
      </c>
      <c r="K1500" s="223"/>
      <c r="L1500" s="223">
        <v>39</v>
      </c>
      <c r="M1500" s="223"/>
      <c r="N1500" s="223"/>
      <c r="O1500" s="224"/>
      <c r="P1500" s="224"/>
      <c r="Q1500" s="224">
        <v>12</v>
      </c>
      <c r="R1500" s="224"/>
      <c r="S1500" s="225"/>
    </row>
    <row r="1501" spans="1:19" ht="15" customHeight="1">
      <c r="A1501" s="413">
        <f t="shared" si="32"/>
        <v>1501</v>
      </c>
      <c r="B1501" s="52">
        <v>402</v>
      </c>
      <c r="C1501" s="219" t="s">
        <v>288</v>
      </c>
      <c r="D1501" s="220" t="s">
        <v>1538</v>
      </c>
      <c r="E1501" s="221"/>
      <c r="F1501" s="53" t="s">
        <v>308</v>
      </c>
      <c r="G1501" s="214" t="s">
        <v>1615</v>
      </c>
      <c r="H1501" s="53" t="s">
        <v>160</v>
      </c>
      <c r="I1501" s="222">
        <v>1</v>
      </c>
      <c r="J1501" s="223">
        <v>9</v>
      </c>
      <c r="K1501" s="223"/>
      <c r="L1501" s="223"/>
      <c r="M1501" s="223"/>
      <c r="N1501" s="223"/>
      <c r="O1501" s="224"/>
      <c r="P1501" s="224"/>
      <c r="Q1501" s="224"/>
      <c r="R1501" s="224">
        <v>1</v>
      </c>
      <c r="S1501" s="225"/>
    </row>
    <row r="1502" spans="1:19" ht="15" customHeight="1">
      <c r="A1502" s="413">
        <f t="shared" si="32"/>
        <v>1502</v>
      </c>
      <c r="B1502" s="52">
        <v>402</v>
      </c>
      <c r="C1502" s="219" t="s">
        <v>288</v>
      </c>
      <c r="D1502" s="220" t="s">
        <v>1538</v>
      </c>
      <c r="E1502" s="221"/>
      <c r="F1502" s="53" t="s">
        <v>308</v>
      </c>
      <c r="G1502" s="214" t="s">
        <v>1616</v>
      </c>
      <c r="H1502" s="53" t="s">
        <v>160</v>
      </c>
      <c r="I1502" s="222">
        <v>1</v>
      </c>
      <c r="J1502" s="223">
        <v>9</v>
      </c>
      <c r="K1502" s="223"/>
      <c r="L1502" s="223"/>
      <c r="M1502" s="223"/>
      <c r="N1502" s="223"/>
      <c r="O1502" s="224"/>
      <c r="P1502" s="224"/>
      <c r="Q1502" s="224"/>
      <c r="R1502" s="224">
        <v>1</v>
      </c>
      <c r="S1502" s="225"/>
    </row>
    <row r="1503" spans="1:19" ht="15" customHeight="1">
      <c r="A1503" s="413">
        <f t="shared" si="32"/>
        <v>1503</v>
      </c>
      <c r="B1503" s="52">
        <v>402</v>
      </c>
      <c r="C1503" s="219" t="s">
        <v>288</v>
      </c>
      <c r="D1503" s="220" t="s">
        <v>1538</v>
      </c>
      <c r="E1503" s="221"/>
      <c r="F1503" s="53" t="s">
        <v>1617</v>
      </c>
      <c r="G1503" s="214" t="s">
        <v>1484</v>
      </c>
      <c r="H1503" s="53" t="s">
        <v>160</v>
      </c>
      <c r="I1503" s="222">
        <v>12</v>
      </c>
      <c r="J1503" s="223"/>
      <c r="K1503" s="223"/>
      <c r="L1503" s="223">
        <v>17</v>
      </c>
      <c r="M1503" s="223"/>
      <c r="N1503" s="223"/>
      <c r="O1503" s="224"/>
      <c r="P1503" s="224"/>
      <c r="Q1503" s="224">
        <v>12</v>
      </c>
      <c r="R1503" s="224"/>
      <c r="S1503" s="225"/>
    </row>
    <row r="1504" spans="1:19" ht="15" customHeight="1">
      <c r="A1504" s="413">
        <f t="shared" si="32"/>
        <v>1504</v>
      </c>
      <c r="B1504" s="52">
        <v>402</v>
      </c>
      <c r="C1504" s="219" t="s">
        <v>288</v>
      </c>
      <c r="D1504" s="220" t="s">
        <v>1538</v>
      </c>
      <c r="E1504" s="221"/>
      <c r="F1504" s="53" t="s">
        <v>1618</v>
      </c>
      <c r="G1504" s="214" t="s">
        <v>1619</v>
      </c>
      <c r="H1504" s="53" t="s">
        <v>160</v>
      </c>
      <c r="I1504" s="222">
        <v>6</v>
      </c>
      <c r="J1504" s="223"/>
      <c r="K1504" s="223"/>
      <c r="L1504" s="223"/>
      <c r="M1504" s="223"/>
      <c r="N1504" s="223">
        <v>30</v>
      </c>
      <c r="O1504" s="224"/>
      <c r="P1504" s="224"/>
      <c r="Q1504" s="224">
        <v>6</v>
      </c>
      <c r="R1504" s="224"/>
      <c r="S1504" s="225"/>
    </row>
    <row r="1505" spans="1:19" ht="15" customHeight="1">
      <c r="A1505" s="413">
        <f t="shared" si="32"/>
        <v>1505</v>
      </c>
      <c r="B1505" s="52">
        <v>402</v>
      </c>
      <c r="C1505" s="219" t="s">
        <v>288</v>
      </c>
      <c r="D1505" s="220" t="s">
        <v>1538</v>
      </c>
      <c r="E1505" s="221"/>
      <c r="F1505" s="53" t="s">
        <v>1620</v>
      </c>
      <c r="G1505" s="214" t="s">
        <v>1621</v>
      </c>
      <c r="H1505" s="53" t="s">
        <v>160</v>
      </c>
      <c r="I1505" s="222">
        <v>7</v>
      </c>
      <c r="J1505" s="223"/>
      <c r="K1505" s="223"/>
      <c r="L1505" s="223">
        <v>32</v>
      </c>
      <c r="M1505" s="223"/>
      <c r="N1505" s="223"/>
      <c r="O1505" s="224"/>
      <c r="P1505" s="224"/>
      <c r="Q1505" s="224">
        <v>7</v>
      </c>
      <c r="R1505" s="224"/>
      <c r="S1505" s="225"/>
    </row>
    <row r="1506" spans="1:19" ht="15" customHeight="1">
      <c r="A1506" s="413">
        <f t="shared" si="32"/>
        <v>1506</v>
      </c>
      <c r="B1506" s="52">
        <v>402</v>
      </c>
      <c r="C1506" s="219" t="s">
        <v>288</v>
      </c>
      <c r="D1506" s="220" t="s">
        <v>1538</v>
      </c>
      <c r="E1506" s="221"/>
      <c r="F1506" s="53" t="s">
        <v>1622</v>
      </c>
      <c r="G1506" s="214" t="s">
        <v>1623</v>
      </c>
      <c r="H1506" s="53" t="s">
        <v>160</v>
      </c>
      <c r="I1506" s="222">
        <v>22</v>
      </c>
      <c r="J1506" s="223"/>
      <c r="K1506" s="223"/>
      <c r="L1506" s="223">
        <v>62</v>
      </c>
      <c r="M1506" s="223"/>
      <c r="N1506" s="223"/>
      <c r="O1506" s="224"/>
      <c r="P1506" s="224"/>
      <c r="Q1506" s="224">
        <v>22</v>
      </c>
      <c r="R1506" s="224"/>
      <c r="S1506" s="225"/>
    </row>
    <row r="1507" spans="1:19" ht="15" customHeight="1">
      <c r="A1507" s="413">
        <f t="shared" si="32"/>
        <v>1507</v>
      </c>
      <c r="B1507" s="52">
        <v>402</v>
      </c>
      <c r="C1507" s="219" t="s">
        <v>288</v>
      </c>
      <c r="D1507" s="220" t="s">
        <v>1538</v>
      </c>
      <c r="E1507" s="221"/>
      <c r="F1507" s="53" t="s">
        <v>1624</v>
      </c>
      <c r="G1507" s="214" t="s">
        <v>1625</v>
      </c>
      <c r="H1507" s="53" t="s">
        <v>160</v>
      </c>
      <c r="I1507" s="222">
        <v>101</v>
      </c>
      <c r="J1507" s="223"/>
      <c r="K1507" s="223"/>
      <c r="L1507" s="223">
        <v>173</v>
      </c>
      <c r="M1507" s="223"/>
      <c r="N1507" s="223"/>
      <c r="O1507" s="224"/>
      <c r="P1507" s="224"/>
      <c r="Q1507" s="224">
        <v>101</v>
      </c>
      <c r="R1507" s="224"/>
      <c r="S1507" s="225"/>
    </row>
    <row r="1508" spans="1:19" ht="15" customHeight="1">
      <c r="A1508" s="413">
        <f t="shared" si="32"/>
        <v>1508</v>
      </c>
      <c r="B1508" s="52">
        <v>402</v>
      </c>
      <c r="C1508" s="219" t="s">
        <v>288</v>
      </c>
      <c r="D1508" s="220" t="s">
        <v>1538</v>
      </c>
      <c r="E1508" s="221"/>
      <c r="F1508" s="53" t="s">
        <v>1626</v>
      </c>
      <c r="G1508" s="214" t="s">
        <v>1627</v>
      </c>
      <c r="H1508" s="53" t="s">
        <v>1053</v>
      </c>
      <c r="I1508" s="222">
        <v>12</v>
      </c>
      <c r="J1508" s="223"/>
      <c r="K1508" s="223"/>
      <c r="L1508" s="223">
        <v>43</v>
      </c>
      <c r="M1508" s="223"/>
      <c r="N1508" s="223"/>
      <c r="O1508" s="224"/>
      <c r="P1508" s="224">
        <v>12</v>
      </c>
      <c r="Q1508" s="224"/>
      <c r="R1508" s="224"/>
      <c r="S1508" s="225"/>
    </row>
    <row r="1509" spans="1:19" ht="15" customHeight="1">
      <c r="A1509" s="413">
        <f t="shared" si="32"/>
        <v>1509</v>
      </c>
      <c r="B1509" s="52">
        <v>402</v>
      </c>
      <c r="C1509" s="219" t="s">
        <v>288</v>
      </c>
      <c r="D1509" s="220" t="s">
        <v>1538</v>
      </c>
      <c r="E1509" s="221"/>
      <c r="F1509" s="53" t="s">
        <v>1628</v>
      </c>
      <c r="G1509" s="214" t="s">
        <v>1629</v>
      </c>
      <c r="H1509" s="53" t="s">
        <v>176</v>
      </c>
      <c r="I1509" s="222">
        <v>12</v>
      </c>
      <c r="J1509" s="223"/>
      <c r="K1509" s="223"/>
      <c r="L1509" s="223">
        <v>43</v>
      </c>
      <c r="M1509" s="223"/>
      <c r="N1509" s="223"/>
      <c r="O1509" s="224"/>
      <c r="P1509" s="224"/>
      <c r="Q1509" s="224">
        <v>12</v>
      </c>
      <c r="R1509" s="224"/>
      <c r="S1509" s="225"/>
    </row>
    <row r="1510" spans="1:19" ht="15" customHeight="1">
      <c r="A1510" s="413">
        <f t="shared" si="32"/>
        <v>1510</v>
      </c>
      <c r="B1510" s="52">
        <v>402</v>
      </c>
      <c r="C1510" s="219" t="s">
        <v>288</v>
      </c>
      <c r="D1510" s="220" t="s">
        <v>1538</v>
      </c>
      <c r="E1510" s="221"/>
      <c r="F1510" s="53" t="s">
        <v>1626</v>
      </c>
      <c r="G1510" s="214" t="s">
        <v>1630</v>
      </c>
      <c r="H1510" s="53" t="s">
        <v>1053</v>
      </c>
      <c r="I1510" s="222">
        <v>12</v>
      </c>
      <c r="J1510" s="223"/>
      <c r="K1510" s="223"/>
      <c r="L1510" s="223">
        <v>43</v>
      </c>
      <c r="M1510" s="223"/>
      <c r="N1510" s="223"/>
      <c r="O1510" s="224"/>
      <c r="P1510" s="224">
        <v>12</v>
      </c>
      <c r="Q1510" s="224"/>
      <c r="R1510" s="224"/>
      <c r="S1510" s="225"/>
    </row>
    <row r="1511" spans="1:19" ht="15" customHeight="1">
      <c r="A1511" s="413">
        <f t="shared" si="32"/>
        <v>1511</v>
      </c>
      <c r="B1511" s="52">
        <v>402</v>
      </c>
      <c r="C1511" s="219" t="s">
        <v>288</v>
      </c>
      <c r="D1511" s="220" t="s">
        <v>1538</v>
      </c>
      <c r="E1511" s="221"/>
      <c r="F1511" s="53" t="s">
        <v>1626</v>
      </c>
      <c r="G1511" s="214" t="s">
        <v>1631</v>
      </c>
      <c r="H1511" s="53" t="s">
        <v>1053</v>
      </c>
      <c r="I1511" s="222">
        <v>12</v>
      </c>
      <c r="J1511" s="223"/>
      <c r="K1511" s="223"/>
      <c r="L1511" s="223">
        <v>43</v>
      </c>
      <c r="M1511" s="223"/>
      <c r="N1511" s="223"/>
      <c r="O1511" s="224"/>
      <c r="P1511" s="224">
        <v>12</v>
      </c>
      <c r="Q1511" s="224"/>
      <c r="R1511" s="224"/>
      <c r="S1511" s="225"/>
    </row>
    <row r="1512" spans="1:19" ht="15" customHeight="1">
      <c r="A1512" s="413">
        <f t="shared" si="32"/>
        <v>1512</v>
      </c>
      <c r="B1512" s="52">
        <v>402</v>
      </c>
      <c r="C1512" s="219" t="s">
        <v>288</v>
      </c>
      <c r="D1512" s="220" t="s">
        <v>1538</v>
      </c>
      <c r="E1512" s="221"/>
      <c r="F1512" s="53" t="s">
        <v>1632</v>
      </c>
      <c r="G1512" s="214" t="s">
        <v>1633</v>
      </c>
      <c r="H1512" s="53" t="s">
        <v>160</v>
      </c>
      <c r="I1512" s="222">
        <v>24</v>
      </c>
      <c r="J1512" s="223"/>
      <c r="K1512" s="223"/>
      <c r="L1512" s="223">
        <v>63</v>
      </c>
      <c r="M1512" s="223"/>
      <c r="N1512" s="223"/>
      <c r="O1512" s="224"/>
      <c r="P1512" s="224"/>
      <c r="Q1512" s="224">
        <v>24</v>
      </c>
      <c r="R1512" s="224"/>
      <c r="S1512" s="225"/>
    </row>
    <row r="1513" spans="1:19" ht="15" customHeight="1">
      <c r="A1513" s="413">
        <f t="shared" si="32"/>
        <v>1513</v>
      </c>
      <c r="B1513" s="52">
        <v>402</v>
      </c>
      <c r="C1513" s="219" t="s">
        <v>288</v>
      </c>
      <c r="D1513" s="220" t="s">
        <v>1538</v>
      </c>
      <c r="E1513" s="221"/>
      <c r="F1513" s="53" t="s">
        <v>247</v>
      </c>
      <c r="G1513" s="214" t="s">
        <v>1634</v>
      </c>
      <c r="H1513" s="53" t="s">
        <v>160</v>
      </c>
      <c r="I1513" s="222">
        <v>4</v>
      </c>
      <c r="J1513" s="223"/>
      <c r="K1513" s="223"/>
      <c r="L1513" s="223">
        <v>30</v>
      </c>
      <c r="M1513" s="223"/>
      <c r="N1513" s="223"/>
      <c r="O1513" s="224"/>
      <c r="P1513" s="224"/>
      <c r="Q1513" s="224">
        <v>4</v>
      </c>
      <c r="R1513" s="224"/>
      <c r="S1513" s="225"/>
    </row>
    <row r="1514" spans="1:19" ht="15" customHeight="1">
      <c r="A1514" s="413">
        <f t="shared" si="32"/>
        <v>1514</v>
      </c>
      <c r="B1514" s="52">
        <v>402</v>
      </c>
      <c r="C1514" s="219" t="s">
        <v>288</v>
      </c>
      <c r="D1514" s="220" t="s">
        <v>1538</v>
      </c>
      <c r="E1514" s="221"/>
      <c r="F1514" s="53" t="s">
        <v>208</v>
      </c>
      <c r="G1514" s="214" t="s">
        <v>1635</v>
      </c>
      <c r="H1514" s="53" t="s">
        <v>160</v>
      </c>
      <c r="I1514" s="222">
        <v>2</v>
      </c>
      <c r="J1514" s="223"/>
      <c r="K1514" s="223"/>
      <c r="L1514" s="223">
        <v>14</v>
      </c>
      <c r="M1514" s="223"/>
      <c r="N1514" s="223"/>
      <c r="O1514" s="224"/>
      <c r="P1514" s="224"/>
      <c r="Q1514" s="224"/>
      <c r="R1514" s="224">
        <v>2</v>
      </c>
      <c r="S1514" s="225"/>
    </row>
    <row r="1515" spans="1:19" ht="15" customHeight="1">
      <c r="A1515" s="413">
        <f t="shared" si="32"/>
        <v>1515</v>
      </c>
      <c r="B1515" s="52">
        <v>402</v>
      </c>
      <c r="C1515" s="219" t="s">
        <v>288</v>
      </c>
      <c r="D1515" s="220" t="s">
        <v>1538</v>
      </c>
      <c r="E1515" s="221"/>
      <c r="F1515" s="53" t="s">
        <v>1636</v>
      </c>
      <c r="G1515" s="214" t="s">
        <v>1637</v>
      </c>
      <c r="H1515" s="53" t="s">
        <v>160</v>
      </c>
      <c r="I1515" s="222">
        <v>6</v>
      </c>
      <c r="J1515" s="223">
        <v>20</v>
      </c>
      <c r="K1515" s="223"/>
      <c r="L1515" s="223"/>
      <c r="M1515" s="223"/>
      <c r="N1515" s="223"/>
      <c r="O1515" s="224"/>
      <c r="P1515" s="224"/>
      <c r="Q1515" s="224"/>
      <c r="R1515" s="224">
        <v>6</v>
      </c>
      <c r="S1515" s="225"/>
    </row>
    <row r="1516" spans="1:19" ht="15" customHeight="1">
      <c r="A1516" s="413">
        <f t="shared" si="32"/>
        <v>1516</v>
      </c>
      <c r="B1516" s="52">
        <v>403</v>
      </c>
      <c r="C1516" s="219" t="s">
        <v>103</v>
      </c>
      <c r="D1516" s="220" t="s">
        <v>1538</v>
      </c>
      <c r="E1516" s="221"/>
      <c r="F1516" s="53" t="s">
        <v>1638</v>
      </c>
      <c r="G1516" s="214" t="s">
        <v>1482</v>
      </c>
      <c r="H1516" s="53" t="s">
        <v>160</v>
      </c>
      <c r="I1516" s="222">
        <v>71</v>
      </c>
      <c r="J1516" s="223"/>
      <c r="K1516" s="223"/>
      <c r="L1516" s="223"/>
      <c r="M1516" s="223"/>
      <c r="N1516" s="223">
        <v>120</v>
      </c>
      <c r="O1516" s="224"/>
      <c r="P1516" s="224"/>
      <c r="Q1516" s="224">
        <v>71</v>
      </c>
      <c r="R1516" s="224"/>
      <c r="S1516" s="225"/>
    </row>
    <row r="1517" spans="1:19" ht="15" customHeight="1">
      <c r="A1517" s="413">
        <f t="shared" si="32"/>
        <v>1517</v>
      </c>
      <c r="B1517" s="52">
        <v>403</v>
      </c>
      <c r="C1517" s="219" t="s">
        <v>103</v>
      </c>
      <c r="D1517" s="220" t="s">
        <v>1538</v>
      </c>
      <c r="E1517" s="221"/>
      <c r="F1517" s="53" t="s">
        <v>1639</v>
      </c>
      <c r="G1517" s="214" t="s">
        <v>1486</v>
      </c>
      <c r="H1517" s="53" t="s">
        <v>160</v>
      </c>
      <c r="I1517" s="222">
        <v>60</v>
      </c>
      <c r="J1517" s="223"/>
      <c r="K1517" s="223"/>
      <c r="L1517" s="223"/>
      <c r="M1517" s="223"/>
      <c r="N1517" s="223">
        <v>114</v>
      </c>
      <c r="O1517" s="224"/>
      <c r="P1517" s="224"/>
      <c r="Q1517" s="224">
        <v>60</v>
      </c>
      <c r="R1517" s="224"/>
      <c r="S1517" s="225"/>
    </row>
    <row r="1518" spans="1:19" ht="15" customHeight="1">
      <c r="A1518" s="413">
        <f t="shared" si="32"/>
        <v>1518</v>
      </c>
      <c r="B1518" s="52">
        <v>403</v>
      </c>
      <c r="C1518" s="219" t="s">
        <v>103</v>
      </c>
      <c r="D1518" s="220" t="s">
        <v>1538</v>
      </c>
      <c r="E1518" s="221"/>
      <c r="F1518" s="53" t="s">
        <v>1596</v>
      </c>
      <c r="G1518" s="214" t="s">
        <v>1615</v>
      </c>
      <c r="H1518" s="53" t="s">
        <v>160</v>
      </c>
      <c r="I1518" s="222">
        <v>220</v>
      </c>
      <c r="J1518" s="223"/>
      <c r="K1518" s="223"/>
      <c r="L1518" s="223"/>
      <c r="M1518" s="223"/>
      <c r="N1518" s="223">
        <v>225</v>
      </c>
      <c r="O1518" s="224"/>
      <c r="P1518" s="224"/>
      <c r="Q1518" s="224">
        <v>220</v>
      </c>
      <c r="R1518" s="224"/>
      <c r="S1518" s="225"/>
    </row>
    <row r="1519" spans="1:19" ht="15" customHeight="1">
      <c r="A1519" s="413">
        <f t="shared" si="32"/>
        <v>1519</v>
      </c>
      <c r="B1519" s="52">
        <v>403</v>
      </c>
      <c r="C1519" s="219" t="s">
        <v>103</v>
      </c>
      <c r="D1519" s="220" t="s">
        <v>1538</v>
      </c>
      <c r="E1519" s="221"/>
      <c r="F1519" s="53" t="s">
        <v>37</v>
      </c>
      <c r="G1519" s="214" t="s">
        <v>1616</v>
      </c>
      <c r="H1519" s="53" t="s">
        <v>160</v>
      </c>
      <c r="I1519" s="222">
        <v>45</v>
      </c>
      <c r="J1519" s="223"/>
      <c r="K1519" s="223"/>
      <c r="L1519" s="223">
        <v>95</v>
      </c>
      <c r="M1519" s="223"/>
      <c r="N1519" s="223"/>
      <c r="O1519" s="224"/>
      <c r="P1519" s="224">
        <v>45</v>
      </c>
      <c r="Q1519" s="224"/>
      <c r="R1519" s="224"/>
      <c r="S1519" s="225"/>
    </row>
    <row r="1520" spans="1:19" ht="15" customHeight="1">
      <c r="A1520" s="413">
        <f t="shared" si="32"/>
        <v>1520</v>
      </c>
      <c r="B1520" s="52">
        <v>403</v>
      </c>
      <c r="C1520" s="219" t="s">
        <v>103</v>
      </c>
      <c r="D1520" s="220" t="s">
        <v>1538</v>
      </c>
      <c r="E1520" s="221"/>
      <c r="F1520" s="53" t="s">
        <v>37</v>
      </c>
      <c r="G1520" s="214" t="s">
        <v>1484</v>
      </c>
      <c r="H1520" s="53" t="s">
        <v>160</v>
      </c>
      <c r="I1520" s="222">
        <v>45</v>
      </c>
      <c r="J1520" s="223"/>
      <c r="K1520" s="223"/>
      <c r="L1520" s="223">
        <v>95</v>
      </c>
      <c r="M1520" s="223"/>
      <c r="N1520" s="223"/>
      <c r="O1520" s="224"/>
      <c r="P1520" s="224">
        <v>45</v>
      </c>
      <c r="Q1520" s="224"/>
      <c r="R1520" s="224"/>
      <c r="S1520" s="225"/>
    </row>
    <row r="1521" spans="1:19" ht="15" customHeight="1">
      <c r="A1521" s="413">
        <f t="shared" si="32"/>
        <v>1521</v>
      </c>
      <c r="B1521" s="52">
        <v>403</v>
      </c>
      <c r="C1521" s="219" t="s">
        <v>103</v>
      </c>
      <c r="D1521" s="220" t="s">
        <v>1538</v>
      </c>
      <c r="E1521" s="221"/>
      <c r="F1521" s="53" t="s">
        <v>1640</v>
      </c>
      <c r="G1521" s="214" t="s">
        <v>1619</v>
      </c>
      <c r="H1521" s="53" t="s">
        <v>160</v>
      </c>
      <c r="I1521" s="222">
        <v>45</v>
      </c>
      <c r="J1521" s="223"/>
      <c r="K1521" s="223"/>
      <c r="L1521" s="223">
        <v>95</v>
      </c>
      <c r="M1521" s="223"/>
      <c r="N1521" s="223"/>
      <c r="O1521" s="224"/>
      <c r="P1521" s="224">
        <v>45</v>
      </c>
      <c r="Q1521" s="224"/>
      <c r="R1521" s="224"/>
      <c r="S1521" s="225"/>
    </row>
    <row r="1522" spans="1:19" ht="15" customHeight="1">
      <c r="A1522" s="413">
        <f t="shared" si="32"/>
        <v>1522</v>
      </c>
      <c r="B1522" s="52">
        <v>404</v>
      </c>
      <c r="C1522" s="219" t="s">
        <v>140</v>
      </c>
      <c r="D1522" s="220" t="s">
        <v>1538</v>
      </c>
      <c r="E1522" s="221"/>
      <c r="F1522" s="53" t="s">
        <v>1641</v>
      </c>
      <c r="G1522" s="214" t="s">
        <v>1482</v>
      </c>
      <c r="H1522" s="53" t="s">
        <v>160</v>
      </c>
      <c r="I1522" s="222">
        <v>9</v>
      </c>
      <c r="J1522" s="223"/>
      <c r="K1522" s="223"/>
      <c r="L1522" s="223"/>
      <c r="M1522" s="223"/>
      <c r="N1522" s="223">
        <v>41</v>
      </c>
      <c r="O1522" s="224"/>
      <c r="P1522" s="224"/>
      <c r="Q1522" s="224">
        <v>9</v>
      </c>
      <c r="R1522" s="224"/>
      <c r="S1522" s="225"/>
    </row>
    <row r="1523" spans="1:19" ht="15" customHeight="1">
      <c r="A1523" s="413">
        <f t="shared" si="32"/>
        <v>1523</v>
      </c>
      <c r="B1523" s="52">
        <v>404</v>
      </c>
      <c r="C1523" s="219" t="s">
        <v>140</v>
      </c>
      <c r="D1523" s="220" t="s">
        <v>1538</v>
      </c>
      <c r="E1523" s="221"/>
      <c r="F1523" s="53" t="s">
        <v>1642</v>
      </c>
      <c r="G1523" s="214" t="s">
        <v>1486</v>
      </c>
      <c r="H1523" s="53" t="s">
        <v>160</v>
      </c>
      <c r="I1523" s="222">
        <v>12</v>
      </c>
      <c r="J1523" s="223"/>
      <c r="K1523" s="223"/>
      <c r="L1523" s="223">
        <v>47</v>
      </c>
      <c r="M1523" s="223"/>
      <c r="N1523" s="223"/>
      <c r="O1523" s="224"/>
      <c r="P1523" s="224"/>
      <c r="Q1523" s="224">
        <v>12</v>
      </c>
      <c r="R1523" s="224"/>
      <c r="S1523" s="225"/>
    </row>
    <row r="1524" spans="1:19" ht="15" customHeight="1">
      <c r="A1524" s="413">
        <f t="shared" si="32"/>
        <v>1524</v>
      </c>
      <c r="B1524" s="52">
        <v>404</v>
      </c>
      <c r="C1524" s="219" t="s">
        <v>140</v>
      </c>
      <c r="D1524" s="220" t="s">
        <v>1538</v>
      </c>
      <c r="E1524" s="221"/>
      <c r="F1524" s="53" t="s">
        <v>1642</v>
      </c>
      <c r="G1524" s="214" t="s">
        <v>1615</v>
      </c>
      <c r="H1524" s="53" t="s">
        <v>160</v>
      </c>
      <c r="I1524" s="222">
        <v>12</v>
      </c>
      <c r="J1524" s="223"/>
      <c r="K1524" s="223"/>
      <c r="L1524" s="223">
        <v>47</v>
      </c>
      <c r="M1524" s="223"/>
      <c r="N1524" s="223"/>
      <c r="O1524" s="224"/>
      <c r="P1524" s="224"/>
      <c r="Q1524" s="224">
        <v>12</v>
      </c>
      <c r="R1524" s="224"/>
      <c r="S1524" s="225"/>
    </row>
    <row r="1525" spans="1:19" ht="15" customHeight="1">
      <c r="A1525" s="413">
        <f t="shared" si="32"/>
        <v>1525</v>
      </c>
      <c r="B1525" s="52">
        <v>404</v>
      </c>
      <c r="C1525" s="219" t="s">
        <v>140</v>
      </c>
      <c r="D1525" s="220" t="s">
        <v>1538</v>
      </c>
      <c r="E1525" s="221"/>
      <c r="F1525" s="53" t="s">
        <v>1642</v>
      </c>
      <c r="G1525" s="214" t="s">
        <v>1616</v>
      </c>
      <c r="H1525" s="53" t="s">
        <v>160</v>
      </c>
      <c r="I1525" s="222">
        <v>12</v>
      </c>
      <c r="J1525" s="223"/>
      <c r="K1525" s="223"/>
      <c r="L1525" s="223">
        <v>47</v>
      </c>
      <c r="M1525" s="223"/>
      <c r="N1525" s="223"/>
      <c r="O1525" s="224"/>
      <c r="P1525" s="224"/>
      <c r="Q1525" s="224">
        <v>12</v>
      </c>
      <c r="R1525" s="224"/>
      <c r="S1525" s="225"/>
    </row>
    <row r="1526" spans="1:19" ht="15" customHeight="1">
      <c r="A1526" s="413">
        <f t="shared" si="32"/>
        <v>1526</v>
      </c>
      <c r="B1526" s="52">
        <v>404</v>
      </c>
      <c r="C1526" s="219" t="s">
        <v>140</v>
      </c>
      <c r="D1526" s="220" t="s">
        <v>1538</v>
      </c>
      <c r="E1526" s="221"/>
      <c r="F1526" s="53" t="s">
        <v>1643</v>
      </c>
      <c r="G1526" s="214" t="s">
        <v>1484</v>
      </c>
      <c r="H1526" s="53" t="s">
        <v>160</v>
      </c>
      <c r="I1526" s="222">
        <v>2</v>
      </c>
      <c r="J1526" s="223"/>
      <c r="K1526" s="223"/>
      <c r="L1526" s="223"/>
      <c r="M1526" s="223"/>
      <c r="N1526" s="223">
        <v>9</v>
      </c>
      <c r="O1526" s="224"/>
      <c r="P1526" s="224"/>
      <c r="Q1526" s="224">
        <v>2</v>
      </c>
      <c r="R1526" s="224"/>
      <c r="S1526" s="225"/>
    </row>
    <row r="1527" spans="1:19" ht="15" customHeight="1">
      <c r="A1527" s="413">
        <f t="shared" si="32"/>
        <v>1527</v>
      </c>
      <c r="B1527" s="52">
        <v>404</v>
      </c>
      <c r="C1527" s="219" t="s">
        <v>140</v>
      </c>
      <c r="D1527" s="220" t="s">
        <v>1538</v>
      </c>
      <c r="E1527" s="221"/>
      <c r="F1527" s="53" t="s">
        <v>147</v>
      </c>
      <c r="G1527" s="214" t="s">
        <v>1619</v>
      </c>
      <c r="H1527" s="53" t="s">
        <v>160</v>
      </c>
      <c r="I1527" s="222">
        <v>83</v>
      </c>
      <c r="J1527" s="223"/>
      <c r="K1527" s="223"/>
      <c r="L1527" s="223"/>
      <c r="M1527" s="223"/>
      <c r="N1527" s="223">
        <v>152</v>
      </c>
      <c r="O1527" s="224"/>
      <c r="P1527" s="224"/>
      <c r="Q1527" s="224">
        <v>83</v>
      </c>
      <c r="R1527" s="224"/>
      <c r="S1527" s="225"/>
    </row>
    <row r="1528" spans="1:19" ht="15" customHeight="1">
      <c r="A1528" s="413">
        <f t="shared" si="32"/>
        <v>1528</v>
      </c>
      <c r="B1528" s="52">
        <v>404</v>
      </c>
      <c r="C1528" s="219" t="s">
        <v>140</v>
      </c>
      <c r="D1528" s="220" t="s">
        <v>1538</v>
      </c>
      <c r="E1528" s="221"/>
      <c r="F1528" s="53" t="s">
        <v>1644</v>
      </c>
      <c r="G1528" s="214" t="s">
        <v>1621</v>
      </c>
      <c r="H1528" s="53" t="s">
        <v>160</v>
      </c>
      <c r="I1528" s="222">
        <v>11</v>
      </c>
      <c r="J1528" s="223"/>
      <c r="K1528" s="223"/>
      <c r="L1528" s="223"/>
      <c r="M1528" s="223"/>
      <c r="N1528" s="223">
        <v>49</v>
      </c>
      <c r="O1528" s="224"/>
      <c r="P1528" s="224"/>
      <c r="Q1528" s="224">
        <v>11</v>
      </c>
      <c r="R1528" s="224"/>
      <c r="S1528" s="225"/>
    </row>
    <row r="1529" spans="1:19" ht="15" customHeight="1">
      <c r="A1529" s="413">
        <f t="shared" si="32"/>
        <v>1529</v>
      </c>
      <c r="B1529" s="52">
        <v>405</v>
      </c>
      <c r="C1529" s="219" t="s">
        <v>1645</v>
      </c>
      <c r="D1529" s="220" t="s">
        <v>1538</v>
      </c>
      <c r="E1529" s="221"/>
      <c r="F1529" s="53" t="s">
        <v>111</v>
      </c>
      <c r="G1529" s="214" t="s">
        <v>1482</v>
      </c>
      <c r="H1529" s="53" t="s">
        <v>176</v>
      </c>
      <c r="I1529" s="222">
        <v>19</v>
      </c>
      <c r="J1529" s="223"/>
      <c r="K1529" s="223"/>
      <c r="L1529" s="223">
        <v>55</v>
      </c>
      <c r="M1529" s="223"/>
      <c r="N1529" s="223"/>
      <c r="O1529" s="224"/>
      <c r="P1529" s="224"/>
      <c r="Q1529" s="224">
        <v>19</v>
      </c>
      <c r="R1529" s="224"/>
      <c r="S1529" s="225"/>
    </row>
    <row r="1530" spans="1:19" ht="15" customHeight="1">
      <c r="A1530" s="413">
        <f t="shared" si="32"/>
        <v>1530</v>
      </c>
      <c r="B1530" s="52">
        <v>405</v>
      </c>
      <c r="C1530" s="219" t="s">
        <v>1645</v>
      </c>
      <c r="D1530" s="220" t="s">
        <v>1538</v>
      </c>
      <c r="E1530" s="221"/>
      <c r="F1530" s="53" t="s">
        <v>1614</v>
      </c>
      <c r="G1530" s="214" t="s">
        <v>1486</v>
      </c>
      <c r="H1530" s="53" t="s">
        <v>176</v>
      </c>
      <c r="I1530" s="222">
        <v>12</v>
      </c>
      <c r="J1530" s="223">
        <v>2</v>
      </c>
      <c r="K1530" s="223"/>
      <c r="L1530" s="223">
        <v>39</v>
      </c>
      <c r="M1530" s="223"/>
      <c r="N1530" s="223"/>
      <c r="O1530" s="224"/>
      <c r="P1530" s="224"/>
      <c r="Q1530" s="224">
        <v>12</v>
      </c>
      <c r="R1530" s="224"/>
      <c r="S1530" s="225"/>
    </row>
    <row r="1531" spans="1:19" ht="15" customHeight="1">
      <c r="A1531" s="413">
        <f t="shared" si="32"/>
        <v>1531</v>
      </c>
      <c r="B1531" s="52">
        <v>405</v>
      </c>
      <c r="C1531" s="219" t="s">
        <v>1645</v>
      </c>
      <c r="D1531" s="220" t="s">
        <v>1538</v>
      </c>
      <c r="E1531" s="221"/>
      <c r="F1531" s="53" t="s">
        <v>308</v>
      </c>
      <c r="G1531" s="214" t="s">
        <v>1615</v>
      </c>
      <c r="H1531" s="53" t="s">
        <v>109</v>
      </c>
      <c r="I1531" s="222">
        <v>1</v>
      </c>
      <c r="J1531" s="223">
        <v>9</v>
      </c>
      <c r="K1531" s="223"/>
      <c r="L1531" s="223"/>
      <c r="M1531" s="223"/>
      <c r="N1531" s="223"/>
      <c r="O1531" s="224"/>
      <c r="P1531" s="224"/>
      <c r="Q1531" s="224">
        <v>1</v>
      </c>
      <c r="R1531" s="224"/>
      <c r="S1531" s="225"/>
    </row>
    <row r="1532" spans="1:19" ht="15" customHeight="1">
      <c r="A1532" s="413">
        <f t="shared" si="32"/>
        <v>1532</v>
      </c>
      <c r="B1532" s="52">
        <v>405</v>
      </c>
      <c r="C1532" s="219" t="s">
        <v>1645</v>
      </c>
      <c r="D1532" s="220" t="s">
        <v>1538</v>
      </c>
      <c r="E1532" s="221"/>
      <c r="F1532" s="53" t="s">
        <v>308</v>
      </c>
      <c r="G1532" s="214" t="s">
        <v>1616</v>
      </c>
      <c r="H1532" s="53" t="s">
        <v>109</v>
      </c>
      <c r="I1532" s="222">
        <v>1</v>
      </c>
      <c r="J1532" s="223">
        <v>9</v>
      </c>
      <c r="K1532" s="223"/>
      <c r="L1532" s="223"/>
      <c r="M1532" s="223"/>
      <c r="N1532" s="223"/>
      <c r="O1532" s="224"/>
      <c r="P1532" s="224"/>
      <c r="Q1532" s="224">
        <v>1</v>
      </c>
      <c r="R1532" s="224"/>
      <c r="S1532" s="225"/>
    </row>
    <row r="1533" spans="1:19" ht="15" customHeight="1">
      <c r="A1533" s="413">
        <f t="shared" si="32"/>
        <v>1533</v>
      </c>
      <c r="B1533" s="52">
        <v>405</v>
      </c>
      <c r="C1533" s="219" t="s">
        <v>1645</v>
      </c>
      <c r="D1533" s="220" t="s">
        <v>1538</v>
      </c>
      <c r="E1533" s="221"/>
      <c r="F1533" s="53" t="s">
        <v>1617</v>
      </c>
      <c r="G1533" s="214" t="s">
        <v>1484</v>
      </c>
      <c r="H1533" s="53" t="s">
        <v>176</v>
      </c>
      <c r="I1533" s="222">
        <v>12</v>
      </c>
      <c r="J1533" s="223"/>
      <c r="K1533" s="223"/>
      <c r="L1533" s="223">
        <v>17</v>
      </c>
      <c r="M1533" s="223"/>
      <c r="N1533" s="223"/>
      <c r="O1533" s="224"/>
      <c r="P1533" s="224"/>
      <c r="Q1533" s="224">
        <v>12</v>
      </c>
      <c r="R1533" s="224"/>
      <c r="S1533" s="225"/>
    </row>
    <row r="1534" spans="1:19" ht="15" customHeight="1">
      <c r="A1534" s="413">
        <f t="shared" si="32"/>
        <v>1534</v>
      </c>
      <c r="B1534" s="52">
        <v>405</v>
      </c>
      <c r="C1534" s="219" t="s">
        <v>1645</v>
      </c>
      <c r="D1534" s="220" t="s">
        <v>1538</v>
      </c>
      <c r="E1534" s="221"/>
      <c r="F1534" s="53" t="s">
        <v>1646</v>
      </c>
      <c r="G1534" s="214" t="s">
        <v>1619</v>
      </c>
      <c r="H1534" s="53" t="s">
        <v>176</v>
      </c>
      <c r="I1534" s="222">
        <v>6</v>
      </c>
      <c r="J1534" s="223"/>
      <c r="K1534" s="223"/>
      <c r="L1534" s="223">
        <v>30</v>
      </c>
      <c r="M1534" s="223"/>
      <c r="N1534" s="223"/>
      <c r="O1534" s="224"/>
      <c r="P1534" s="224"/>
      <c r="Q1534" s="224">
        <v>6</v>
      </c>
      <c r="R1534" s="224"/>
      <c r="S1534" s="225"/>
    </row>
    <row r="1535" spans="1:19" ht="15" customHeight="1">
      <c r="A1535" s="413">
        <f t="shared" si="32"/>
        <v>1535</v>
      </c>
      <c r="B1535" s="52">
        <v>405</v>
      </c>
      <c r="C1535" s="219" t="s">
        <v>1645</v>
      </c>
      <c r="D1535" s="220" t="s">
        <v>1538</v>
      </c>
      <c r="E1535" s="221"/>
      <c r="F1535" s="53" t="s">
        <v>1618</v>
      </c>
      <c r="G1535" s="214" t="s">
        <v>1621</v>
      </c>
      <c r="H1535" s="53" t="s">
        <v>160</v>
      </c>
      <c r="I1535" s="222">
        <v>6</v>
      </c>
      <c r="J1535" s="223"/>
      <c r="K1535" s="223"/>
      <c r="L1535" s="223"/>
      <c r="M1535" s="223"/>
      <c r="N1535" s="223">
        <v>30</v>
      </c>
      <c r="O1535" s="224"/>
      <c r="P1535" s="224"/>
      <c r="Q1535" s="224">
        <v>6</v>
      </c>
      <c r="R1535" s="224"/>
      <c r="S1535" s="225"/>
    </row>
    <row r="1536" spans="1:19" ht="15" customHeight="1">
      <c r="A1536" s="413">
        <f t="shared" si="32"/>
        <v>1536</v>
      </c>
      <c r="B1536" s="52">
        <v>405</v>
      </c>
      <c r="C1536" s="219" t="s">
        <v>1645</v>
      </c>
      <c r="D1536" s="220" t="s">
        <v>1538</v>
      </c>
      <c r="E1536" s="221"/>
      <c r="F1536" s="53" t="s">
        <v>1647</v>
      </c>
      <c r="G1536" s="214" t="s">
        <v>1623</v>
      </c>
      <c r="H1536" s="53" t="s">
        <v>176</v>
      </c>
      <c r="I1536" s="222">
        <v>7</v>
      </c>
      <c r="J1536" s="223"/>
      <c r="K1536" s="223"/>
      <c r="L1536" s="223">
        <v>32</v>
      </c>
      <c r="M1536" s="223"/>
      <c r="N1536" s="223"/>
      <c r="O1536" s="224"/>
      <c r="P1536" s="224"/>
      <c r="Q1536" s="224">
        <v>7</v>
      </c>
      <c r="R1536" s="224"/>
      <c r="S1536" s="225"/>
    </row>
    <row r="1537" spans="1:19" ht="15" customHeight="1">
      <c r="A1537" s="413">
        <f t="shared" si="32"/>
        <v>1537</v>
      </c>
      <c r="B1537" s="52">
        <v>405</v>
      </c>
      <c r="C1537" s="219" t="s">
        <v>1645</v>
      </c>
      <c r="D1537" s="220" t="s">
        <v>1538</v>
      </c>
      <c r="E1537" s="221"/>
      <c r="F1537" s="53" t="s">
        <v>1072</v>
      </c>
      <c r="G1537" s="214" t="s">
        <v>1625</v>
      </c>
      <c r="H1537" s="53" t="s">
        <v>176</v>
      </c>
      <c r="I1537" s="222">
        <v>16</v>
      </c>
      <c r="J1537" s="223"/>
      <c r="K1537" s="223"/>
      <c r="L1537" s="223">
        <v>50</v>
      </c>
      <c r="M1537" s="223"/>
      <c r="N1537" s="223"/>
      <c r="O1537" s="224"/>
      <c r="P1537" s="224"/>
      <c r="Q1537" s="224">
        <v>16</v>
      </c>
      <c r="R1537" s="224"/>
      <c r="S1537" s="225"/>
    </row>
    <row r="1538" spans="1:19" ht="15" customHeight="1">
      <c r="A1538" s="413">
        <f t="shared" si="32"/>
        <v>1538</v>
      </c>
      <c r="B1538" s="52">
        <v>405</v>
      </c>
      <c r="C1538" s="219" t="s">
        <v>1645</v>
      </c>
      <c r="D1538" s="220" t="s">
        <v>1538</v>
      </c>
      <c r="E1538" s="221"/>
      <c r="F1538" s="53" t="s">
        <v>1648</v>
      </c>
      <c r="G1538" s="214" t="s">
        <v>1627</v>
      </c>
      <c r="H1538" s="53" t="s">
        <v>176</v>
      </c>
      <c r="I1538" s="222">
        <v>85</v>
      </c>
      <c r="J1538" s="223"/>
      <c r="K1538" s="223"/>
      <c r="L1538" s="223">
        <v>144</v>
      </c>
      <c r="M1538" s="223"/>
      <c r="N1538" s="223"/>
      <c r="O1538" s="224"/>
      <c r="P1538" s="224"/>
      <c r="Q1538" s="224">
        <v>85</v>
      </c>
      <c r="R1538" s="224"/>
      <c r="S1538" s="225"/>
    </row>
    <row r="1539" spans="1:19" ht="15" customHeight="1">
      <c r="A1539" s="413">
        <f t="shared" ref="A1539:A1602" si="33">1+A1538</f>
        <v>1539</v>
      </c>
      <c r="B1539" s="52">
        <v>405</v>
      </c>
      <c r="C1539" s="219" t="s">
        <v>1645</v>
      </c>
      <c r="D1539" s="220" t="s">
        <v>1538</v>
      </c>
      <c r="E1539" s="221"/>
      <c r="F1539" s="53" t="s">
        <v>1626</v>
      </c>
      <c r="G1539" s="214" t="s">
        <v>1629</v>
      </c>
      <c r="H1539" s="53" t="s">
        <v>1053</v>
      </c>
      <c r="I1539" s="222">
        <v>12</v>
      </c>
      <c r="J1539" s="223"/>
      <c r="K1539" s="223"/>
      <c r="L1539" s="223">
        <v>43</v>
      </c>
      <c r="M1539" s="223"/>
      <c r="N1539" s="223"/>
      <c r="O1539" s="224"/>
      <c r="P1539" s="224"/>
      <c r="Q1539" s="224">
        <v>12</v>
      </c>
      <c r="R1539" s="224"/>
      <c r="S1539" s="225"/>
    </row>
    <row r="1540" spans="1:19" ht="15" customHeight="1">
      <c r="A1540" s="413">
        <f t="shared" si="33"/>
        <v>1540</v>
      </c>
      <c r="B1540" s="52">
        <v>405</v>
      </c>
      <c r="C1540" s="219" t="s">
        <v>1645</v>
      </c>
      <c r="D1540" s="220" t="s">
        <v>1538</v>
      </c>
      <c r="E1540" s="221"/>
      <c r="F1540" s="53" t="s">
        <v>1626</v>
      </c>
      <c r="G1540" s="214" t="s">
        <v>1630</v>
      </c>
      <c r="H1540" s="53" t="s">
        <v>1053</v>
      </c>
      <c r="I1540" s="222">
        <v>12</v>
      </c>
      <c r="J1540" s="223"/>
      <c r="K1540" s="223"/>
      <c r="L1540" s="223">
        <v>43</v>
      </c>
      <c r="M1540" s="223"/>
      <c r="N1540" s="223"/>
      <c r="O1540" s="224"/>
      <c r="P1540" s="224"/>
      <c r="Q1540" s="224">
        <v>12</v>
      </c>
      <c r="R1540" s="224"/>
      <c r="S1540" s="225"/>
    </row>
    <row r="1541" spans="1:19" ht="15" customHeight="1">
      <c r="A1541" s="413">
        <f t="shared" si="33"/>
        <v>1541</v>
      </c>
      <c r="B1541" s="52">
        <v>405</v>
      </c>
      <c r="C1541" s="219" t="s">
        <v>1645</v>
      </c>
      <c r="D1541" s="220" t="s">
        <v>1538</v>
      </c>
      <c r="E1541" s="221"/>
      <c r="F1541" s="53" t="s">
        <v>1626</v>
      </c>
      <c r="G1541" s="214" t="s">
        <v>1631</v>
      </c>
      <c r="H1541" s="53" t="s">
        <v>1053</v>
      </c>
      <c r="I1541" s="222">
        <v>12</v>
      </c>
      <c r="J1541" s="223"/>
      <c r="K1541" s="223"/>
      <c r="L1541" s="223">
        <v>43</v>
      </c>
      <c r="M1541" s="223"/>
      <c r="N1541" s="223"/>
      <c r="O1541" s="224"/>
      <c r="P1541" s="224"/>
      <c r="Q1541" s="224">
        <v>12</v>
      </c>
      <c r="R1541" s="224"/>
      <c r="S1541" s="225"/>
    </row>
    <row r="1542" spans="1:19" ht="15" customHeight="1">
      <c r="A1542" s="413">
        <f t="shared" si="33"/>
        <v>1542</v>
      </c>
      <c r="B1542" s="52">
        <v>405</v>
      </c>
      <c r="C1542" s="219" t="s">
        <v>1645</v>
      </c>
      <c r="D1542" s="220" t="s">
        <v>1538</v>
      </c>
      <c r="E1542" s="221"/>
      <c r="F1542" s="53" t="s">
        <v>1632</v>
      </c>
      <c r="G1542" s="214" t="s">
        <v>1633</v>
      </c>
      <c r="H1542" s="53" t="s">
        <v>176</v>
      </c>
      <c r="I1542" s="222">
        <v>24</v>
      </c>
      <c r="J1542" s="223"/>
      <c r="K1542" s="223"/>
      <c r="L1542" s="223">
        <v>63</v>
      </c>
      <c r="M1542" s="223"/>
      <c r="N1542" s="223"/>
      <c r="O1542" s="224"/>
      <c r="P1542" s="224"/>
      <c r="Q1542" s="224">
        <v>24</v>
      </c>
      <c r="R1542" s="224"/>
      <c r="S1542" s="225"/>
    </row>
    <row r="1543" spans="1:19" ht="15" customHeight="1">
      <c r="A1543" s="413">
        <f t="shared" si="33"/>
        <v>1543</v>
      </c>
      <c r="B1543" s="52">
        <v>405</v>
      </c>
      <c r="C1543" s="219" t="s">
        <v>1645</v>
      </c>
      <c r="D1543" s="220" t="s">
        <v>1538</v>
      </c>
      <c r="E1543" s="221"/>
      <c r="F1543" s="53" t="s">
        <v>247</v>
      </c>
      <c r="G1543" s="214" t="s">
        <v>1634</v>
      </c>
      <c r="H1543" s="53" t="s">
        <v>176</v>
      </c>
      <c r="I1543" s="222">
        <v>4</v>
      </c>
      <c r="J1543" s="223"/>
      <c r="K1543" s="223"/>
      <c r="L1543" s="223">
        <v>30</v>
      </c>
      <c r="M1543" s="223"/>
      <c r="N1543" s="223"/>
      <c r="O1543" s="224"/>
      <c r="P1543" s="224"/>
      <c r="Q1543" s="224">
        <v>4</v>
      </c>
      <c r="R1543" s="224"/>
      <c r="S1543" s="225"/>
    </row>
    <row r="1544" spans="1:19" ht="15" customHeight="1">
      <c r="A1544" s="413">
        <f t="shared" si="33"/>
        <v>1544</v>
      </c>
      <c r="B1544" s="52">
        <v>405</v>
      </c>
      <c r="C1544" s="219" t="s">
        <v>1645</v>
      </c>
      <c r="D1544" s="220" t="s">
        <v>1538</v>
      </c>
      <c r="E1544" s="221"/>
      <c r="F1544" s="53" t="s">
        <v>208</v>
      </c>
      <c r="G1544" s="214" t="s">
        <v>1635</v>
      </c>
      <c r="H1544" s="53" t="s">
        <v>176</v>
      </c>
      <c r="I1544" s="222">
        <v>2</v>
      </c>
      <c r="J1544" s="223">
        <v>14</v>
      </c>
      <c r="K1544" s="223"/>
      <c r="L1544" s="223"/>
      <c r="M1544" s="223"/>
      <c r="N1544" s="223"/>
      <c r="O1544" s="224"/>
      <c r="P1544" s="224"/>
      <c r="Q1544" s="224">
        <v>2</v>
      </c>
      <c r="R1544" s="224"/>
      <c r="S1544" s="225"/>
    </row>
    <row r="1545" spans="1:19" ht="15" customHeight="1">
      <c r="A1545" s="413">
        <f t="shared" si="33"/>
        <v>1545</v>
      </c>
      <c r="B1545" s="52">
        <v>405</v>
      </c>
      <c r="C1545" s="219" t="s">
        <v>1645</v>
      </c>
      <c r="D1545" s="220" t="s">
        <v>1538</v>
      </c>
      <c r="E1545" s="221"/>
      <c r="F1545" s="53" t="s">
        <v>1636</v>
      </c>
      <c r="G1545" s="214" t="s">
        <v>1637</v>
      </c>
      <c r="H1545" s="53" t="s">
        <v>176</v>
      </c>
      <c r="I1545" s="222">
        <v>6</v>
      </c>
      <c r="J1545" s="223">
        <v>20</v>
      </c>
      <c r="K1545" s="223"/>
      <c r="L1545" s="223"/>
      <c r="M1545" s="223"/>
      <c r="N1545" s="223"/>
      <c r="O1545" s="224"/>
      <c r="P1545" s="224"/>
      <c r="Q1545" s="224">
        <v>6</v>
      </c>
      <c r="R1545" s="224"/>
      <c r="S1545" s="225"/>
    </row>
    <row r="1546" spans="1:19" ht="15" customHeight="1">
      <c r="A1546" s="413">
        <f t="shared" si="33"/>
        <v>1546</v>
      </c>
      <c r="B1546" s="52">
        <v>406</v>
      </c>
      <c r="C1546" s="219" t="s">
        <v>300</v>
      </c>
      <c r="D1546" s="220" t="s">
        <v>1538</v>
      </c>
      <c r="E1546" s="221"/>
      <c r="F1546" s="53" t="s">
        <v>111</v>
      </c>
      <c r="G1546" s="214" t="s">
        <v>1482</v>
      </c>
      <c r="H1546" s="53" t="s">
        <v>160</v>
      </c>
      <c r="I1546" s="222">
        <v>19</v>
      </c>
      <c r="J1546" s="223"/>
      <c r="K1546" s="223"/>
      <c r="L1546" s="223">
        <v>55</v>
      </c>
      <c r="M1546" s="223"/>
      <c r="N1546" s="223"/>
      <c r="O1546" s="224"/>
      <c r="P1546" s="224"/>
      <c r="Q1546" s="224">
        <v>19</v>
      </c>
      <c r="R1546" s="224"/>
      <c r="S1546" s="225"/>
    </row>
    <row r="1547" spans="1:19" ht="15" customHeight="1">
      <c r="A1547" s="413">
        <f t="shared" si="33"/>
        <v>1547</v>
      </c>
      <c r="B1547" s="52">
        <v>406</v>
      </c>
      <c r="C1547" s="219" t="s">
        <v>300</v>
      </c>
      <c r="D1547" s="220" t="s">
        <v>1538</v>
      </c>
      <c r="E1547" s="221"/>
      <c r="F1547" s="53" t="s">
        <v>1614</v>
      </c>
      <c r="G1547" s="214" t="s">
        <v>1486</v>
      </c>
      <c r="H1547" s="53" t="s">
        <v>160</v>
      </c>
      <c r="I1547" s="222">
        <v>12</v>
      </c>
      <c r="J1547" s="223">
        <v>2</v>
      </c>
      <c r="K1547" s="223"/>
      <c r="L1547" s="223">
        <v>39</v>
      </c>
      <c r="M1547" s="223"/>
      <c r="N1547" s="223"/>
      <c r="O1547" s="224"/>
      <c r="P1547" s="224"/>
      <c r="Q1547" s="224">
        <v>12</v>
      </c>
      <c r="R1547" s="224"/>
      <c r="S1547" s="225"/>
    </row>
    <row r="1548" spans="1:19" ht="15" customHeight="1">
      <c r="A1548" s="413">
        <f t="shared" si="33"/>
        <v>1548</v>
      </c>
      <c r="B1548" s="52">
        <v>406</v>
      </c>
      <c r="C1548" s="219" t="s">
        <v>300</v>
      </c>
      <c r="D1548" s="220" t="s">
        <v>1538</v>
      </c>
      <c r="E1548" s="221"/>
      <c r="F1548" s="53" t="s">
        <v>308</v>
      </c>
      <c r="G1548" s="214" t="s">
        <v>1615</v>
      </c>
      <c r="H1548" s="53" t="s">
        <v>160</v>
      </c>
      <c r="I1548" s="222">
        <v>1</v>
      </c>
      <c r="J1548" s="223">
        <v>9</v>
      </c>
      <c r="K1548" s="223"/>
      <c r="L1548" s="223"/>
      <c r="M1548" s="223"/>
      <c r="N1548" s="223"/>
      <c r="O1548" s="224"/>
      <c r="P1548" s="224"/>
      <c r="Q1548" s="224">
        <v>1</v>
      </c>
      <c r="R1548" s="224"/>
      <c r="S1548" s="225"/>
    </row>
    <row r="1549" spans="1:19" ht="15" customHeight="1">
      <c r="A1549" s="413">
        <f t="shared" si="33"/>
        <v>1549</v>
      </c>
      <c r="B1549" s="52">
        <v>406</v>
      </c>
      <c r="C1549" s="219" t="s">
        <v>300</v>
      </c>
      <c r="D1549" s="220" t="s">
        <v>1538</v>
      </c>
      <c r="E1549" s="221"/>
      <c r="F1549" s="53" t="s">
        <v>308</v>
      </c>
      <c r="G1549" s="214" t="s">
        <v>1616</v>
      </c>
      <c r="H1549" s="53" t="s">
        <v>160</v>
      </c>
      <c r="I1549" s="222">
        <v>1</v>
      </c>
      <c r="J1549" s="223">
        <v>9</v>
      </c>
      <c r="K1549" s="223"/>
      <c r="L1549" s="223"/>
      <c r="M1549" s="223"/>
      <c r="N1549" s="223"/>
      <c r="O1549" s="224"/>
      <c r="P1549" s="224"/>
      <c r="Q1549" s="224">
        <v>1</v>
      </c>
      <c r="R1549" s="224"/>
      <c r="S1549" s="225"/>
    </row>
    <row r="1550" spans="1:19" ht="15" customHeight="1">
      <c r="A1550" s="413">
        <f t="shared" si="33"/>
        <v>1550</v>
      </c>
      <c r="B1550" s="52">
        <v>406</v>
      </c>
      <c r="C1550" s="219" t="s">
        <v>300</v>
      </c>
      <c r="D1550" s="220" t="s">
        <v>1538</v>
      </c>
      <c r="E1550" s="221"/>
      <c r="F1550" s="53" t="s">
        <v>1617</v>
      </c>
      <c r="G1550" s="214" t="s">
        <v>1484</v>
      </c>
      <c r="H1550" s="53" t="s">
        <v>160</v>
      </c>
      <c r="I1550" s="222">
        <v>12</v>
      </c>
      <c r="J1550" s="223"/>
      <c r="K1550" s="223"/>
      <c r="L1550" s="223">
        <v>17</v>
      </c>
      <c r="M1550" s="223"/>
      <c r="N1550" s="223"/>
      <c r="O1550" s="224"/>
      <c r="P1550" s="224"/>
      <c r="Q1550" s="224">
        <v>12</v>
      </c>
      <c r="R1550" s="224"/>
      <c r="S1550" s="225"/>
    </row>
    <row r="1551" spans="1:19" ht="15" customHeight="1">
      <c r="A1551" s="413">
        <f t="shared" si="33"/>
        <v>1551</v>
      </c>
      <c r="B1551" s="52">
        <v>406</v>
      </c>
      <c r="C1551" s="219" t="s">
        <v>300</v>
      </c>
      <c r="D1551" s="220" t="s">
        <v>1538</v>
      </c>
      <c r="E1551" s="221"/>
      <c r="F1551" s="53" t="s">
        <v>1646</v>
      </c>
      <c r="G1551" s="214" t="s">
        <v>1619</v>
      </c>
      <c r="H1551" s="53" t="s">
        <v>160</v>
      </c>
      <c r="I1551" s="222">
        <v>6</v>
      </c>
      <c r="J1551" s="223"/>
      <c r="K1551" s="223"/>
      <c r="L1551" s="223">
        <v>30</v>
      </c>
      <c r="M1551" s="223"/>
      <c r="N1551" s="223"/>
      <c r="O1551" s="224"/>
      <c r="P1551" s="224"/>
      <c r="Q1551" s="224">
        <v>6</v>
      </c>
      <c r="R1551" s="224"/>
      <c r="S1551" s="225"/>
    </row>
    <row r="1552" spans="1:19" ht="15" customHeight="1">
      <c r="A1552" s="413">
        <f t="shared" si="33"/>
        <v>1552</v>
      </c>
      <c r="B1552" s="52">
        <v>406</v>
      </c>
      <c r="C1552" s="219" t="s">
        <v>300</v>
      </c>
      <c r="D1552" s="220" t="s">
        <v>1538</v>
      </c>
      <c r="E1552" s="221"/>
      <c r="F1552" s="53" t="s">
        <v>1618</v>
      </c>
      <c r="G1552" s="214" t="s">
        <v>1621</v>
      </c>
      <c r="H1552" s="53" t="s">
        <v>160</v>
      </c>
      <c r="I1552" s="222">
        <v>6</v>
      </c>
      <c r="J1552" s="223"/>
      <c r="K1552" s="223"/>
      <c r="L1552" s="223"/>
      <c r="M1552" s="223"/>
      <c r="N1552" s="223">
        <v>30</v>
      </c>
      <c r="O1552" s="224"/>
      <c r="P1552" s="224"/>
      <c r="Q1552" s="224">
        <v>6</v>
      </c>
      <c r="R1552" s="224"/>
      <c r="S1552" s="225"/>
    </row>
    <row r="1553" spans="1:19" ht="15" customHeight="1">
      <c r="A1553" s="413">
        <f t="shared" si="33"/>
        <v>1553</v>
      </c>
      <c r="B1553" s="52">
        <v>406</v>
      </c>
      <c r="C1553" s="219" t="s">
        <v>300</v>
      </c>
      <c r="D1553" s="220" t="s">
        <v>1538</v>
      </c>
      <c r="E1553" s="221"/>
      <c r="F1553" s="53" t="s">
        <v>1647</v>
      </c>
      <c r="G1553" s="214" t="s">
        <v>1623</v>
      </c>
      <c r="H1553" s="53" t="s">
        <v>160</v>
      </c>
      <c r="I1553" s="222">
        <v>7</v>
      </c>
      <c r="J1553" s="223"/>
      <c r="K1553" s="223"/>
      <c r="L1553" s="223">
        <v>32</v>
      </c>
      <c r="M1553" s="223"/>
      <c r="N1553" s="223"/>
      <c r="O1553" s="224"/>
      <c r="P1553" s="224"/>
      <c r="Q1553" s="224">
        <v>7</v>
      </c>
      <c r="R1553" s="224"/>
      <c r="S1553" s="225"/>
    </row>
    <row r="1554" spans="1:19" ht="15" customHeight="1">
      <c r="A1554" s="413">
        <f t="shared" si="33"/>
        <v>1554</v>
      </c>
      <c r="B1554" s="52">
        <v>406</v>
      </c>
      <c r="C1554" s="219" t="s">
        <v>300</v>
      </c>
      <c r="D1554" s="220" t="s">
        <v>1538</v>
      </c>
      <c r="E1554" s="221"/>
      <c r="F1554" s="53" t="s">
        <v>1072</v>
      </c>
      <c r="G1554" s="214" t="s">
        <v>1625</v>
      </c>
      <c r="H1554" s="53" t="s">
        <v>160</v>
      </c>
      <c r="I1554" s="222">
        <v>16</v>
      </c>
      <c r="J1554" s="223"/>
      <c r="K1554" s="223"/>
      <c r="L1554" s="223">
        <v>50</v>
      </c>
      <c r="M1554" s="223"/>
      <c r="N1554" s="223"/>
      <c r="O1554" s="224"/>
      <c r="P1554" s="224"/>
      <c r="Q1554" s="224">
        <v>16</v>
      </c>
      <c r="R1554" s="224"/>
      <c r="S1554" s="225"/>
    </row>
    <row r="1555" spans="1:19" ht="15" customHeight="1">
      <c r="A1555" s="413">
        <f t="shared" si="33"/>
        <v>1555</v>
      </c>
      <c r="B1555" s="52">
        <v>406</v>
      </c>
      <c r="C1555" s="219" t="s">
        <v>300</v>
      </c>
      <c r="D1555" s="220" t="s">
        <v>1538</v>
      </c>
      <c r="E1555" s="221"/>
      <c r="F1555" s="53" t="s">
        <v>1648</v>
      </c>
      <c r="G1555" s="214" t="s">
        <v>1627</v>
      </c>
      <c r="H1555" s="53" t="s">
        <v>160</v>
      </c>
      <c r="I1555" s="222">
        <v>85</v>
      </c>
      <c r="J1555" s="223"/>
      <c r="K1555" s="223"/>
      <c r="L1555" s="223">
        <v>144</v>
      </c>
      <c r="M1555" s="223"/>
      <c r="N1555" s="223"/>
      <c r="O1555" s="224"/>
      <c r="P1555" s="224"/>
      <c r="Q1555" s="224">
        <v>85</v>
      </c>
      <c r="R1555" s="224"/>
      <c r="S1555" s="225"/>
    </row>
    <row r="1556" spans="1:19" ht="15" customHeight="1">
      <c r="A1556" s="413">
        <f t="shared" si="33"/>
        <v>1556</v>
      </c>
      <c r="B1556" s="52">
        <v>406</v>
      </c>
      <c r="C1556" s="219" t="s">
        <v>300</v>
      </c>
      <c r="D1556" s="220" t="s">
        <v>1538</v>
      </c>
      <c r="E1556" s="221"/>
      <c r="F1556" s="53" t="s">
        <v>282</v>
      </c>
      <c r="G1556" s="214" t="s">
        <v>1629</v>
      </c>
      <c r="H1556" s="53" t="s">
        <v>318</v>
      </c>
      <c r="I1556" s="222">
        <v>12</v>
      </c>
      <c r="J1556" s="223"/>
      <c r="K1556" s="223"/>
      <c r="L1556" s="223">
        <v>43</v>
      </c>
      <c r="M1556" s="223"/>
      <c r="N1556" s="223"/>
      <c r="O1556" s="224"/>
      <c r="P1556" s="224"/>
      <c r="Q1556" s="224">
        <v>12</v>
      </c>
      <c r="R1556" s="224"/>
      <c r="S1556" s="225"/>
    </row>
    <row r="1557" spans="1:19" ht="15" customHeight="1">
      <c r="A1557" s="413">
        <f t="shared" si="33"/>
        <v>1557</v>
      </c>
      <c r="B1557" s="52">
        <v>406</v>
      </c>
      <c r="C1557" s="219" t="s">
        <v>300</v>
      </c>
      <c r="D1557" s="220" t="s">
        <v>1538</v>
      </c>
      <c r="E1557" s="221"/>
      <c r="F1557" s="53" t="s">
        <v>1626</v>
      </c>
      <c r="G1557" s="214" t="s">
        <v>1630</v>
      </c>
      <c r="H1557" s="53" t="s">
        <v>1053</v>
      </c>
      <c r="I1557" s="222">
        <v>12</v>
      </c>
      <c r="J1557" s="223"/>
      <c r="K1557" s="223"/>
      <c r="L1557" s="223">
        <v>43</v>
      </c>
      <c r="M1557" s="223"/>
      <c r="N1557" s="223"/>
      <c r="O1557" s="224"/>
      <c r="P1557" s="224">
        <v>12</v>
      </c>
      <c r="Q1557" s="224"/>
      <c r="R1557" s="224"/>
      <c r="S1557" s="225"/>
    </row>
    <row r="1558" spans="1:19" ht="15" customHeight="1">
      <c r="A1558" s="413">
        <f t="shared" si="33"/>
        <v>1558</v>
      </c>
      <c r="B1558" s="52">
        <v>406</v>
      </c>
      <c r="C1558" s="219" t="s">
        <v>300</v>
      </c>
      <c r="D1558" s="220" t="s">
        <v>1538</v>
      </c>
      <c r="E1558" s="221"/>
      <c r="F1558" s="53" t="s">
        <v>1626</v>
      </c>
      <c r="G1558" s="214" t="s">
        <v>1631</v>
      </c>
      <c r="H1558" s="53" t="s">
        <v>1053</v>
      </c>
      <c r="I1558" s="222">
        <v>12</v>
      </c>
      <c r="J1558" s="223"/>
      <c r="K1558" s="223"/>
      <c r="L1558" s="223">
        <v>43</v>
      </c>
      <c r="M1558" s="223"/>
      <c r="N1558" s="223"/>
      <c r="O1558" s="224"/>
      <c r="P1558" s="224">
        <v>12</v>
      </c>
      <c r="Q1558" s="224"/>
      <c r="R1558" s="224"/>
      <c r="S1558" s="225"/>
    </row>
    <row r="1559" spans="1:19" ht="15" customHeight="1">
      <c r="A1559" s="413">
        <f t="shared" si="33"/>
        <v>1559</v>
      </c>
      <c r="B1559" s="52">
        <v>406</v>
      </c>
      <c r="C1559" s="219" t="s">
        <v>300</v>
      </c>
      <c r="D1559" s="220" t="s">
        <v>1538</v>
      </c>
      <c r="E1559" s="221"/>
      <c r="F1559" s="53" t="s">
        <v>1632</v>
      </c>
      <c r="G1559" s="214" t="s">
        <v>1633</v>
      </c>
      <c r="H1559" s="53" t="s">
        <v>160</v>
      </c>
      <c r="I1559" s="222">
        <v>24</v>
      </c>
      <c r="J1559" s="223"/>
      <c r="K1559" s="223"/>
      <c r="L1559" s="223">
        <v>63</v>
      </c>
      <c r="M1559" s="223"/>
      <c r="N1559" s="223"/>
      <c r="O1559" s="224"/>
      <c r="P1559" s="224"/>
      <c r="Q1559" s="224">
        <v>24</v>
      </c>
      <c r="R1559" s="224"/>
      <c r="S1559" s="225"/>
    </row>
    <row r="1560" spans="1:19" ht="15" customHeight="1">
      <c r="A1560" s="413">
        <f t="shared" si="33"/>
        <v>1560</v>
      </c>
      <c r="B1560" s="52">
        <v>406</v>
      </c>
      <c r="C1560" s="219" t="s">
        <v>300</v>
      </c>
      <c r="D1560" s="220" t="s">
        <v>1538</v>
      </c>
      <c r="E1560" s="221"/>
      <c r="F1560" s="53" t="s">
        <v>247</v>
      </c>
      <c r="G1560" s="214" t="s">
        <v>1634</v>
      </c>
      <c r="H1560" s="53" t="s">
        <v>160</v>
      </c>
      <c r="I1560" s="222">
        <v>4</v>
      </c>
      <c r="J1560" s="223"/>
      <c r="K1560" s="223"/>
      <c r="L1560" s="223">
        <v>30</v>
      </c>
      <c r="M1560" s="223"/>
      <c r="N1560" s="223"/>
      <c r="O1560" s="224"/>
      <c r="P1560" s="224"/>
      <c r="Q1560" s="224">
        <v>4</v>
      </c>
      <c r="R1560" s="224"/>
      <c r="S1560" s="225"/>
    </row>
    <row r="1561" spans="1:19" ht="15" customHeight="1">
      <c r="A1561" s="413">
        <f t="shared" si="33"/>
        <v>1561</v>
      </c>
      <c r="B1561" s="52">
        <v>406</v>
      </c>
      <c r="C1561" s="219" t="s">
        <v>300</v>
      </c>
      <c r="D1561" s="220" t="s">
        <v>1538</v>
      </c>
      <c r="E1561" s="221"/>
      <c r="F1561" s="53" t="s">
        <v>208</v>
      </c>
      <c r="G1561" s="214" t="s">
        <v>1635</v>
      </c>
      <c r="H1561" s="53" t="s">
        <v>160</v>
      </c>
      <c r="I1561" s="222">
        <v>2</v>
      </c>
      <c r="J1561" s="223"/>
      <c r="K1561" s="223"/>
      <c r="L1561" s="223">
        <v>14</v>
      </c>
      <c r="M1561" s="223"/>
      <c r="N1561" s="223"/>
      <c r="O1561" s="224"/>
      <c r="P1561" s="224"/>
      <c r="Q1561" s="224">
        <v>2</v>
      </c>
      <c r="R1561" s="224"/>
      <c r="S1561" s="225"/>
    </row>
    <row r="1562" spans="1:19" ht="15" customHeight="1">
      <c r="A1562" s="413">
        <f t="shared" si="33"/>
        <v>1562</v>
      </c>
      <c r="B1562" s="52">
        <v>406</v>
      </c>
      <c r="C1562" s="219" t="s">
        <v>300</v>
      </c>
      <c r="D1562" s="220" t="s">
        <v>1538</v>
      </c>
      <c r="E1562" s="221"/>
      <c r="F1562" s="53" t="s">
        <v>1636</v>
      </c>
      <c r="G1562" s="214" t="s">
        <v>1637</v>
      </c>
      <c r="H1562" s="53" t="s">
        <v>160</v>
      </c>
      <c r="I1562" s="222">
        <v>6</v>
      </c>
      <c r="J1562" s="223">
        <v>20</v>
      </c>
      <c r="K1562" s="223"/>
      <c r="L1562" s="223"/>
      <c r="M1562" s="223"/>
      <c r="N1562" s="223"/>
      <c r="O1562" s="224"/>
      <c r="P1562" s="224"/>
      <c r="Q1562" s="224">
        <v>6</v>
      </c>
      <c r="R1562" s="224"/>
      <c r="S1562" s="225"/>
    </row>
    <row r="1563" spans="1:19" ht="15" customHeight="1">
      <c r="A1563" s="413">
        <f t="shared" si="33"/>
        <v>1563</v>
      </c>
      <c r="B1563" s="52">
        <v>407</v>
      </c>
      <c r="C1563" s="219" t="s">
        <v>198</v>
      </c>
      <c r="D1563" s="220" t="s">
        <v>1538</v>
      </c>
      <c r="E1563" s="221"/>
      <c r="F1563" s="53" t="s">
        <v>111</v>
      </c>
      <c r="G1563" s="214" t="s">
        <v>1482</v>
      </c>
      <c r="H1563" s="53" t="s">
        <v>176</v>
      </c>
      <c r="I1563" s="222">
        <v>19</v>
      </c>
      <c r="J1563" s="223"/>
      <c r="K1563" s="223"/>
      <c r="L1563" s="223">
        <v>55</v>
      </c>
      <c r="M1563" s="223"/>
      <c r="N1563" s="223"/>
      <c r="O1563" s="224"/>
      <c r="P1563" s="224"/>
      <c r="Q1563" s="224">
        <v>19</v>
      </c>
      <c r="R1563" s="224"/>
      <c r="S1563" s="225"/>
    </row>
    <row r="1564" spans="1:19" ht="15" customHeight="1">
      <c r="A1564" s="413">
        <f t="shared" si="33"/>
        <v>1564</v>
      </c>
      <c r="B1564" s="52">
        <v>407</v>
      </c>
      <c r="C1564" s="219" t="s">
        <v>198</v>
      </c>
      <c r="D1564" s="220" t="s">
        <v>1538</v>
      </c>
      <c r="E1564" s="221"/>
      <c r="F1564" s="53" t="s">
        <v>1614</v>
      </c>
      <c r="G1564" s="214" t="s">
        <v>1486</v>
      </c>
      <c r="H1564" s="53" t="s">
        <v>176</v>
      </c>
      <c r="I1564" s="222">
        <v>12</v>
      </c>
      <c r="J1564" s="223">
        <v>2</v>
      </c>
      <c r="K1564" s="223"/>
      <c r="L1564" s="223">
        <v>39</v>
      </c>
      <c r="M1564" s="223"/>
      <c r="N1564" s="223"/>
      <c r="O1564" s="224"/>
      <c r="P1564" s="224"/>
      <c r="Q1564" s="224">
        <v>12</v>
      </c>
      <c r="R1564" s="224"/>
      <c r="S1564" s="225"/>
    </row>
    <row r="1565" spans="1:19" ht="15" customHeight="1">
      <c r="A1565" s="413">
        <f t="shared" si="33"/>
        <v>1565</v>
      </c>
      <c r="B1565" s="52">
        <v>407</v>
      </c>
      <c r="C1565" s="219" t="s">
        <v>198</v>
      </c>
      <c r="D1565" s="220" t="s">
        <v>1538</v>
      </c>
      <c r="E1565" s="221"/>
      <c r="F1565" s="53" t="s">
        <v>308</v>
      </c>
      <c r="G1565" s="214" t="s">
        <v>1615</v>
      </c>
      <c r="H1565" s="53" t="s">
        <v>176</v>
      </c>
      <c r="I1565" s="222">
        <v>1</v>
      </c>
      <c r="J1565" s="223">
        <v>9</v>
      </c>
      <c r="K1565" s="223"/>
      <c r="L1565" s="223"/>
      <c r="M1565" s="223"/>
      <c r="N1565" s="223"/>
      <c r="O1565" s="224"/>
      <c r="P1565" s="224"/>
      <c r="Q1565" s="224"/>
      <c r="R1565" s="224">
        <v>1</v>
      </c>
      <c r="S1565" s="225"/>
    </row>
    <row r="1566" spans="1:19" ht="15" customHeight="1">
      <c r="A1566" s="413">
        <f t="shared" si="33"/>
        <v>1566</v>
      </c>
      <c r="B1566" s="52">
        <v>407</v>
      </c>
      <c r="C1566" s="219" t="s">
        <v>198</v>
      </c>
      <c r="D1566" s="220" t="s">
        <v>1538</v>
      </c>
      <c r="E1566" s="221"/>
      <c r="F1566" s="53" t="s">
        <v>308</v>
      </c>
      <c r="G1566" s="214" t="s">
        <v>1616</v>
      </c>
      <c r="H1566" s="53" t="s">
        <v>176</v>
      </c>
      <c r="I1566" s="222">
        <v>1</v>
      </c>
      <c r="J1566" s="223">
        <v>9</v>
      </c>
      <c r="K1566" s="223"/>
      <c r="L1566" s="223"/>
      <c r="M1566" s="223"/>
      <c r="N1566" s="223"/>
      <c r="O1566" s="224"/>
      <c r="P1566" s="224"/>
      <c r="Q1566" s="224"/>
      <c r="R1566" s="224">
        <v>1</v>
      </c>
      <c r="S1566" s="225"/>
    </row>
    <row r="1567" spans="1:19" ht="15" customHeight="1">
      <c r="A1567" s="413">
        <f t="shared" si="33"/>
        <v>1567</v>
      </c>
      <c r="B1567" s="52">
        <v>407</v>
      </c>
      <c r="C1567" s="219" t="s">
        <v>198</v>
      </c>
      <c r="D1567" s="220" t="s">
        <v>1538</v>
      </c>
      <c r="E1567" s="221"/>
      <c r="F1567" s="53" t="s">
        <v>1617</v>
      </c>
      <c r="G1567" s="214" t="s">
        <v>1484</v>
      </c>
      <c r="H1567" s="53" t="s">
        <v>176</v>
      </c>
      <c r="I1567" s="222">
        <v>12</v>
      </c>
      <c r="J1567" s="223"/>
      <c r="K1567" s="223"/>
      <c r="L1567" s="223">
        <v>17</v>
      </c>
      <c r="M1567" s="223"/>
      <c r="N1567" s="223"/>
      <c r="O1567" s="224"/>
      <c r="P1567" s="224"/>
      <c r="Q1567" s="224">
        <v>12</v>
      </c>
      <c r="R1567" s="224"/>
      <c r="S1567" s="225"/>
    </row>
    <row r="1568" spans="1:19" ht="15" customHeight="1">
      <c r="A1568" s="413">
        <f t="shared" si="33"/>
        <v>1568</v>
      </c>
      <c r="B1568" s="52">
        <v>407</v>
      </c>
      <c r="C1568" s="219" t="s">
        <v>198</v>
      </c>
      <c r="D1568" s="220" t="s">
        <v>1538</v>
      </c>
      <c r="E1568" s="221"/>
      <c r="F1568" s="53" t="s">
        <v>1646</v>
      </c>
      <c r="G1568" s="214" t="s">
        <v>1619</v>
      </c>
      <c r="H1568" s="53" t="s">
        <v>176</v>
      </c>
      <c r="I1568" s="222">
        <v>6</v>
      </c>
      <c r="J1568" s="223"/>
      <c r="K1568" s="223"/>
      <c r="L1568" s="223">
        <v>30</v>
      </c>
      <c r="M1568" s="223"/>
      <c r="N1568" s="223"/>
      <c r="O1568" s="224"/>
      <c r="P1568" s="224"/>
      <c r="Q1568" s="224">
        <v>6</v>
      </c>
      <c r="R1568" s="224"/>
      <c r="S1568" s="225"/>
    </row>
    <row r="1569" spans="1:19" ht="15" customHeight="1">
      <c r="A1569" s="413">
        <f t="shared" si="33"/>
        <v>1569</v>
      </c>
      <c r="B1569" s="52">
        <v>407</v>
      </c>
      <c r="C1569" s="219" t="s">
        <v>198</v>
      </c>
      <c r="D1569" s="220" t="s">
        <v>1538</v>
      </c>
      <c r="E1569" s="221"/>
      <c r="F1569" s="53" t="s">
        <v>1618</v>
      </c>
      <c r="G1569" s="214" t="s">
        <v>1621</v>
      </c>
      <c r="H1569" s="53" t="s">
        <v>160</v>
      </c>
      <c r="I1569" s="222">
        <v>6</v>
      </c>
      <c r="J1569" s="223"/>
      <c r="K1569" s="223"/>
      <c r="L1569" s="223"/>
      <c r="M1569" s="223"/>
      <c r="N1569" s="223">
        <v>30</v>
      </c>
      <c r="O1569" s="224"/>
      <c r="P1569" s="224"/>
      <c r="Q1569" s="224">
        <v>6</v>
      </c>
      <c r="R1569" s="224"/>
      <c r="S1569" s="225"/>
    </row>
    <row r="1570" spans="1:19" ht="15" customHeight="1">
      <c r="A1570" s="413">
        <f t="shared" si="33"/>
        <v>1570</v>
      </c>
      <c r="B1570" s="52">
        <v>407</v>
      </c>
      <c r="C1570" s="219" t="s">
        <v>198</v>
      </c>
      <c r="D1570" s="220" t="s">
        <v>1538</v>
      </c>
      <c r="E1570" s="221"/>
      <c r="F1570" s="53" t="s">
        <v>1647</v>
      </c>
      <c r="G1570" s="214" t="s">
        <v>1623</v>
      </c>
      <c r="H1570" s="53" t="s">
        <v>176</v>
      </c>
      <c r="I1570" s="222">
        <v>7</v>
      </c>
      <c r="J1570" s="223"/>
      <c r="K1570" s="223"/>
      <c r="L1570" s="223">
        <v>32</v>
      </c>
      <c r="M1570" s="223"/>
      <c r="N1570" s="223"/>
      <c r="O1570" s="224"/>
      <c r="P1570" s="224"/>
      <c r="Q1570" s="224">
        <v>7</v>
      </c>
      <c r="R1570" s="224"/>
      <c r="S1570" s="225"/>
    </row>
    <row r="1571" spans="1:19" ht="15" customHeight="1">
      <c r="A1571" s="413">
        <f t="shared" si="33"/>
        <v>1571</v>
      </c>
      <c r="B1571" s="52">
        <v>407</v>
      </c>
      <c r="C1571" s="219" t="s">
        <v>198</v>
      </c>
      <c r="D1571" s="220" t="s">
        <v>1538</v>
      </c>
      <c r="E1571" s="221"/>
      <c r="F1571" s="53" t="s">
        <v>1072</v>
      </c>
      <c r="G1571" s="214" t="s">
        <v>1625</v>
      </c>
      <c r="H1571" s="53" t="s">
        <v>176</v>
      </c>
      <c r="I1571" s="222">
        <v>16</v>
      </c>
      <c r="J1571" s="223"/>
      <c r="K1571" s="223"/>
      <c r="L1571" s="223">
        <v>50</v>
      </c>
      <c r="M1571" s="223"/>
      <c r="N1571" s="223"/>
      <c r="O1571" s="224"/>
      <c r="P1571" s="224"/>
      <c r="Q1571" s="224">
        <v>16</v>
      </c>
      <c r="R1571" s="224"/>
      <c r="S1571" s="225"/>
    </row>
    <row r="1572" spans="1:19" ht="15" customHeight="1">
      <c r="A1572" s="413">
        <f t="shared" si="33"/>
        <v>1572</v>
      </c>
      <c r="B1572" s="52">
        <v>407</v>
      </c>
      <c r="C1572" s="219" t="s">
        <v>198</v>
      </c>
      <c r="D1572" s="220" t="s">
        <v>1538</v>
      </c>
      <c r="E1572" s="221"/>
      <c r="F1572" s="53" t="s">
        <v>1648</v>
      </c>
      <c r="G1572" s="214" t="s">
        <v>1627</v>
      </c>
      <c r="H1572" s="53" t="s">
        <v>176</v>
      </c>
      <c r="I1572" s="222">
        <v>101</v>
      </c>
      <c r="J1572" s="223"/>
      <c r="K1572" s="223"/>
      <c r="L1572" s="223">
        <v>173</v>
      </c>
      <c r="M1572" s="223"/>
      <c r="N1572" s="223"/>
      <c r="O1572" s="224"/>
      <c r="P1572" s="224"/>
      <c r="Q1572" s="224">
        <v>101</v>
      </c>
      <c r="R1572" s="224"/>
      <c r="S1572" s="225"/>
    </row>
    <row r="1573" spans="1:19" ht="15" customHeight="1">
      <c r="A1573" s="413">
        <f t="shared" si="33"/>
        <v>1573</v>
      </c>
      <c r="B1573" s="52">
        <v>407</v>
      </c>
      <c r="C1573" s="219" t="s">
        <v>198</v>
      </c>
      <c r="D1573" s="220" t="s">
        <v>1538</v>
      </c>
      <c r="E1573" s="221"/>
      <c r="F1573" s="53" t="s">
        <v>1626</v>
      </c>
      <c r="G1573" s="214" t="s">
        <v>1629</v>
      </c>
      <c r="H1573" s="53" t="s">
        <v>1053</v>
      </c>
      <c r="I1573" s="222">
        <v>12</v>
      </c>
      <c r="J1573" s="223"/>
      <c r="K1573" s="223"/>
      <c r="L1573" s="223">
        <v>43</v>
      </c>
      <c r="M1573" s="223"/>
      <c r="N1573" s="223"/>
      <c r="O1573" s="224"/>
      <c r="P1573" s="224">
        <v>12</v>
      </c>
      <c r="Q1573" s="224"/>
      <c r="R1573" s="224"/>
      <c r="S1573" s="225"/>
    </row>
    <row r="1574" spans="1:19" ht="15" customHeight="1">
      <c r="A1574" s="413">
        <f t="shared" si="33"/>
        <v>1574</v>
      </c>
      <c r="B1574" s="52">
        <v>407</v>
      </c>
      <c r="C1574" s="219" t="s">
        <v>198</v>
      </c>
      <c r="D1574" s="220" t="s">
        <v>1538</v>
      </c>
      <c r="E1574" s="221"/>
      <c r="F1574" s="53" t="s">
        <v>1626</v>
      </c>
      <c r="G1574" s="214" t="s">
        <v>1630</v>
      </c>
      <c r="H1574" s="53" t="s">
        <v>1053</v>
      </c>
      <c r="I1574" s="222">
        <v>12</v>
      </c>
      <c r="J1574" s="223"/>
      <c r="K1574" s="223"/>
      <c r="L1574" s="223">
        <v>43</v>
      </c>
      <c r="M1574" s="223"/>
      <c r="N1574" s="223"/>
      <c r="O1574" s="224"/>
      <c r="P1574" s="224">
        <v>12</v>
      </c>
      <c r="Q1574" s="224"/>
      <c r="R1574" s="224"/>
      <c r="S1574" s="225"/>
    </row>
    <row r="1575" spans="1:19" ht="15" customHeight="1">
      <c r="A1575" s="413">
        <f t="shared" si="33"/>
        <v>1575</v>
      </c>
      <c r="B1575" s="52">
        <v>407</v>
      </c>
      <c r="C1575" s="219" t="s">
        <v>198</v>
      </c>
      <c r="D1575" s="220" t="s">
        <v>1538</v>
      </c>
      <c r="E1575" s="221"/>
      <c r="F1575" s="53" t="s">
        <v>1626</v>
      </c>
      <c r="G1575" s="214" t="s">
        <v>1631</v>
      </c>
      <c r="H1575" s="53" t="s">
        <v>1053</v>
      </c>
      <c r="I1575" s="222">
        <v>12</v>
      </c>
      <c r="J1575" s="223"/>
      <c r="K1575" s="223"/>
      <c r="L1575" s="223">
        <v>43</v>
      </c>
      <c r="M1575" s="223"/>
      <c r="N1575" s="223"/>
      <c r="O1575" s="224"/>
      <c r="P1575" s="224">
        <v>12</v>
      </c>
      <c r="Q1575" s="224"/>
      <c r="R1575" s="224"/>
      <c r="S1575" s="225"/>
    </row>
    <row r="1576" spans="1:19" ht="15" customHeight="1">
      <c r="A1576" s="413">
        <f t="shared" si="33"/>
        <v>1576</v>
      </c>
      <c r="B1576" s="52">
        <v>407</v>
      </c>
      <c r="C1576" s="219" t="s">
        <v>198</v>
      </c>
      <c r="D1576" s="220" t="s">
        <v>1538</v>
      </c>
      <c r="E1576" s="221"/>
      <c r="F1576" s="53" t="s">
        <v>282</v>
      </c>
      <c r="G1576" s="214" t="s">
        <v>1633</v>
      </c>
      <c r="H1576" s="53" t="s">
        <v>318</v>
      </c>
      <c r="I1576" s="222">
        <v>12</v>
      </c>
      <c r="J1576" s="223"/>
      <c r="K1576" s="223"/>
      <c r="L1576" s="223">
        <v>43</v>
      </c>
      <c r="M1576" s="223"/>
      <c r="N1576" s="223"/>
      <c r="O1576" s="224"/>
      <c r="P1576" s="224">
        <v>12</v>
      </c>
      <c r="Q1576" s="224"/>
      <c r="R1576" s="224"/>
      <c r="S1576" s="225"/>
    </row>
    <row r="1577" spans="1:19" ht="15" customHeight="1">
      <c r="A1577" s="413">
        <f t="shared" si="33"/>
        <v>1577</v>
      </c>
      <c r="B1577" s="52">
        <v>407</v>
      </c>
      <c r="C1577" s="219" t="s">
        <v>198</v>
      </c>
      <c r="D1577" s="220" t="s">
        <v>1538</v>
      </c>
      <c r="E1577" s="221"/>
      <c r="F1577" s="53" t="s">
        <v>1632</v>
      </c>
      <c r="G1577" s="214" t="s">
        <v>1634</v>
      </c>
      <c r="H1577" s="53" t="s">
        <v>176</v>
      </c>
      <c r="I1577" s="222">
        <v>24</v>
      </c>
      <c r="J1577" s="223"/>
      <c r="K1577" s="223"/>
      <c r="L1577" s="223">
        <v>63</v>
      </c>
      <c r="M1577" s="223"/>
      <c r="N1577" s="223"/>
      <c r="O1577" s="224"/>
      <c r="P1577" s="224"/>
      <c r="Q1577" s="224">
        <v>24</v>
      </c>
      <c r="R1577" s="224"/>
      <c r="S1577" s="225"/>
    </row>
    <row r="1578" spans="1:19" ht="15" customHeight="1">
      <c r="A1578" s="413">
        <f t="shared" si="33"/>
        <v>1578</v>
      </c>
      <c r="B1578" s="52">
        <v>407</v>
      </c>
      <c r="C1578" s="219" t="s">
        <v>198</v>
      </c>
      <c r="D1578" s="220" t="s">
        <v>1538</v>
      </c>
      <c r="E1578" s="221"/>
      <c r="F1578" s="53" t="s">
        <v>247</v>
      </c>
      <c r="G1578" s="214" t="s">
        <v>1635</v>
      </c>
      <c r="H1578" s="53" t="s">
        <v>176</v>
      </c>
      <c r="I1578" s="222">
        <v>4</v>
      </c>
      <c r="J1578" s="223"/>
      <c r="K1578" s="223"/>
      <c r="L1578" s="223">
        <v>30</v>
      </c>
      <c r="M1578" s="223"/>
      <c r="N1578" s="223"/>
      <c r="O1578" s="224"/>
      <c r="P1578" s="224"/>
      <c r="Q1578" s="224">
        <v>4</v>
      </c>
      <c r="R1578" s="224"/>
      <c r="S1578" s="225"/>
    </row>
    <row r="1579" spans="1:19" ht="15" customHeight="1">
      <c r="A1579" s="413">
        <f t="shared" si="33"/>
        <v>1579</v>
      </c>
      <c r="B1579" s="52">
        <v>407</v>
      </c>
      <c r="C1579" s="219" t="s">
        <v>198</v>
      </c>
      <c r="D1579" s="220" t="s">
        <v>1538</v>
      </c>
      <c r="E1579" s="221"/>
      <c r="F1579" s="53" t="s">
        <v>208</v>
      </c>
      <c r="G1579" s="214" t="s">
        <v>1637</v>
      </c>
      <c r="H1579" s="53" t="s">
        <v>176</v>
      </c>
      <c r="I1579" s="222">
        <v>2</v>
      </c>
      <c r="J1579" s="223"/>
      <c r="K1579" s="223"/>
      <c r="L1579" s="223">
        <v>14</v>
      </c>
      <c r="M1579" s="223"/>
      <c r="N1579" s="223"/>
      <c r="O1579" s="224"/>
      <c r="P1579" s="224"/>
      <c r="Q1579" s="224"/>
      <c r="R1579" s="224">
        <v>2</v>
      </c>
      <c r="S1579" s="225"/>
    </row>
    <row r="1580" spans="1:19" ht="15" customHeight="1">
      <c r="A1580" s="413">
        <f t="shared" si="33"/>
        <v>1580</v>
      </c>
      <c r="B1580" s="52">
        <v>407</v>
      </c>
      <c r="C1580" s="219" t="s">
        <v>198</v>
      </c>
      <c r="D1580" s="220" t="s">
        <v>1538</v>
      </c>
      <c r="E1580" s="221"/>
      <c r="F1580" s="53" t="s">
        <v>1636</v>
      </c>
      <c r="G1580" s="214" t="s">
        <v>1649</v>
      </c>
      <c r="H1580" s="53" t="s">
        <v>176</v>
      </c>
      <c r="I1580" s="222">
        <v>6</v>
      </c>
      <c r="J1580" s="223">
        <v>20</v>
      </c>
      <c r="K1580" s="223"/>
      <c r="L1580" s="223"/>
      <c r="M1580" s="223"/>
      <c r="N1580" s="223"/>
      <c r="O1580" s="224"/>
      <c r="P1580" s="224"/>
      <c r="Q1580" s="224"/>
      <c r="R1580" s="224">
        <v>6</v>
      </c>
      <c r="S1580" s="225"/>
    </row>
    <row r="1581" spans="1:19" ht="15" customHeight="1">
      <c r="A1581" s="413">
        <f t="shared" si="33"/>
        <v>1581</v>
      </c>
      <c r="B1581" s="52">
        <v>408</v>
      </c>
      <c r="C1581" s="219" t="s">
        <v>237</v>
      </c>
      <c r="D1581" s="220" t="s">
        <v>1538</v>
      </c>
      <c r="E1581" s="221"/>
      <c r="F1581" s="53" t="s">
        <v>111</v>
      </c>
      <c r="G1581" s="214" t="s">
        <v>1482</v>
      </c>
      <c r="H1581" s="53" t="s">
        <v>160</v>
      </c>
      <c r="I1581" s="222">
        <v>20</v>
      </c>
      <c r="J1581" s="223"/>
      <c r="K1581" s="223"/>
      <c r="L1581" s="223">
        <v>55</v>
      </c>
      <c r="M1581" s="223"/>
      <c r="N1581" s="223"/>
      <c r="O1581" s="224"/>
      <c r="P1581" s="224"/>
      <c r="Q1581" s="224">
        <v>20</v>
      </c>
      <c r="R1581" s="224"/>
      <c r="S1581" s="225"/>
    </row>
    <row r="1582" spans="1:19" ht="15" customHeight="1">
      <c r="A1582" s="413">
        <f t="shared" si="33"/>
        <v>1582</v>
      </c>
      <c r="B1582" s="52">
        <v>408</v>
      </c>
      <c r="C1582" s="219" t="s">
        <v>237</v>
      </c>
      <c r="D1582" s="220" t="s">
        <v>1538</v>
      </c>
      <c r="E1582" s="221"/>
      <c r="F1582" s="53" t="s">
        <v>1614</v>
      </c>
      <c r="G1582" s="214" t="s">
        <v>1486</v>
      </c>
      <c r="H1582" s="53" t="s">
        <v>160</v>
      </c>
      <c r="I1582" s="222">
        <v>12</v>
      </c>
      <c r="J1582" s="223">
        <v>2</v>
      </c>
      <c r="K1582" s="223"/>
      <c r="L1582" s="223">
        <v>39</v>
      </c>
      <c r="M1582" s="223"/>
      <c r="N1582" s="223"/>
      <c r="O1582" s="224"/>
      <c r="P1582" s="224"/>
      <c r="Q1582" s="224">
        <v>12</v>
      </c>
      <c r="R1582" s="224"/>
      <c r="S1582" s="225"/>
    </row>
    <row r="1583" spans="1:19" ht="15" customHeight="1">
      <c r="A1583" s="413">
        <f t="shared" si="33"/>
        <v>1583</v>
      </c>
      <c r="B1583" s="52">
        <v>408</v>
      </c>
      <c r="C1583" s="219" t="s">
        <v>237</v>
      </c>
      <c r="D1583" s="220" t="s">
        <v>1538</v>
      </c>
      <c r="E1583" s="221"/>
      <c r="F1583" s="53" t="s">
        <v>308</v>
      </c>
      <c r="G1583" s="214" t="s">
        <v>1615</v>
      </c>
      <c r="H1583" s="53" t="s">
        <v>160</v>
      </c>
      <c r="I1583" s="222">
        <v>1</v>
      </c>
      <c r="J1583" s="223">
        <v>9</v>
      </c>
      <c r="K1583" s="223"/>
      <c r="L1583" s="223"/>
      <c r="M1583" s="223"/>
      <c r="N1583" s="223"/>
      <c r="O1583" s="224"/>
      <c r="P1583" s="224"/>
      <c r="Q1583" s="224"/>
      <c r="R1583" s="224">
        <v>1</v>
      </c>
      <c r="S1583" s="225"/>
    </row>
    <row r="1584" spans="1:19" ht="15" customHeight="1">
      <c r="A1584" s="413">
        <f t="shared" si="33"/>
        <v>1584</v>
      </c>
      <c r="B1584" s="52">
        <v>408</v>
      </c>
      <c r="C1584" s="219" t="s">
        <v>237</v>
      </c>
      <c r="D1584" s="220" t="s">
        <v>1538</v>
      </c>
      <c r="E1584" s="221"/>
      <c r="F1584" s="53" t="s">
        <v>308</v>
      </c>
      <c r="G1584" s="214" t="s">
        <v>1616</v>
      </c>
      <c r="H1584" s="53" t="s">
        <v>160</v>
      </c>
      <c r="I1584" s="222">
        <v>1</v>
      </c>
      <c r="J1584" s="223">
        <v>9</v>
      </c>
      <c r="K1584" s="223"/>
      <c r="L1584" s="223"/>
      <c r="M1584" s="223"/>
      <c r="N1584" s="223"/>
      <c r="O1584" s="224"/>
      <c r="P1584" s="224"/>
      <c r="Q1584" s="224"/>
      <c r="R1584" s="224">
        <v>1</v>
      </c>
      <c r="S1584" s="225"/>
    </row>
    <row r="1585" spans="1:19" ht="15" customHeight="1">
      <c r="A1585" s="413">
        <f t="shared" si="33"/>
        <v>1585</v>
      </c>
      <c r="B1585" s="52">
        <v>408</v>
      </c>
      <c r="C1585" s="219" t="s">
        <v>237</v>
      </c>
      <c r="D1585" s="220" t="s">
        <v>1538</v>
      </c>
      <c r="E1585" s="221"/>
      <c r="F1585" s="53" t="s">
        <v>1617</v>
      </c>
      <c r="G1585" s="214" t="s">
        <v>1484</v>
      </c>
      <c r="H1585" s="53" t="s">
        <v>160</v>
      </c>
      <c r="I1585" s="222">
        <v>12</v>
      </c>
      <c r="J1585" s="223"/>
      <c r="K1585" s="223"/>
      <c r="L1585" s="223">
        <v>17</v>
      </c>
      <c r="M1585" s="223"/>
      <c r="N1585" s="223"/>
      <c r="O1585" s="224"/>
      <c r="P1585" s="224"/>
      <c r="Q1585" s="224">
        <v>12</v>
      </c>
      <c r="R1585" s="224"/>
      <c r="S1585" s="225"/>
    </row>
    <row r="1586" spans="1:19" ht="15" customHeight="1">
      <c r="A1586" s="413">
        <f t="shared" si="33"/>
        <v>1586</v>
      </c>
      <c r="B1586" s="52">
        <v>408</v>
      </c>
      <c r="C1586" s="219" t="s">
        <v>237</v>
      </c>
      <c r="D1586" s="220" t="s">
        <v>1538</v>
      </c>
      <c r="E1586" s="221"/>
      <c r="F1586" s="53" t="s">
        <v>1646</v>
      </c>
      <c r="G1586" s="214" t="s">
        <v>1619</v>
      </c>
      <c r="H1586" s="53" t="s">
        <v>160</v>
      </c>
      <c r="I1586" s="222">
        <v>5</v>
      </c>
      <c r="J1586" s="223"/>
      <c r="K1586" s="223"/>
      <c r="L1586" s="223">
        <v>30</v>
      </c>
      <c r="M1586" s="223"/>
      <c r="N1586" s="223"/>
      <c r="O1586" s="224"/>
      <c r="P1586" s="224"/>
      <c r="Q1586" s="224">
        <v>5</v>
      </c>
      <c r="R1586" s="224"/>
      <c r="S1586" s="225"/>
    </row>
    <row r="1587" spans="1:19" ht="15" customHeight="1">
      <c r="A1587" s="413">
        <f t="shared" si="33"/>
        <v>1587</v>
      </c>
      <c r="B1587" s="52">
        <v>408</v>
      </c>
      <c r="C1587" s="219" t="s">
        <v>237</v>
      </c>
      <c r="D1587" s="220" t="s">
        <v>1538</v>
      </c>
      <c r="E1587" s="221"/>
      <c r="F1587" s="53" t="s">
        <v>1618</v>
      </c>
      <c r="G1587" s="214" t="s">
        <v>1621</v>
      </c>
      <c r="H1587" s="53" t="s">
        <v>160</v>
      </c>
      <c r="I1587" s="222">
        <v>6</v>
      </c>
      <c r="J1587" s="223"/>
      <c r="K1587" s="223"/>
      <c r="L1587" s="223"/>
      <c r="M1587" s="223"/>
      <c r="N1587" s="223">
        <v>30</v>
      </c>
      <c r="O1587" s="224"/>
      <c r="P1587" s="224"/>
      <c r="Q1587" s="224">
        <v>6</v>
      </c>
      <c r="R1587" s="224"/>
      <c r="S1587" s="225"/>
    </row>
    <row r="1588" spans="1:19" ht="15" customHeight="1">
      <c r="A1588" s="413">
        <f t="shared" si="33"/>
        <v>1588</v>
      </c>
      <c r="B1588" s="52">
        <v>408</v>
      </c>
      <c r="C1588" s="219" t="s">
        <v>237</v>
      </c>
      <c r="D1588" s="220" t="s">
        <v>1538</v>
      </c>
      <c r="E1588" s="221"/>
      <c r="F1588" s="53" t="s">
        <v>1647</v>
      </c>
      <c r="G1588" s="214" t="s">
        <v>1623</v>
      </c>
      <c r="H1588" s="53" t="s">
        <v>160</v>
      </c>
      <c r="I1588" s="222">
        <v>6</v>
      </c>
      <c r="J1588" s="223"/>
      <c r="K1588" s="223"/>
      <c r="L1588" s="223">
        <v>32</v>
      </c>
      <c r="M1588" s="223"/>
      <c r="N1588" s="223"/>
      <c r="O1588" s="224"/>
      <c r="P1588" s="224"/>
      <c r="Q1588" s="224">
        <v>6</v>
      </c>
      <c r="R1588" s="224"/>
      <c r="S1588" s="225"/>
    </row>
    <row r="1589" spans="1:19" ht="15" customHeight="1">
      <c r="A1589" s="413">
        <f t="shared" si="33"/>
        <v>1589</v>
      </c>
      <c r="B1589" s="52">
        <v>408</v>
      </c>
      <c r="C1589" s="219" t="s">
        <v>237</v>
      </c>
      <c r="D1589" s="220" t="s">
        <v>1538</v>
      </c>
      <c r="E1589" s="221"/>
      <c r="F1589" s="53" t="s">
        <v>1072</v>
      </c>
      <c r="G1589" s="214" t="s">
        <v>1625</v>
      </c>
      <c r="H1589" s="53" t="s">
        <v>160</v>
      </c>
      <c r="I1589" s="222">
        <v>15</v>
      </c>
      <c r="J1589" s="223"/>
      <c r="K1589" s="223"/>
      <c r="L1589" s="223">
        <v>50</v>
      </c>
      <c r="M1589" s="223"/>
      <c r="N1589" s="223"/>
      <c r="O1589" s="224"/>
      <c r="P1589" s="224"/>
      <c r="Q1589" s="224">
        <v>15</v>
      </c>
      <c r="R1589" s="224"/>
      <c r="S1589" s="225"/>
    </row>
    <row r="1590" spans="1:19" ht="15" customHeight="1">
      <c r="A1590" s="413">
        <f t="shared" si="33"/>
        <v>1590</v>
      </c>
      <c r="B1590" s="52">
        <v>408</v>
      </c>
      <c r="C1590" s="219" t="s">
        <v>237</v>
      </c>
      <c r="D1590" s="220" t="s">
        <v>1538</v>
      </c>
      <c r="E1590" s="221"/>
      <c r="F1590" s="53" t="s">
        <v>1648</v>
      </c>
      <c r="G1590" s="214" t="s">
        <v>1627</v>
      </c>
      <c r="H1590" s="53" t="s">
        <v>160</v>
      </c>
      <c r="I1590" s="222">
        <v>84</v>
      </c>
      <c r="J1590" s="223"/>
      <c r="K1590" s="223"/>
      <c r="L1590" s="223">
        <v>144</v>
      </c>
      <c r="M1590" s="223"/>
      <c r="N1590" s="223"/>
      <c r="O1590" s="224"/>
      <c r="P1590" s="224"/>
      <c r="Q1590" s="224">
        <v>84</v>
      </c>
      <c r="R1590" s="224"/>
      <c r="S1590" s="225"/>
    </row>
    <row r="1591" spans="1:19" ht="15" customHeight="1">
      <c r="A1591" s="413">
        <f t="shared" si="33"/>
        <v>1591</v>
      </c>
      <c r="B1591" s="52">
        <v>408</v>
      </c>
      <c r="C1591" s="219" t="s">
        <v>237</v>
      </c>
      <c r="D1591" s="220" t="s">
        <v>1538</v>
      </c>
      <c r="E1591" s="221"/>
      <c r="F1591" s="53" t="s">
        <v>282</v>
      </c>
      <c r="G1591" s="214" t="s">
        <v>1629</v>
      </c>
      <c r="H1591" s="53" t="s">
        <v>318</v>
      </c>
      <c r="I1591" s="222">
        <v>12</v>
      </c>
      <c r="J1591" s="223"/>
      <c r="K1591" s="223"/>
      <c r="L1591" s="223">
        <v>43</v>
      </c>
      <c r="M1591" s="223"/>
      <c r="N1591" s="223"/>
      <c r="O1591" s="224"/>
      <c r="P1591" s="224">
        <v>12</v>
      </c>
      <c r="Q1591" s="224"/>
      <c r="R1591" s="224"/>
      <c r="S1591" s="225"/>
    </row>
    <row r="1592" spans="1:19" ht="15" customHeight="1">
      <c r="A1592" s="413">
        <f t="shared" si="33"/>
        <v>1592</v>
      </c>
      <c r="B1592" s="52">
        <v>408</v>
      </c>
      <c r="C1592" s="219" t="s">
        <v>237</v>
      </c>
      <c r="D1592" s="220" t="s">
        <v>1538</v>
      </c>
      <c r="E1592" s="221"/>
      <c r="F1592" s="53" t="s">
        <v>1626</v>
      </c>
      <c r="G1592" s="214" t="s">
        <v>1630</v>
      </c>
      <c r="H1592" s="53" t="s">
        <v>1053</v>
      </c>
      <c r="I1592" s="222">
        <v>12</v>
      </c>
      <c r="J1592" s="223"/>
      <c r="K1592" s="223"/>
      <c r="L1592" s="223">
        <v>43</v>
      </c>
      <c r="M1592" s="223"/>
      <c r="N1592" s="223"/>
      <c r="O1592" s="224"/>
      <c r="P1592" s="224">
        <v>12</v>
      </c>
      <c r="Q1592" s="224"/>
      <c r="R1592" s="224"/>
      <c r="S1592" s="225"/>
    </row>
    <row r="1593" spans="1:19" ht="15" customHeight="1">
      <c r="A1593" s="413">
        <f t="shared" si="33"/>
        <v>1593</v>
      </c>
      <c r="B1593" s="52">
        <v>408</v>
      </c>
      <c r="C1593" s="219" t="s">
        <v>237</v>
      </c>
      <c r="D1593" s="220" t="s">
        <v>1538</v>
      </c>
      <c r="E1593" s="221"/>
      <c r="F1593" s="53" t="s">
        <v>1626</v>
      </c>
      <c r="G1593" s="214" t="s">
        <v>1631</v>
      </c>
      <c r="H1593" s="53" t="s">
        <v>1053</v>
      </c>
      <c r="I1593" s="222">
        <v>12</v>
      </c>
      <c r="J1593" s="223"/>
      <c r="K1593" s="223"/>
      <c r="L1593" s="223">
        <v>43</v>
      </c>
      <c r="M1593" s="223"/>
      <c r="N1593" s="223"/>
      <c r="O1593" s="224"/>
      <c r="P1593" s="224">
        <v>12</v>
      </c>
      <c r="Q1593" s="224"/>
      <c r="R1593" s="224"/>
      <c r="S1593" s="225"/>
    </row>
    <row r="1594" spans="1:19" ht="15" customHeight="1">
      <c r="A1594" s="413">
        <f t="shared" si="33"/>
        <v>1594</v>
      </c>
      <c r="B1594" s="52">
        <v>408</v>
      </c>
      <c r="C1594" s="219" t="s">
        <v>237</v>
      </c>
      <c r="D1594" s="220" t="s">
        <v>1538</v>
      </c>
      <c r="E1594" s="221"/>
      <c r="F1594" s="53" t="s">
        <v>1632</v>
      </c>
      <c r="G1594" s="214" t="s">
        <v>1633</v>
      </c>
      <c r="H1594" s="53" t="s">
        <v>160</v>
      </c>
      <c r="I1594" s="222">
        <v>24</v>
      </c>
      <c r="J1594" s="223"/>
      <c r="K1594" s="223"/>
      <c r="L1594" s="223">
        <v>63</v>
      </c>
      <c r="M1594" s="223"/>
      <c r="N1594" s="223"/>
      <c r="O1594" s="224"/>
      <c r="P1594" s="224"/>
      <c r="Q1594" s="224">
        <v>24</v>
      </c>
      <c r="R1594" s="224"/>
      <c r="S1594" s="225"/>
    </row>
    <row r="1595" spans="1:19" ht="15" customHeight="1">
      <c r="A1595" s="413">
        <f t="shared" si="33"/>
        <v>1595</v>
      </c>
      <c r="B1595" s="52">
        <v>408</v>
      </c>
      <c r="C1595" s="219" t="s">
        <v>237</v>
      </c>
      <c r="D1595" s="220" t="s">
        <v>1538</v>
      </c>
      <c r="E1595" s="221"/>
      <c r="F1595" s="53" t="s">
        <v>247</v>
      </c>
      <c r="G1595" s="214" t="s">
        <v>1634</v>
      </c>
      <c r="H1595" s="53" t="s">
        <v>160</v>
      </c>
      <c r="I1595" s="222">
        <v>4</v>
      </c>
      <c r="J1595" s="223"/>
      <c r="K1595" s="223"/>
      <c r="L1595" s="223">
        <v>30</v>
      </c>
      <c r="M1595" s="223"/>
      <c r="N1595" s="223"/>
      <c r="O1595" s="224"/>
      <c r="P1595" s="224"/>
      <c r="Q1595" s="224">
        <v>4</v>
      </c>
      <c r="R1595" s="224"/>
      <c r="S1595" s="225"/>
    </row>
    <row r="1596" spans="1:19" ht="15" customHeight="1">
      <c r="A1596" s="413">
        <f t="shared" si="33"/>
        <v>1596</v>
      </c>
      <c r="B1596" s="52">
        <v>408</v>
      </c>
      <c r="C1596" s="219" t="s">
        <v>237</v>
      </c>
      <c r="D1596" s="220" t="s">
        <v>1538</v>
      </c>
      <c r="E1596" s="221"/>
      <c r="F1596" s="53" t="s">
        <v>208</v>
      </c>
      <c r="G1596" s="214" t="s">
        <v>1635</v>
      </c>
      <c r="H1596" s="53" t="s">
        <v>160</v>
      </c>
      <c r="I1596" s="222">
        <v>2</v>
      </c>
      <c r="J1596" s="223"/>
      <c r="K1596" s="223"/>
      <c r="L1596" s="223">
        <v>14</v>
      </c>
      <c r="M1596" s="223"/>
      <c r="N1596" s="223"/>
      <c r="O1596" s="224"/>
      <c r="P1596" s="224"/>
      <c r="Q1596" s="224"/>
      <c r="R1596" s="224">
        <v>2</v>
      </c>
      <c r="S1596" s="225"/>
    </row>
    <row r="1597" spans="1:19" ht="15" customHeight="1">
      <c r="A1597" s="413">
        <f t="shared" si="33"/>
        <v>1597</v>
      </c>
      <c r="B1597" s="52">
        <v>408</v>
      </c>
      <c r="C1597" s="219" t="s">
        <v>237</v>
      </c>
      <c r="D1597" s="220" t="s">
        <v>1538</v>
      </c>
      <c r="E1597" s="221"/>
      <c r="F1597" s="53" t="s">
        <v>1636</v>
      </c>
      <c r="G1597" s="214" t="s">
        <v>1637</v>
      </c>
      <c r="H1597" s="53" t="s">
        <v>160</v>
      </c>
      <c r="I1597" s="222">
        <v>6</v>
      </c>
      <c r="J1597" s="223">
        <v>20</v>
      </c>
      <c r="K1597" s="223"/>
      <c r="L1597" s="223"/>
      <c r="M1597" s="223"/>
      <c r="N1597" s="223"/>
      <c r="O1597" s="224"/>
      <c r="P1597" s="224"/>
      <c r="Q1597" s="224"/>
      <c r="R1597" s="224">
        <v>6</v>
      </c>
      <c r="S1597" s="225"/>
    </row>
    <row r="1598" spans="1:19" ht="15" customHeight="1">
      <c r="A1598" s="413">
        <f t="shared" si="33"/>
        <v>1598</v>
      </c>
      <c r="B1598" s="52">
        <v>409</v>
      </c>
      <c r="C1598" s="219" t="s">
        <v>133</v>
      </c>
      <c r="D1598" s="220" t="s">
        <v>1538</v>
      </c>
      <c r="E1598" s="221"/>
      <c r="F1598" s="53" t="s">
        <v>1650</v>
      </c>
      <c r="G1598" s="214" t="s">
        <v>1799</v>
      </c>
      <c r="H1598" s="53" t="s">
        <v>176</v>
      </c>
      <c r="I1598" s="222">
        <v>41</v>
      </c>
      <c r="J1598" s="223"/>
      <c r="K1598" s="223">
        <v>88</v>
      </c>
      <c r="L1598" s="223"/>
      <c r="M1598" s="223"/>
      <c r="N1598" s="223"/>
      <c r="O1598" s="224"/>
      <c r="P1598" s="224"/>
      <c r="Q1598" s="224"/>
      <c r="R1598" s="224">
        <v>41</v>
      </c>
      <c r="S1598" s="225"/>
    </row>
    <row r="1599" spans="1:19" ht="15" customHeight="1">
      <c r="A1599" s="413">
        <f t="shared" si="33"/>
        <v>1599</v>
      </c>
      <c r="B1599" s="52">
        <v>409</v>
      </c>
      <c r="C1599" s="219" t="s">
        <v>133</v>
      </c>
      <c r="D1599" s="220" t="s">
        <v>1538</v>
      </c>
      <c r="E1599" s="221"/>
      <c r="F1599" s="53" t="s">
        <v>83</v>
      </c>
      <c r="G1599" s="214" t="s">
        <v>1833</v>
      </c>
      <c r="H1599" s="53" t="s">
        <v>1651</v>
      </c>
      <c r="I1599" s="222">
        <v>14</v>
      </c>
      <c r="J1599" s="223"/>
      <c r="K1599" s="223">
        <v>48</v>
      </c>
      <c r="L1599" s="223"/>
      <c r="M1599" s="223"/>
      <c r="N1599" s="223"/>
      <c r="O1599" s="224"/>
      <c r="P1599" s="224"/>
      <c r="Q1599" s="224">
        <v>14</v>
      </c>
      <c r="R1599" s="224"/>
      <c r="S1599" s="225"/>
    </row>
    <row r="1600" spans="1:19" ht="15" customHeight="1">
      <c r="A1600" s="413">
        <f t="shared" si="33"/>
        <v>1600</v>
      </c>
      <c r="B1600" s="52">
        <v>409</v>
      </c>
      <c r="C1600" s="219" t="s">
        <v>133</v>
      </c>
      <c r="D1600" s="220" t="s">
        <v>1538</v>
      </c>
      <c r="E1600" s="221"/>
      <c r="F1600" s="53" t="s">
        <v>1652</v>
      </c>
      <c r="G1600" s="214" t="s">
        <v>75</v>
      </c>
      <c r="H1600" s="53" t="s">
        <v>109</v>
      </c>
      <c r="I1600" s="222">
        <v>13</v>
      </c>
      <c r="J1600" s="223">
        <v>37</v>
      </c>
      <c r="K1600" s="223"/>
      <c r="L1600" s="223"/>
      <c r="M1600" s="223"/>
      <c r="N1600" s="223"/>
      <c r="O1600" s="224"/>
      <c r="P1600" s="224"/>
      <c r="Q1600" s="224"/>
      <c r="R1600" s="224">
        <v>13</v>
      </c>
      <c r="S1600" s="225" t="s">
        <v>1653</v>
      </c>
    </row>
    <row r="1601" spans="1:19" ht="15" customHeight="1">
      <c r="A1601" s="413">
        <f t="shared" si="33"/>
        <v>1601</v>
      </c>
      <c r="B1601" s="52">
        <v>409</v>
      </c>
      <c r="C1601" s="219" t="s">
        <v>133</v>
      </c>
      <c r="D1601" s="220" t="s">
        <v>1538</v>
      </c>
      <c r="E1601" s="221"/>
      <c r="F1601" s="53" t="s">
        <v>1654</v>
      </c>
      <c r="G1601" s="214" t="s">
        <v>75</v>
      </c>
      <c r="H1601" s="53" t="s">
        <v>109</v>
      </c>
      <c r="I1601" s="222">
        <v>13</v>
      </c>
      <c r="J1601" s="223">
        <v>37</v>
      </c>
      <c r="K1601" s="223"/>
      <c r="L1601" s="223"/>
      <c r="M1601" s="223"/>
      <c r="N1601" s="223"/>
      <c r="O1601" s="224"/>
      <c r="P1601" s="224"/>
      <c r="Q1601" s="224"/>
      <c r="R1601" s="224">
        <v>13</v>
      </c>
      <c r="S1601" s="225" t="s">
        <v>1653</v>
      </c>
    </row>
    <row r="1602" spans="1:19" ht="15" customHeight="1">
      <c r="A1602" s="413">
        <f t="shared" si="33"/>
        <v>1602</v>
      </c>
      <c r="B1602" s="52">
        <v>410</v>
      </c>
      <c r="C1602" s="219" t="s">
        <v>1655</v>
      </c>
      <c r="D1602" s="220" t="s">
        <v>1538</v>
      </c>
      <c r="E1602" s="221"/>
      <c r="F1602" s="53" t="s">
        <v>81</v>
      </c>
      <c r="G1602" s="214" t="s">
        <v>1799</v>
      </c>
      <c r="H1602" s="53" t="s">
        <v>176</v>
      </c>
      <c r="I1602" s="222">
        <v>27</v>
      </c>
      <c r="J1602" s="223"/>
      <c r="K1602" s="223">
        <v>70</v>
      </c>
      <c r="L1602" s="223"/>
      <c r="M1602" s="223"/>
      <c r="N1602" s="223"/>
      <c r="O1602" s="224"/>
      <c r="P1602" s="224"/>
      <c r="Q1602" s="224">
        <v>27</v>
      </c>
      <c r="R1602" s="224"/>
      <c r="S1602" s="225"/>
    </row>
    <row r="1603" spans="1:19" ht="15" customHeight="1">
      <c r="A1603" s="413">
        <f t="shared" ref="A1603:A1626" si="34">1+A1602</f>
        <v>1603</v>
      </c>
      <c r="B1603" s="52">
        <v>410</v>
      </c>
      <c r="C1603" s="219" t="s">
        <v>1655</v>
      </c>
      <c r="D1603" s="220" t="s">
        <v>1538</v>
      </c>
      <c r="E1603" s="221"/>
      <c r="F1603" s="53" t="s">
        <v>1656</v>
      </c>
      <c r="G1603" s="214" t="s">
        <v>1833</v>
      </c>
      <c r="H1603" s="53" t="s">
        <v>12</v>
      </c>
      <c r="I1603" s="222">
        <v>10</v>
      </c>
      <c r="J1603" s="223"/>
      <c r="K1603" s="223">
        <v>40</v>
      </c>
      <c r="L1603" s="223"/>
      <c r="M1603" s="223"/>
      <c r="N1603" s="223"/>
      <c r="O1603" s="224"/>
      <c r="P1603" s="224"/>
      <c r="Q1603" s="224">
        <v>10</v>
      </c>
      <c r="R1603" s="224"/>
      <c r="S1603" s="225"/>
    </row>
    <row r="1604" spans="1:19" ht="15" customHeight="1">
      <c r="A1604" s="413">
        <f t="shared" si="34"/>
        <v>1604</v>
      </c>
      <c r="B1604" s="52">
        <v>410</v>
      </c>
      <c r="C1604" s="219" t="s">
        <v>1655</v>
      </c>
      <c r="D1604" s="220" t="s">
        <v>1538</v>
      </c>
      <c r="E1604" s="221"/>
      <c r="F1604" s="53" t="s">
        <v>1657</v>
      </c>
      <c r="G1604" s="214"/>
      <c r="H1604" s="53" t="s">
        <v>1315</v>
      </c>
      <c r="I1604" s="222">
        <v>68</v>
      </c>
      <c r="J1604" s="223"/>
      <c r="K1604" s="223"/>
      <c r="L1604" s="223"/>
      <c r="M1604" s="223"/>
      <c r="N1604" s="223"/>
      <c r="O1604" s="224"/>
      <c r="P1604" s="224"/>
      <c r="Q1604" s="224"/>
      <c r="R1604" s="224"/>
      <c r="S1604" s="225"/>
    </row>
    <row r="1605" spans="1:19" ht="15" customHeight="1">
      <c r="A1605" s="413">
        <f t="shared" si="34"/>
        <v>1605</v>
      </c>
      <c r="B1605" s="52">
        <v>411</v>
      </c>
      <c r="C1605" s="219" t="s">
        <v>1658</v>
      </c>
      <c r="D1605" s="220" t="s">
        <v>1538</v>
      </c>
      <c r="E1605" s="221"/>
      <c r="F1605" s="53" t="s">
        <v>81</v>
      </c>
      <c r="G1605" s="214" t="s">
        <v>1799</v>
      </c>
      <c r="H1605" s="53" t="s">
        <v>176</v>
      </c>
      <c r="I1605" s="222">
        <v>26</v>
      </c>
      <c r="J1605" s="223"/>
      <c r="K1605" s="223">
        <v>71</v>
      </c>
      <c r="L1605" s="223"/>
      <c r="M1605" s="223"/>
      <c r="N1605" s="223"/>
      <c r="O1605" s="224"/>
      <c r="P1605" s="224"/>
      <c r="Q1605" s="224">
        <v>26</v>
      </c>
      <c r="R1605" s="224"/>
      <c r="S1605" s="225"/>
    </row>
    <row r="1606" spans="1:19" ht="15" customHeight="1">
      <c r="A1606" s="413">
        <f t="shared" si="34"/>
        <v>1606</v>
      </c>
      <c r="B1606" s="52">
        <v>411</v>
      </c>
      <c r="C1606" s="219" t="s">
        <v>1658</v>
      </c>
      <c r="D1606" s="220" t="s">
        <v>1538</v>
      </c>
      <c r="E1606" s="221"/>
      <c r="F1606" s="53" t="s">
        <v>1656</v>
      </c>
      <c r="G1606" s="214" t="s">
        <v>1833</v>
      </c>
      <c r="H1606" s="53" t="s">
        <v>12</v>
      </c>
      <c r="I1606" s="222">
        <v>7</v>
      </c>
      <c r="J1606" s="223"/>
      <c r="K1606" s="223">
        <v>42</v>
      </c>
      <c r="L1606" s="223"/>
      <c r="M1606" s="223"/>
      <c r="N1606" s="223"/>
      <c r="O1606" s="224"/>
      <c r="P1606" s="224"/>
      <c r="Q1606" s="224">
        <v>7</v>
      </c>
      <c r="R1606" s="224"/>
      <c r="S1606" s="225"/>
    </row>
    <row r="1607" spans="1:19" ht="15" customHeight="1">
      <c r="A1607" s="413">
        <f t="shared" si="34"/>
        <v>1607</v>
      </c>
      <c r="B1607" s="52">
        <v>411</v>
      </c>
      <c r="C1607" s="219" t="s">
        <v>1658</v>
      </c>
      <c r="D1607" s="220" t="s">
        <v>1538</v>
      </c>
      <c r="E1607" s="221"/>
      <c r="F1607" s="53" t="s">
        <v>1659</v>
      </c>
      <c r="G1607" s="214"/>
      <c r="H1607" s="53"/>
      <c r="I1607" s="222"/>
      <c r="J1607" s="223"/>
      <c r="K1607" s="223"/>
      <c r="L1607" s="223"/>
      <c r="M1607" s="223"/>
      <c r="N1607" s="223"/>
      <c r="O1607" s="224"/>
      <c r="P1607" s="224"/>
      <c r="Q1607" s="224"/>
      <c r="R1607" s="224"/>
      <c r="S1607" s="225"/>
    </row>
    <row r="1608" spans="1:19" ht="15" customHeight="1">
      <c r="A1608" s="413">
        <f t="shared" si="34"/>
        <v>1608</v>
      </c>
      <c r="B1608" s="52">
        <v>411</v>
      </c>
      <c r="C1608" s="219" t="s">
        <v>1658</v>
      </c>
      <c r="D1608" s="220" t="s">
        <v>1538</v>
      </c>
      <c r="E1608" s="221"/>
      <c r="F1608" s="53" t="s">
        <v>1657</v>
      </c>
      <c r="G1608" s="214"/>
      <c r="H1608" s="53" t="s">
        <v>1315</v>
      </c>
      <c r="I1608" s="222">
        <v>122</v>
      </c>
      <c r="J1608" s="223"/>
      <c r="K1608" s="223"/>
      <c r="L1608" s="223"/>
      <c r="M1608" s="223"/>
      <c r="N1608" s="223"/>
      <c r="O1608" s="224"/>
      <c r="P1608" s="224"/>
      <c r="Q1608" s="224"/>
      <c r="R1608" s="224"/>
      <c r="S1608" s="225"/>
    </row>
    <row r="1609" spans="1:19" ht="15" customHeight="1">
      <c r="A1609" s="413">
        <f t="shared" si="34"/>
        <v>1609</v>
      </c>
      <c r="B1609" s="52">
        <v>412</v>
      </c>
      <c r="C1609" s="219" t="s">
        <v>1660</v>
      </c>
      <c r="D1609" s="220" t="s">
        <v>1538</v>
      </c>
      <c r="E1609" s="221"/>
      <c r="F1609" s="53" t="s">
        <v>71</v>
      </c>
      <c r="G1609" s="214" t="s">
        <v>16</v>
      </c>
      <c r="H1609" s="53" t="s">
        <v>176</v>
      </c>
      <c r="I1609" s="222">
        <v>19</v>
      </c>
      <c r="J1609" s="223"/>
      <c r="K1609" s="223">
        <v>55</v>
      </c>
      <c r="L1609" s="223"/>
      <c r="M1609" s="223"/>
      <c r="N1609" s="223"/>
      <c r="O1609" s="224"/>
      <c r="P1609" s="224"/>
      <c r="Q1609" s="224">
        <v>19</v>
      </c>
      <c r="R1609" s="224"/>
      <c r="S1609" s="225"/>
    </row>
    <row r="1610" spans="1:19" ht="15" customHeight="1">
      <c r="A1610" s="413">
        <f t="shared" si="34"/>
        <v>1610</v>
      </c>
      <c r="B1610" s="52">
        <v>412</v>
      </c>
      <c r="C1610" s="219" t="s">
        <v>1660</v>
      </c>
      <c r="D1610" s="220" t="s">
        <v>1538</v>
      </c>
      <c r="E1610" s="221"/>
      <c r="F1610" s="53" t="s">
        <v>71</v>
      </c>
      <c r="G1610" s="214" t="s">
        <v>182</v>
      </c>
      <c r="H1610" s="53" t="s">
        <v>176</v>
      </c>
      <c r="I1610" s="222">
        <v>8</v>
      </c>
      <c r="J1610" s="223"/>
      <c r="K1610" s="223">
        <v>34</v>
      </c>
      <c r="L1610" s="223"/>
      <c r="M1610" s="223"/>
      <c r="N1610" s="223"/>
      <c r="O1610" s="224"/>
      <c r="P1610" s="224"/>
      <c r="Q1610" s="224">
        <v>8</v>
      </c>
      <c r="R1610" s="224"/>
      <c r="S1610" s="225"/>
    </row>
    <row r="1611" spans="1:19" ht="15" customHeight="1">
      <c r="A1611" s="413">
        <f t="shared" si="34"/>
        <v>1611</v>
      </c>
      <c r="B1611" s="52">
        <v>412</v>
      </c>
      <c r="C1611" s="219" t="s">
        <v>1660</v>
      </c>
      <c r="D1611" s="220" t="s">
        <v>1538</v>
      </c>
      <c r="E1611" s="221"/>
      <c r="F1611" s="53" t="s">
        <v>1661</v>
      </c>
      <c r="G1611" s="214" t="s">
        <v>1746</v>
      </c>
      <c r="H1611" s="53" t="s">
        <v>176</v>
      </c>
      <c r="I1611" s="222">
        <v>3</v>
      </c>
      <c r="J1611" s="223"/>
      <c r="K1611" s="223" t="s">
        <v>1662</v>
      </c>
      <c r="L1611" s="223"/>
      <c r="M1611" s="223"/>
      <c r="N1611" s="223"/>
      <c r="O1611" s="224"/>
      <c r="P1611" s="224"/>
      <c r="Q1611" s="224">
        <v>3</v>
      </c>
      <c r="R1611" s="224"/>
      <c r="S1611" s="225"/>
    </row>
    <row r="1612" spans="1:19" ht="15" customHeight="1">
      <c r="A1612" s="413">
        <f t="shared" si="34"/>
        <v>1612</v>
      </c>
      <c r="B1612" s="52">
        <v>412</v>
      </c>
      <c r="C1612" s="219" t="s">
        <v>1660</v>
      </c>
      <c r="D1612" s="220" t="s">
        <v>1538</v>
      </c>
      <c r="E1612" s="221"/>
      <c r="F1612" s="53" t="s">
        <v>1663</v>
      </c>
      <c r="G1612" s="214" t="s">
        <v>1799</v>
      </c>
      <c r="H1612" s="53" t="s">
        <v>12</v>
      </c>
      <c r="I1612" s="222">
        <v>16</v>
      </c>
      <c r="J1612" s="223"/>
      <c r="K1612" s="223">
        <v>41</v>
      </c>
      <c r="L1612" s="223"/>
      <c r="M1612" s="223"/>
      <c r="N1612" s="223"/>
      <c r="O1612" s="224"/>
      <c r="P1612" s="224"/>
      <c r="Q1612" s="224"/>
      <c r="R1612" s="224">
        <v>16</v>
      </c>
      <c r="S1612" s="225"/>
    </row>
    <row r="1613" spans="1:19" ht="15" customHeight="1">
      <c r="A1613" s="413">
        <f t="shared" si="34"/>
        <v>1613</v>
      </c>
      <c r="B1613" s="52">
        <v>412</v>
      </c>
      <c r="C1613" s="219" t="s">
        <v>1660</v>
      </c>
      <c r="D1613" s="220" t="s">
        <v>1538</v>
      </c>
      <c r="E1613" s="221"/>
      <c r="F1613" s="53" t="s">
        <v>81</v>
      </c>
      <c r="G1613" s="214" t="s">
        <v>1833</v>
      </c>
      <c r="H1613" s="53" t="s">
        <v>176</v>
      </c>
      <c r="I1613" s="222">
        <v>30</v>
      </c>
      <c r="J1613" s="223"/>
      <c r="K1613" s="223">
        <v>67</v>
      </c>
      <c r="L1613" s="223"/>
      <c r="M1613" s="223"/>
      <c r="N1613" s="223"/>
      <c r="O1613" s="224"/>
      <c r="P1613" s="224"/>
      <c r="Q1613" s="224">
        <v>30</v>
      </c>
      <c r="R1613" s="224"/>
      <c r="S1613" s="225"/>
    </row>
    <row r="1614" spans="1:19" ht="15" customHeight="1">
      <c r="A1614" s="413">
        <f t="shared" si="34"/>
        <v>1614</v>
      </c>
      <c r="B1614" s="52">
        <v>412</v>
      </c>
      <c r="C1614" s="219" t="s">
        <v>1660</v>
      </c>
      <c r="D1614" s="220" t="s">
        <v>1538</v>
      </c>
      <c r="E1614" s="221"/>
      <c r="F1614" s="53" t="s">
        <v>1664</v>
      </c>
      <c r="G1614" s="214" t="s">
        <v>1909</v>
      </c>
      <c r="H1614" s="53" t="s">
        <v>12</v>
      </c>
      <c r="I1614" s="222">
        <v>33</v>
      </c>
      <c r="J1614" s="223"/>
      <c r="K1614" s="223">
        <v>38</v>
      </c>
      <c r="L1614" s="223"/>
      <c r="M1614" s="223"/>
      <c r="N1614" s="223"/>
      <c r="O1614" s="224"/>
      <c r="P1614" s="224">
        <v>33</v>
      </c>
      <c r="Q1614" s="224"/>
      <c r="R1614" s="224"/>
      <c r="S1614" s="225"/>
    </row>
    <row r="1615" spans="1:19" ht="15" customHeight="1">
      <c r="A1615" s="413">
        <f t="shared" si="34"/>
        <v>1615</v>
      </c>
      <c r="B1615" s="52">
        <v>412</v>
      </c>
      <c r="C1615" s="219" t="s">
        <v>1660</v>
      </c>
      <c r="D1615" s="220" t="s">
        <v>1538</v>
      </c>
      <c r="E1615" s="221"/>
      <c r="F1615" s="53" t="s">
        <v>1665</v>
      </c>
      <c r="G1615" s="214" t="s">
        <v>1910</v>
      </c>
      <c r="H1615" s="53" t="s">
        <v>1666</v>
      </c>
      <c r="I1615" s="222">
        <v>15</v>
      </c>
      <c r="J1615" s="223"/>
      <c r="K1615" s="223">
        <v>41</v>
      </c>
      <c r="L1615" s="223"/>
      <c r="M1615" s="223"/>
      <c r="N1615" s="223"/>
      <c r="O1615" s="224"/>
      <c r="P1615" s="224"/>
      <c r="Q1615" s="224"/>
      <c r="R1615" s="224">
        <v>15</v>
      </c>
      <c r="S1615" s="225"/>
    </row>
    <row r="1616" spans="1:19" ht="15" customHeight="1">
      <c r="A1616" s="413">
        <f t="shared" si="34"/>
        <v>1616</v>
      </c>
      <c r="B1616" s="52">
        <v>412</v>
      </c>
      <c r="C1616" s="219" t="s">
        <v>1660</v>
      </c>
      <c r="D1616" s="220" t="s">
        <v>1538</v>
      </c>
      <c r="E1616" s="221"/>
      <c r="F1616" s="53" t="s">
        <v>20</v>
      </c>
      <c r="G1616" s="214" t="s">
        <v>1911</v>
      </c>
      <c r="H1616" s="53" t="s">
        <v>1667</v>
      </c>
      <c r="I1616" s="222">
        <v>5</v>
      </c>
      <c r="J1616" s="223"/>
      <c r="K1616" s="223"/>
      <c r="L1616" s="223"/>
      <c r="M1616" s="223"/>
      <c r="N1616" s="223"/>
      <c r="O1616" s="224"/>
      <c r="P1616" s="224"/>
      <c r="Q1616" s="224"/>
      <c r="R1616" s="224"/>
      <c r="S1616" s="225"/>
    </row>
    <row r="1617" spans="1:19" ht="15" customHeight="1">
      <c r="A1617" s="413">
        <f t="shared" si="34"/>
        <v>1617</v>
      </c>
      <c r="B1617" s="19">
        <v>421</v>
      </c>
      <c r="C1617" s="153" t="s">
        <v>2064</v>
      </c>
      <c r="D1617" s="475" t="s">
        <v>1538</v>
      </c>
      <c r="E1617" s="212"/>
      <c r="F1617" s="580" t="s">
        <v>1584</v>
      </c>
      <c r="G1617" s="581" t="s">
        <v>2085</v>
      </c>
      <c r="H1617" s="28" t="s">
        <v>12</v>
      </c>
      <c r="I1617" s="28">
        <v>17</v>
      </c>
      <c r="J1617" s="223"/>
      <c r="K1617" s="223"/>
      <c r="L1617" s="223"/>
      <c r="M1617" s="223"/>
      <c r="N1617" s="223"/>
      <c r="O1617" s="224"/>
      <c r="P1617" s="224"/>
      <c r="Q1617" s="224"/>
      <c r="R1617" s="224"/>
      <c r="S1617" s="225"/>
    </row>
    <row r="1618" spans="1:19" ht="15" customHeight="1">
      <c r="A1618" s="413">
        <f t="shared" si="34"/>
        <v>1618</v>
      </c>
      <c r="B1618" s="19">
        <v>421</v>
      </c>
      <c r="C1618" s="153" t="s">
        <v>2064</v>
      </c>
      <c r="D1618" s="475" t="s">
        <v>1538</v>
      </c>
      <c r="E1618" s="212"/>
      <c r="F1618" s="580" t="s">
        <v>1606</v>
      </c>
      <c r="G1618" s="581" t="s">
        <v>2086</v>
      </c>
      <c r="H1618" s="28" t="s">
        <v>12</v>
      </c>
      <c r="I1618" s="28">
        <v>41</v>
      </c>
      <c r="J1618" s="223"/>
      <c r="K1618" s="223"/>
      <c r="L1618" s="223"/>
      <c r="M1618" s="223"/>
      <c r="N1618" s="223"/>
      <c r="O1618" s="224"/>
      <c r="P1618" s="224"/>
      <c r="Q1618" s="224"/>
      <c r="R1618" s="224"/>
      <c r="S1618" s="225"/>
    </row>
    <row r="1619" spans="1:19" ht="15" customHeight="1">
      <c r="A1619" s="413">
        <f t="shared" si="34"/>
        <v>1619</v>
      </c>
      <c r="B1619" s="19">
        <v>421</v>
      </c>
      <c r="C1619" s="153" t="s">
        <v>2064</v>
      </c>
      <c r="D1619" s="475" t="s">
        <v>1538</v>
      </c>
      <c r="E1619" s="212"/>
      <c r="F1619" s="580" t="s">
        <v>2095</v>
      </c>
      <c r="G1619" s="581" t="s">
        <v>2087</v>
      </c>
      <c r="H1619" s="28" t="s">
        <v>12</v>
      </c>
      <c r="I1619" s="28">
        <v>10</v>
      </c>
      <c r="J1619" s="223"/>
      <c r="K1619" s="223"/>
      <c r="L1619" s="223"/>
      <c r="M1619" s="223"/>
      <c r="N1619" s="223"/>
      <c r="O1619" s="224"/>
      <c r="P1619" s="224"/>
      <c r="Q1619" s="224"/>
      <c r="R1619" s="224"/>
      <c r="S1619" s="225"/>
    </row>
    <row r="1620" spans="1:19" ht="15" customHeight="1">
      <c r="A1620" s="413">
        <f t="shared" si="34"/>
        <v>1620</v>
      </c>
      <c r="B1620" s="19">
        <v>421</v>
      </c>
      <c r="C1620" s="153" t="s">
        <v>2064</v>
      </c>
      <c r="D1620" s="475" t="s">
        <v>1538</v>
      </c>
      <c r="E1620" s="212"/>
      <c r="F1620" s="580" t="s">
        <v>2096</v>
      </c>
      <c r="G1620" s="581" t="s">
        <v>2088</v>
      </c>
      <c r="H1620" s="28" t="s">
        <v>12</v>
      </c>
      <c r="I1620" s="28">
        <v>5</v>
      </c>
      <c r="J1620" s="223"/>
      <c r="K1620" s="223"/>
      <c r="L1620" s="223"/>
      <c r="M1620" s="223"/>
      <c r="N1620" s="223"/>
      <c r="O1620" s="224"/>
      <c r="P1620" s="224"/>
      <c r="Q1620" s="224"/>
      <c r="R1620" s="224"/>
      <c r="S1620" s="225"/>
    </row>
    <row r="1621" spans="1:19" ht="15" customHeight="1">
      <c r="A1621" s="413">
        <f t="shared" si="34"/>
        <v>1621</v>
      </c>
      <c r="B1621" s="19">
        <v>421</v>
      </c>
      <c r="C1621" s="153" t="s">
        <v>2064</v>
      </c>
      <c r="D1621" s="475" t="s">
        <v>1538</v>
      </c>
      <c r="E1621" s="212"/>
      <c r="F1621" s="580" t="s">
        <v>2097</v>
      </c>
      <c r="G1621" s="581" t="s">
        <v>2089</v>
      </c>
      <c r="H1621" s="28" t="s">
        <v>12</v>
      </c>
      <c r="I1621" s="28">
        <v>6</v>
      </c>
      <c r="J1621" s="223"/>
      <c r="K1621" s="223"/>
      <c r="L1621" s="223"/>
      <c r="M1621" s="223"/>
      <c r="N1621" s="223"/>
      <c r="O1621" s="224"/>
      <c r="P1621" s="224"/>
      <c r="Q1621" s="224"/>
      <c r="R1621" s="224"/>
      <c r="S1621" s="225"/>
    </row>
    <row r="1622" spans="1:19" ht="15" customHeight="1">
      <c r="A1622" s="413">
        <f t="shared" si="34"/>
        <v>1622</v>
      </c>
      <c r="B1622" s="19">
        <v>421</v>
      </c>
      <c r="C1622" s="153" t="s">
        <v>2064</v>
      </c>
      <c r="D1622" s="475" t="s">
        <v>1538</v>
      </c>
      <c r="E1622" s="212"/>
      <c r="F1622" s="580" t="s">
        <v>2098</v>
      </c>
      <c r="G1622" s="581" t="s">
        <v>2090</v>
      </c>
      <c r="H1622" s="28" t="s">
        <v>12</v>
      </c>
      <c r="I1622" s="28">
        <v>12</v>
      </c>
      <c r="J1622" s="223"/>
      <c r="K1622" s="223"/>
      <c r="L1622" s="223"/>
      <c r="M1622" s="223"/>
      <c r="N1622" s="223"/>
      <c r="O1622" s="224"/>
      <c r="P1622" s="224"/>
      <c r="Q1622" s="224"/>
      <c r="R1622" s="224"/>
      <c r="S1622" s="225"/>
    </row>
    <row r="1623" spans="1:19" ht="15" customHeight="1">
      <c r="A1623" s="413">
        <f t="shared" si="34"/>
        <v>1623</v>
      </c>
      <c r="B1623" s="19">
        <v>421</v>
      </c>
      <c r="C1623" s="153" t="s">
        <v>2064</v>
      </c>
      <c r="D1623" s="475" t="s">
        <v>1538</v>
      </c>
      <c r="E1623" s="212"/>
      <c r="F1623" s="580" t="s">
        <v>2099</v>
      </c>
      <c r="G1623" s="581" t="s">
        <v>2091</v>
      </c>
      <c r="H1623" s="28" t="s">
        <v>12</v>
      </c>
      <c r="I1623" s="28">
        <v>17</v>
      </c>
      <c r="J1623" s="223"/>
      <c r="K1623" s="223"/>
      <c r="L1623" s="223"/>
      <c r="M1623" s="223"/>
      <c r="N1623" s="223"/>
      <c r="O1623" s="224"/>
      <c r="P1623" s="224"/>
      <c r="Q1623" s="224"/>
      <c r="R1623" s="224"/>
      <c r="S1623" s="225"/>
    </row>
    <row r="1624" spans="1:19" ht="15" customHeight="1">
      <c r="A1624" s="413">
        <f t="shared" si="34"/>
        <v>1624</v>
      </c>
      <c r="B1624" s="19">
        <v>421</v>
      </c>
      <c r="C1624" s="153" t="s">
        <v>2064</v>
      </c>
      <c r="D1624" s="475" t="s">
        <v>1538</v>
      </c>
      <c r="E1624" s="212"/>
      <c r="F1624" s="580" t="s">
        <v>2100</v>
      </c>
      <c r="G1624" s="581" t="s">
        <v>2092</v>
      </c>
      <c r="H1624" s="28" t="s">
        <v>12</v>
      </c>
      <c r="I1624" s="28">
        <v>41</v>
      </c>
      <c r="J1624" s="223"/>
      <c r="K1624" s="223"/>
      <c r="L1624" s="223"/>
      <c r="M1624" s="223"/>
      <c r="N1624" s="223"/>
      <c r="O1624" s="224"/>
      <c r="P1624" s="224"/>
      <c r="Q1624" s="224"/>
      <c r="R1624" s="224"/>
      <c r="S1624" s="225"/>
    </row>
    <row r="1625" spans="1:19" ht="15" customHeight="1">
      <c r="A1625" s="413">
        <f t="shared" si="34"/>
        <v>1625</v>
      </c>
      <c r="B1625" s="19">
        <v>421</v>
      </c>
      <c r="C1625" s="153" t="s">
        <v>2064</v>
      </c>
      <c r="D1625" s="475" t="s">
        <v>1538</v>
      </c>
      <c r="E1625" s="212"/>
      <c r="F1625" s="580" t="s">
        <v>2101</v>
      </c>
      <c r="G1625" s="581" t="s">
        <v>2093</v>
      </c>
      <c r="H1625" s="28" t="s">
        <v>12</v>
      </c>
      <c r="I1625" s="28">
        <v>15</v>
      </c>
      <c r="J1625" s="223"/>
      <c r="K1625" s="223"/>
      <c r="L1625" s="223"/>
      <c r="M1625" s="223"/>
      <c r="N1625" s="223"/>
      <c r="O1625" s="224"/>
      <c r="P1625" s="224"/>
      <c r="Q1625" s="224"/>
      <c r="R1625" s="224"/>
      <c r="S1625" s="225"/>
    </row>
    <row r="1626" spans="1:19" ht="15" customHeight="1">
      <c r="A1626" s="413">
        <f t="shared" si="34"/>
        <v>1626</v>
      </c>
      <c r="B1626" s="19">
        <v>421</v>
      </c>
      <c r="C1626" s="153" t="s">
        <v>2064</v>
      </c>
      <c r="D1626" s="475" t="s">
        <v>1538</v>
      </c>
      <c r="E1626" s="212"/>
      <c r="F1626" s="580" t="s">
        <v>2102</v>
      </c>
      <c r="G1626" s="581" t="s">
        <v>2094</v>
      </c>
      <c r="H1626" s="28" t="s">
        <v>12</v>
      </c>
      <c r="I1626" s="567">
        <v>18</v>
      </c>
      <c r="J1626" s="223"/>
      <c r="K1626" s="223"/>
      <c r="L1626" s="223"/>
      <c r="M1626" s="223"/>
      <c r="N1626" s="223"/>
      <c r="O1626" s="224"/>
      <c r="P1626" s="224"/>
      <c r="Q1626" s="224"/>
      <c r="R1626" s="224"/>
      <c r="S1626" s="225"/>
    </row>
  </sheetData>
  <autoFilter ref="A11:S1626" xr:uid="{2FAADF5A-D8AD-411E-B65F-FCCD49BA0CCF}"/>
  <mergeCells count="1">
    <mergeCell ref="J10:R10"/>
  </mergeCells>
  <phoneticPr fontId="16"/>
  <printOptions horizontalCentered="1" gridLinesSet="0"/>
  <pageMargins left="0.19685039370078741" right="0.19685039370078741" top="0.59055118110236227" bottom="0.78740157480314965" header="0.39370078740157483" footer="0.19685039370078741"/>
  <pageSetup paperSize="8" scale="41" orientation="landscape" r:id="rId1"/>
  <headerFooter>
    <oddFooter>&amp;L&amp;"Verdana,Regular"&amp;F-&amp;A_x000D_Atir b.v. ©&amp;C&amp;R&amp;"Verdana,Regular"printversie &amp;D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N41"/>
  <sheetViews>
    <sheetView showGridLines="0" zoomScale="70" zoomScaleNormal="70" workbookViewId="0">
      <pane ySplit="11" topLeftCell="A12" activePane="bottomLeft" state="frozen"/>
      <selection activeCell="F30" sqref="F30"/>
      <selection pane="bottomLeft" activeCell="K18" sqref="K18:L18"/>
    </sheetView>
  </sheetViews>
  <sheetFormatPr defaultColWidth="9.140625" defaultRowHeight="13.5"/>
  <cols>
    <col min="1" max="1" width="26.140625" style="147" bestFit="1" customWidth="1"/>
    <col min="2" max="2" width="22" style="147" customWidth="1"/>
    <col min="3" max="3" width="20.85546875" style="147" bestFit="1" customWidth="1"/>
    <col min="4" max="4" width="18.140625" style="147" bestFit="1" customWidth="1"/>
    <col min="5" max="5" width="9.140625" style="147"/>
    <col min="6" max="6" width="13.5703125" style="147" customWidth="1"/>
    <col min="7" max="7" width="9.7109375" style="147" bestFit="1" customWidth="1"/>
    <col min="8" max="8" width="9.85546875" style="147" bestFit="1" customWidth="1"/>
    <col min="9" max="9" width="13.7109375" style="147" bestFit="1" customWidth="1"/>
    <col min="10" max="10" width="13.42578125" style="147" bestFit="1" customWidth="1"/>
    <col min="11" max="11" width="8.85546875" style="147" bestFit="1" customWidth="1"/>
    <col min="12" max="12" width="8.28515625" style="147" bestFit="1" customWidth="1"/>
    <col min="13" max="13" width="11.5703125" style="147" bestFit="1" customWidth="1"/>
    <col min="14" max="14" width="13.85546875" style="147" customWidth="1"/>
    <col min="15" max="16384" width="9.140625" style="147"/>
  </cols>
  <sheetData>
    <row r="1" spans="1:8" ht="14.25">
      <c r="A1" s="263" t="s">
        <v>2</v>
      </c>
      <c r="G1" s="162"/>
      <c r="H1" s="162"/>
    </row>
    <row r="2" spans="1:8">
      <c r="A2" s="163"/>
      <c r="G2" s="162"/>
      <c r="H2" s="162"/>
    </row>
    <row r="3" spans="1:8" ht="17.25">
      <c r="A3" s="250" t="str">
        <f>'1-Inschrijfstaat'!A3</f>
        <v>Naam opdrachtgever</v>
      </c>
      <c r="B3" s="261" t="str">
        <f>'1-Inschrijfstaat'!B3</f>
        <v>GVB Infra B.V.</v>
      </c>
      <c r="G3" s="162"/>
      <c r="H3" s="162"/>
    </row>
    <row r="4" spans="1:8" ht="17.25">
      <c r="A4" s="250" t="str">
        <f>'1-Inschrijfstaat'!A4</f>
        <v>Calculatie onderdeel</v>
      </c>
      <c r="B4" s="266" t="str">
        <f ca="1">MID(CELL("bestandsnaam",$C$9),SEARCH("]",CELL("bestandsnaam",$C$9),1)+1,256)</f>
        <v>4-Reinigen vloeren</v>
      </c>
    </row>
    <row r="5" spans="1:8" ht="17.25">
      <c r="A5" s="250" t="str">
        <f>'1-Inschrijfstaat'!A5</f>
        <v>Gebouw/plaats</v>
      </c>
      <c r="B5" s="261" t="str">
        <f>'1-Inschrijfstaat'!B5</f>
        <v>Diverse</v>
      </c>
    </row>
    <row r="6" spans="1:8" ht="17.25">
      <c r="A6" s="250" t="str">
        <f>'1-Inschrijfstaat'!A6</f>
        <v>Besteknummer</v>
      </c>
      <c r="B6" s="261" t="str">
        <f>'1-Inschrijfstaat'!B6</f>
        <v>2021-61</v>
      </c>
      <c r="F6" s="162"/>
      <c r="G6" s="162"/>
    </row>
    <row r="7" spans="1:8" ht="17.25">
      <c r="A7" s="250" t="str">
        <f>'1-Inschrijfstaat'!A7</f>
        <v>Naam leverancier</v>
      </c>
      <c r="B7" s="261" t="str">
        <f>'1-Inschrijfstaat'!B7:D7</f>
        <v>Naam dienstverlener</v>
      </c>
    </row>
    <row r="8" spans="1:8" ht="15.75">
      <c r="A8" s="250" t="str">
        <f>'1-Inschrijfstaat'!A8</f>
        <v>Prijspeil</v>
      </c>
      <c r="B8" s="11" t="str">
        <f>'1-Inschrijfstaat'!B8</f>
        <v>1 januari 2022</v>
      </c>
      <c r="G8" s="162"/>
    </row>
    <row r="9" spans="1:8" ht="15.75">
      <c r="A9" s="250" t="str">
        <f>'1-Inschrijfstaat'!A9</f>
        <v>Perceel</v>
      </c>
      <c r="B9" s="42" t="str">
        <f>'1-Inschrijfstaat'!B9</f>
        <v>1 Technische schoonmaak Algemeen</v>
      </c>
    </row>
    <row r="10" spans="1:8" ht="17.25">
      <c r="A10" s="260" t="s">
        <v>1085</v>
      </c>
      <c r="B10" s="301" t="s">
        <v>2018</v>
      </c>
      <c r="G10" s="162"/>
    </row>
    <row r="11" spans="1:8" ht="19.5">
      <c r="A11" s="164"/>
      <c r="B11" s="86"/>
    </row>
    <row r="12" spans="1:8">
      <c r="A12" s="560" t="s">
        <v>2074</v>
      </c>
      <c r="B12" s="165" t="s">
        <v>1691</v>
      </c>
      <c r="C12" s="264">
        <v>0</v>
      </c>
      <c r="G12" s="162"/>
    </row>
    <row r="14" spans="1:8">
      <c r="A14" s="267" t="s">
        <v>1690</v>
      </c>
      <c r="B14" s="402" t="s">
        <v>2012</v>
      </c>
      <c r="C14" s="268" t="s">
        <v>1687</v>
      </c>
    </row>
    <row r="15" spans="1:8">
      <c r="A15" s="67" t="s">
        <v>1688</v>
      </c>
      <c r="B15" s="455" t="s">
        <v>2013</v>
      </c>
      <c r="C15" s="265">
        <v>0</v>
      </c>
    </row>
    <row r="16" spans="1:8">
      <c r="A16" s="67" t="s">
        <v>1688</v>
      </c>
      <c r="B16" s="575" t="s">
        <v>2078</v>
      </c>
      <c r="C16" s="265">
        <v>0</v>
      </c>
    </row>
    <row r="18" spans="1:14" ht="40.9" customHeight="1">
      <c r="A18" s="269" t="s">
        <v>1322</v>
      </c>
      <c r="B18" s="269" t="s">
        <v>1088</v>
      </c>
      <c r="C18" s="269" t="s">
        <v>13</v>
      </c>
      <c r="D18" s="269" t="s">
        <v>1323</v>
      </c>
      <c r="E18" s="269" t="s">
        <v>10</v>
      </c>
      <c r="F18" s="269" t="s">
        <v>1089</v>
      </c>
      <c r="G18" s="269" t="s">
        <v>1325</v>
      </c>
      <c r="H18" s="269" t="s">
        <v>1326</v>
      </c>
      <c r="I18" s="269" t="s">
        <v>1090</v>
      </c>
      <c r="J18" s="269" t="s">
        <v>1091</v>
      </c>
      <c r="K18" s="269" t="s">
        <v>2143</v>
      </c>
      <c r="L18" s="269" t="s">
        <v>2144</v>
      </c>
      <c r="M18" s="254" t="s">
        <v>1303</v>
      </c>
      <c r="N18" s="254" t="s">
        <v>1304</v>
      </c>
    </row>
    <row r="19" spans="1:14">
      <c r="A19" s="151">
        <v>102</v>
      </c>
      <c r="B19" s="25" t="s">
        <v>849</v>
      </c>
      <c r="C19" s="51" t="str">
        <f>VLOOKUP(A19,'3-Ruimtestaat'!B:D,3,FALSE)</f>
        <v>Oostlijn ondergronds</v>
      </c>
      <c r="D19" s="25" t="s">
        <v>1349</v>
      </c>
      <c r="E19" s="166">
        <v>4</v>
      </c>
      <c r="F19" s="559" t="s">
        <v>2073</v>
      </c>
      <c r="G19" s="168">
        <v>1782.3</v>
      </c>
      <c r="H19" s="168">
        <v>1201</v>
      </c>
      <c r="I19" s="169" t="e">
        <f t="shared" ref="I19:I40" si="0">SUM(G19:H19)/$C$12</f>
        <v>#DIV/0!</v>
      </c>
      <c r="J19" s="169" t="e">
        <f t="shared" ref="J19:J40" si="1">I19*E19</f>
        <v>#DIV/0!</v>
      </c>
      <c r="K19" s="49"/>
      <c r="L19" s="170">
        <f>$C$16</f>
        <v>0</v>
      </c>
      <c r="M19" s="170" t="e">
        <f>I19*L19</f>
        <v>#DIV/0!</v>
      </c>
      <c r="N19" s="170" t="e">
        <f t="shared" ref="N19:N40" si="2">E19*M19</f>
        <v>#DIV/0!</v>
      </c>
    </row>
    <row r="20" spans="1:14">
      <c r="A20" s="511">
        <v>103</v>
      </c>
      <c r="B20" s="512" t="s">
        <v>717</v>
      </c>
      <c r="C20" s="51" t="str">
        <f>VLOOKUP(A20,'3-Ruimtestaat'!B:D,3,FALSE)</f>
        <v>Oostlijn ondergronds</v>
      </c>
      <c r="D20" s="25" t="s">
        <v>1349</v>
      </c>
      <c r="E20" s="166">
        <v>4</v>
      </c>
      <c r="F20" s="559" t="s">
        <v>2073</v>
      </c>
      <c r="G20" s="168">
        <v>2131</v>
      </c>
      <c r="H20" s="168">
        <v>2086</v>
      </c>
      <c r="I20" s="169" t="e">
        <f>SUM(G20:H20)/$C$12</f>
        <v>#DIV/0!</v>
      </c>
      <c r="J20" s="169" t="e">
        <f>I20*E20</f>
        <v>#DIV/0!</v>
      </c>
      <c r="K20" s="49"/>
      <c r="L20" s="170">
        <f>$C$16</f>
        <v>0</v>
      </c>
      <c r="M20" s="170" t="e">
        <f>I20*L20</f>
        <v>#DIV/0!</v>
      </c>
      <c r="N20" s="170" t="e">
        <f>E20*M20</f>
        <v>#DIV/0!</v>
      </c>
    </row>
    <row r="21" spans="1:14">
      <c r="A21" s="151">
        <v>104</v>
      </c>
      <c r="B21" s="25" t="s">
        <v>165</v>
      </c>
      <c r="C21" s="51" t="str">
        <f>VLOOKUP(A21,'3-Ruimtestaat'!B:D,3,FALSE)</f>
        <v>Oostlijn ondergronds</v>
      </c>
      <c r="D21" s="25" t="s">
        <v>1349</v>
      </c>
      <c r="E21" s="166">
        <v>4</v>
      </c>
      <c r="F21" s="559" t="s">
        <v>2073</v>
      </c>
      <c r="G21" s="168">
        <v>1951.8525000000002</v>
      </c>
      <c r="H21" s="168">
        <v>972</v>
      </c>
      <c r="I21" s="169" t="e">
        <f t="shared" si="0"/>
        <v>#DIV/0!</v>
      </c>
      <c r="J21" s="169" t="e">
        <f t="shared" si="1"/>
        <v>#DIV/0!</v>
      </c>
      <c r="K21" s="49"/>
      <c r="L21" s="170">
        <f>$C$16</f>
        <v>0</v>
      </c>
      <c r="M21" s="170" t="e">
        <f t="shared" ref="M21:M22" si="3">I21*L21</f>
        <v>#DIV/0!</v>
      </c>
      <c r="N21" s="170" t="e">
        <f t="shared" si="2"/>
        <v>#DIV/0!</v>
      </c>
    </row>
    <row r="22" spans="1:14">
      <c r="A22" s="151">
        <v>105</v>
      </c>
      <c r="B22" s="171" t="s">
        <v>850</v>
      </c>
      <c r="C22" s="51" t="str">
        <f>VLOOKUP(A22,'3-Ruimtestaat'!B:D,3,FALSE)</f>
        <v>Oostlijn ondergronds</v>
      </c>
      <c r="D22" s="171" t="s">
        <v>1349</v>
      </c>
      <c r="E22" s="172">
        <v>4</v>
      </c>
      <c r="F22" s="559" t="s">
        <v>2073</v>
      </c>
      <c r="G22" s="173">
        <v>1618</v>
      </c>
      <c r="H22" s="173">
        <v>1346</v>
      </c>
      <c r="I22" s="169" t="e">
        <f t="shared" si="0"/>
        <v>#DIV/0!</v>
      </c>
      <c r="J22" s="169" t="e">
        <f t="shared" si="1"/>
        <v>#DIV/0!</v>
      </c>
      <c r="K22" s="49"/>
      <c r="L22" s="170">
        <f>$C$16</f>
        <v>0</v>
      </c>
      <c r="M22" s="170" t="e">
        <f t="shared" si="3"/>
        <v>#DIV/0!</v>
      </c>
      <c r="N22" s="170" t="e">
        <f t="shared" si="2"/>
        <v>#DIV/0!</v>
      </c>
    </row>
    <row r="23" spans="1:14">
      <c r="A23" s="174">
        <v>107</v>
      </c>
      <c r="B23" s="51" t="s">
        <v>288</v>
      </c>
      <c r="C23" s="51" t="str">
        <f>VLOOKUP(A23,'3-Ruimtestaat'!B:D,3,FALSE)</f>
        <v>Oostlijn bovengronds</v>
      </c>
      <c r="D23" s="51" t="s">
        <v>1092</v>
      </c>
      <c r="E23" s="175">
        <v>5</v>
      </c>
      <c r="F23" s="559" t="s">
        <v>2073</v>
      </c>
      <c r="G23" s="176">
        <v>2546</v>
      </c>
      <c r="H23" s="176">
        <v>366</v>
      </c>
      <c r="I23" s="169" t="e">
        <f t="shared" si="0"/>
        <v>#DIV/0!</v>
      </c>
      <c r="J23" s="169" t="e">
        <f t="shared" si="1"/>
        <v>#DIV/0!</v>
      </c>
      <c r="K23" s="170">
        <f t="shared" ref="K23:K40" si="4">$C$15</f>
        <v>0</v>
      </c>
      <c r="L23" s="49"/>
      <c r="M23" s="170" t="e">
        <f t="shared" ref="M23:M36" si="5">I23*K23</f>
        <v>#DIV/0!</v>
      </c>
      <c r="N23" s="170" t="e">
        <f t="shared" si="2"/>
        <v>#DIV/0!</v>
      </c>
    </row>
    <row r="24" spans="1:14">
      <c r="A24" s="174">
        <v>108</v>
      </c>
      <c r="B24" s="51" t="s">
        <v>1324</v>
      </c>
      <c r="C24" s="51" t="str">
        <f>VLOOKUP(A24,'3-Ruimtestaat'!B:D,3,FALSE)</f>
        <v>Oostlijn bovengronds</v>
      </c>
      <c r="D24" s="51" t="s">
        <v>1092</v>
      </c>
      <c r="E24" s="175">
        <v>5</v>
      </c>
      <c r="F24" s="559" t="s">
        <v>2073</v>
      </c>
      <c r="G24" s="176">
        <v>2914</v>
      </c>
      <c r="H24" s="176">
        <v>339</v>
      </c>
      <c r="I24" s="169" t="e">
        <f t="shared" si="0"/>
        <v>#DIV/0!</v>
      </c>
      <c r="J24" s="169" t="e">
        <f t="shared" si="1"/>
        <v>#DIV/0!</v>
      </c>
      <c r="K24" s="170">
        <f t="shared" si="4"/>
        <v>0</v>
      </c>
      <c r="L24" s="49"/>
      <c r="M24" s="170" t="e">
        <f t="shared" si="5"/>
        <v>#DIV/0!</v>
      </c>
      <c r="N24" s="170" t="e">
        <f t="shared" si="2"/>
        <v>#DIV/0!</v>
      </c>
    </row>
    <row r="25" spans="1:14">
      <c r="A25" s="174">
        <v>110</v>
      </c>
      <c r="B25" s="51" t="s">
        <v>103</v>
      </c>
      <c r="C25" s="51" t="str">
        <f>VLOOKUP(A25,'3-Ruimtestaat'!B:D,3,FALSE)</f>
        <v>Oostlijn bovengronds</v>
      </c>
      <c r="D25" s="51" t="s">
        <v>1092</v>
      </c>
      <c r="E25" s="175">
        <v>5</v>
      </c>
      <c r="F25" s="559" t="s">
        <v>2073</v>
      </c>
      <c r="G25" s="176">
        <v>1503.23</v>
      </c>
      <c r="H25" s="176">
        <v>468</v>
      </c>
      <c r="I25" s="169" t="e">
        <f t="shared" si="0"/>
        <v>#DIV/0!</v>
      </c>
      <c r="J25" s="169" t="e">
        <f t="shared" si="1"/>
        <v>#DIV/0!</v>
      </c>
      <c r="K25" s="170">
        <f t="shared" si="4"/>
        <v>0</v>
      </c>
      <c r="L25" s="49"/>
      <c r="M25" s="170" t="e">
        <f t="shared" si="5"/>
        <v>#DIV/0!</v>
      </c>
      <c r="N25" s="170" t="e">
        <f t="shared" si="2"/>
        <v>#DIV/0!</v>
      </c>
    </row>
    <row r="26" spans="1:14">
      <c r="A26" s="174">
        <v>111</v>
      </c>
      <c r="B26" s="51" t="s">
        <v>852</v>
      </c>
      <c r="C26" s="51" t="str">
        <f>VLOOKUP(A26,'3-Ruimtestaat'!B:D,3,FALSE)</f>
        <v>Oostlijn bovengronds</v>
      </c>
      <c r="D26" s="51" t="s">
        <v>1092</v>
      </c>
      <c r="E26" s="175">
        <v>4</v>
      </c>
      <c r="F26" s="559" t="s">
        <v>2073</v>
      </c>
      <c r="G26" s="176">
        <v>2152</v>
      </c>
      <c r="H26" s="176">
        <v>100</v>
      </c>
      <c r="I26" s="169" t="e">
        <f t="shared" si="0"/>
        <v>#DIV/0!</v>
      </c>
      <c r="J26" s="169" t="e">
        <f t="shared" si="1"/>
        <v>#DIV/0!</v>
      </c>
      <c r="K26" s="170">
        <f t="shared" si="4"/>
        <v>0</v>
      </c>
      <c r="L26" s="49"/>
      <c r="M26" s="170" t="e">
        <f t="shared" si="5"/>
        <v>#DIV/0!</v>
      </c>
      <c r="N26" s="170" t="e">
        <f t="shared" si="2"/>
        <v>#DIV/0!</v>
      </c>
    </row>
    <row r="27" spans="1:14">
      <c r="A27" s="174">
        <v>112</v>
      </c>
      <c r="B27" s="51" t="s">
        <v>140</v>
      </c>
      <c r="C27" s="51" t="str">
        <f>VLOOKUP(A27,'3-Ruimtestaat'!B:D,3,FALSE)</f>
        <v>Oostlijn bovengronds</v>
      </c>
      <c r="D27" s="51" t="s">
        <v>1092</v>
      </c>
      <c r="E27" s="175">
        <v>5</v>
      </c>
      <c r="F27" s="559" t="s">
        <v>2073</v>
      </c>
      <c r="G27" s="176">
        <v>1504.46</v>
      </c>
      <c r="H27" s="176">
        <v>346</v>
      </c>
      <c r="I27" s="169" t="e">
        <f t="shared" si="0"/>
        <v>#DIV/0!</v>
      </c>
      <c r="J27" s="169" t="e">
        <f t="shared" si="1"/>
        <v>#DIV/0!</v>
      </c>
      <c r="K27" s="170">
        <f t="shared" si="4"/>
        <v>0</v>
      </c>
      <c r="L27" s="49"/>
      <c r="M27" s="170" t="e">
        <f t="shared" si="5"/>
        <v>#DIV/0!</v>
      </c>
      <c r="N27" s="170" t="e">
        <f t="shared" si="2"/>
        <v>#DIV/0!</v>
      </c>
    </row>
    <row r="28" spans="1:14">
      <c r="A28" s="174">
        <v>113</v>
      </c>
      <c r="B28" s="51" t="s">
        <v>853</v>
      </c>
      <c r="C28" s="51" t="str">
        <f>VLOOKUP(A28,'3-Ruimtestaat'!B:D,3,FALSE)</f>
        <v>Oostlijn bovengronds</v>
      </c>
      <c r="D28" s="51" t="s">
        <v>1092</v>
      </c>
      <c r="E28" s="175">
        <v>5</v>
      </c>
      <c r="F28" s="559" t="s">
        <v>2073</v>
      </c>
      <c r="G28" s="176">
        <v>1503.23</v>
      </c>
      <c r="H28" s="176">
        <v>468</v>
      </c>
      <c r="I28" s="169" t="e">
        <f t="shared" si="0"/>
        <v>#DIV/0!</v>
      </c>
      <c r="J28" s="169" t="e">
        <f t="shared" si="1"/>
        <v>#DIV/0!</v>
      </c>
      <c r="K28" s="170">
        <f t="shared" si="4"/>
        <v>0</v>
      </c>
      <c r="L28" s="49"/>
      <c r="M28" s="170" t="e">
        <f t="shared" si="5"/>
        <v>#DIV/0!</v>
      </c>
      <c r="N28" s="170" t="e">
        <f t="shared" si="2"/>
        <v>#DIV/0!</v>
      </c>
    </row>
    <row r="29" spans="1:14">
      <c r="A29" s="174">
        <v>114</v>
      </c>
      <c r="B29" s="51" t="s">
        <v>21</v>
      </c>
      <c r="C29" s="51" t="str">
        <f>VLOOKUP(A29,'3-Ruimtestaat'!B:D,3,FALSE)</f>
        <v>Oostlijn bovengronds</v>
      </c>
      <c r="D29" s="51" t="s">
        <v>1092</v>
      </c>
      <c r="E29" s="175">
        <v>5</v>
      </c>
      <c r="F29" s="559" t="s">
        <v>2073</v>
      </c>
      <c r="G29" s="176">
        <v>1503.07</v>
      </c>
      <c r="H29" s="176">
        <v>380</v>
      </c>
      <c r="I29" s="169" t="e">
        <f t="shared" si="0"/>
        <v>#DIV/0!</v>
      </c>
      <c r="J29" s="169" t="e">
        <f t="shared" si="1"/>
        <v>#DIV/0!</v>
      </c>
      <c r="K29" s="170">
        <f t="shared" si="4"/>
        <v>0</v>
      </c>
      <c r="L29" s="49"/>
      <c r="M29" s="170" t="e">
        <f t="shared" si="5"/>
        <v>#DIV/0!</v>
      </c>
      <c r="N29" s="170" t="e">
        <f t="shared" si="2"/>
        <v>#DIV/0!</v>
      </c>
    </row>
    <row r="30" spans="1:14">
      <c r="A30" s="174">
        <v>115</v>
      </c>
      <c r="B30" s="51" t="s">
        <v>73</v>
      </c>
      <c r="C30" s="51" t="str">
        <f>VLOOKUP(A30,'3-Ruimtestaat'!B:D,3,FALSE)</f>
        <v>Oostlijn Bovengronds</v>
      </c>
      <c r="D30" s="51" t="s">
        <v>1092</v>
      </c>
      <c r="E30" s="175">
        <v>5</v>
      </c>
      <c r="F30" s="559" t="s">
        <v>2073</v>
      </c>
      <c r="G30" s="176">
        <v>1699.37</v>
      </c>
      <c r="H30" s="176">
        <v>312</v>
      </c>
      <c r="I30" s="169" t="e">
        <f t="shared" si="0"/>
        <v>#DIV/0!</v>
      </c>
      <c r="J30" s="169" t="e">
        <f t="shared" si="1"/>
        <v>#DIV/0!</v>
      </c>
      <c r="K30" s="170">
        <f t="shared" si="4"/>
        <v>0</v>
      </c>
      <c r="L30" s="49"/>
      <c r="M30" s="170" t="e">
        <f t="shared" si="5"/>
        <v>#DIV/0!</v>
      </c>
      <c r="N30" s="170" t="e">
        <f t="shared" si="2"/>
        <v>#DIV/0!</v>
      </c>
    </row>
    <row r="31" spans="1:14">
      <c r="A31" s="174">
        <v>116</v>
      </c>
      <c r="B31" s="51" t="s">
        <v>237</v>
      </c>
      <c r="C31" s="51" t="str">
        <f>VLOOKUP(A31,'3-Ruimtestaat'!B:D,3,FALSE)</f>
        <v>Oostlijn bovengronds</v>
      </c>
      <c r="D31" s="51" t="s">
        <v>1092</v>
      </c>
      <c r="E31" s="175">
        <v>5</v>
      </c>
      <c r="F31" s="559" t="s">
        <v>2073</v>
      </c>
      <c r="G31" s="176">
        <v>1648</v>
      </c>
      <c r="H31" s="176">
        <v>140</v>
      </c>
      <c r="I31" s="169" t="e">
        <f t="shared" si="0"/>
        <v>#DIV/0!</v>
      </c>
      <c r="J31" s="169" t="e">
        <f t="shared" si="1"/>
        <v>#DIV/0!</v>
      </c>
      <c r="K31" s="170">
        <f t="shared" si="4"/>
        <v>0</v>
      </c>
      <c r="L31" s="49"/>
      <c r="M31" s="170" t="e">
        <f t="shared" si="5"/>
        <v>#DIV/0!</v>
      </c>
      <c r="N31" s="170" t="e">
        <f t="shared" si="2"/>
        <v>#DIV/0!</v>
      </c>
    </row>
    <row r="32" spans="1:14">
      <c r="A32" s="174">
        <v>117</v>
      </c>
      <c r="B32" s="51" t="s">
        <v>296</v>
      </c>
      <c r="C32" s="51" t="str">
        <f>VLOOKUP(A32,'3-Ruimtestaat'!B:D,3,FALSE)</f>
        <v>Oostlijn bovengronds</v>
      </c>
      <c r="D32" s="51" t="s">
        <v>1092</v>
      </c>
      <c r="E32" s="175">
        <v>5</v>
      </c>
      <c r="F32" s="559" t="s">
        <v>2073</v>
      </c>
      <c r="G32" s="176">
        <v>1511</v>
      </c>
      <c r="H32" s="176">
        <v>128</v>
      </c>
      <c r="I32" s="169" t="e">
        <f t="shared" si="0"/>
        <v>#DIV/0!</v>
      </c>
      <c r="J32" s="169" t="e">
        <f t="shared" si="1"/>
        <v>#DIV/0!</v>
      </c>
      <c r="K32" s="170">
        <f t="shared" si="4"/>
        <v>0</v>
      </c>
      <c r="L32" s="49"/>
      <c r="M32" s="170" t="e">
        <f t="shared" si="5"/>
        <v>#DIV/0!</v>
      </c>
      <c r="N32" s="170" t="e">
        <f t="shared" si="2"/>
        <v>#DIV/0!</v>
      </c>
    </row>
    <row r="33" spans="1:14">
      <c r="A33" s="174">
        <v>118</v>
      </c>
      <c r="B33" s="51" t="s">
        <v>198</v>
      </c>
      <c r="C33" s="51" t="str">
        <f>VLOOKUP(A33,'3-Ruimtestaat'!B:D,3,FALSE)</f>
        <v>Oostlijn bovengronds</v>
      </c>
      <c r="D33" s="51" t="s">
        <v>1092</v>
      </c>
      <c r="E33" s="175">
        <v>5</v>
      </c>
      <c r="F33" s="559" t="s">
        <v>2073</v>
      </c>
      <c r="G33" s="176">
        <v>1340</v>
      </c>
      <c r="H33" s="176">
        <v>188</v>
      </c>
      <c r="I33" s="169" t="e">
        <f t="shared" si="0"/>
        <v>#DIV/0!</v>
      </c>
      <c r="J33" s="169" t="e">
        <f t="shared" si="1"/>
        <v>#DIV/0!</v>
      </c>
      <c r="K33" s="170">
        <f t="shared" si="4"/>
        <v>0</v>
      </c>
      <c r="L33" s="49"/>
      <c r="M33" s="170" t="e">
        <f t="shared" si="5"/>
        <v>#DIV/0!</v>
      </c>
      <c r="N33" s="170" t="e">
        <f t="shared" si="2"/>
        <v>#DIV/0!</v>
      </c>
    </row>
    <row r="34" spans="1:14">
      <c r="A34" s="174">
        <v>119</v>
      </c>
      <c r="B34" s="51" t="s">
        <v>310</v>
      </c>
      <c r="C34" s="51" t="str">
        <f>VLOOKUP(A34,'3-Ruimtestaat'!B:D,3,FALSE)</f>
        <v>Oostlijn bovengronds</v>
      </c>
      <c r="D34" s="51" t="s">
        <v>1092</v>
      </c>
      <c r="E34" s="175">
        <v>5</v>
      </c>
      <c r="F34" s="559" t="s">
        <v>2073</v>
      </c>
      <c r="G34" s="176">
        <v>1637</v>
      </c>
      <c r="H34" s="176">
        <v>190</v>
      </c>
      <c r="I34" s="169" t="e">
        <f t="shared" si="0"/>
        <v>#DIV/0!</v>
      </c>
      <c r="J34" s="169" t="e">
        <f t="shared" si="1"/>
        <v>#DIV/0!</v>
      </c>
      <c r="K34" s="170">
        <f t="shared" si="4"/>
        <v>0</v>
      </c>
      <c r="L34" s="49"/>
      <c r="M34" s="170" t="e">
        <f t="shared" si="5"/>
        <v>#DIV/0!</v>
      </c>
      <c r="N34" s="170" t="e">
        <f t="shared" si="2"/>
        <v>#DIV/0!</v>
      </c>
    </row>
    <row r="35" spans="1:14">
      <c r="A35" s="174">
        <v>120</v>
      </c>
      <c r="B35" s="51" t="s">
        <v>300</v>
      </c>
      <c r="C35" s="51" t="str">
        <f>VLOOKUP(A35,'3-Ruimtestaat'!B:D,3,FALSE)</f>
        <v>Oostlijn bovengronds</v>
      </c>
      <c r="D35" s="51" t="s">
        <v>1092</v>
      </c>
      <c r="E35" s="175">
        <v>5</v>
      </c>
      <c r="F35" s="559" t="s">
        <v>2073</v>
      </c>
      <c r="G35" s="176">
        <v>1881</v>
      </c>
      <c r="H35" s="176">
        <v>143</v>
      </c>
      <c r="I35" s="169" t="e">
        <f t="shared" si="0"/>
        <v>#DIV/0!</v>
      </c>
      <c r="J35" s="169" t="e">
        <f t="shared" si="1"/>
        <v>#DIV/0!</v>
      </c>
      <c r="K35" s="170">
        <f t="shared" si="4"/>
        <v>0</v>
      </c>
      <c r="L35" s="49"/>
      <c r="M35" s="170" t="e">
        <f t="shared" si="5"/>
        <v>#DIV/0!</v>
      </c>
      <c r="N35" s="170" t="e">
        <f t="shared" si="2"/>
        <v>#DIV/0!</v>
      </c>
    </row>
    <row r="36" spans="1:14">
      <c r="A36" s="174">
        <v>121</v>
      </c>
      <c r="B36" s="51" t="s">
        <v>181</v>
      </c>
      <c r="C36" s="51" t="str">
        <f>VLOOKUP(A36,'3-Ruimtestaat'!B:D,3,FALSE)</f>
        <v>Oostlijn bovengronds</v>
      </c>
      <c r="D36" s="51" t="s">
        <v>1092</v>
      </c>
      <c r="E36" s="175">
        <v>5</v>
      </c>
      <c r="F36" s="559" t="s">
        <v>2073</v>
      </c>
      <c r="G36" s="176">
        <v>1428</v>
      </c>
      <c r="H36" s="176">
        <v>170</v>
      </c>
      <c r="I36" s="169" t="e">
        <f t="shared" si="0"/>
        <v>#DIV/0!</v>
      </c>
      <c r="J36" s="169" t="e">
        <f t="shared" si="1"/>
        <v>#DIV/0!</v>
      </c>
      <c r="K36" s="170">
        <f t="shared" si="4"/>
        <v>0</v>
      </c>
      <c r="L36" s="49"/>
      <c r="M36" s="170" t="e">
        <f t="shared" si="5"/>
        <v>#DIV/0!</v>
      </c>
      <c r="N36" s="170" t="e">
        <f t="shared" si="2"/>
        <v>#DIV/0!</v>
      </c>
    </row>
    <row r="37" spans="1:14" s="184" customFormat="1">
      <c r="A37" s="177">
        <v>302</v>
      </c>
      <c r="B37" s="178" t="s">
        <v>1393</v>
      </c>
      <c r="C37" s="51" t="str">
        <f>VLOOKUP(A37,'3-Ruimtestaat'!B:D,3,FALSE)</f>
        <v>Ringlijn</v>
      </c>
      <c r="D37" s="178" t="s">
        <v>1092</v>
      </c>
      <c r="E37" s="179">
        <v>5</v>
      </c>
      <c r="F37" s="559" t="s">
        <v>2073</v>
      </c>
      <c r="G37" s="180">
        <v>1178</v>
      </c>
      <c r="H37" s="180">
        <v>181</v>
      </c>
      <c r="I37" s="181" t="e">
        <f t="shared" si="0"/>
        <v>#DIV/0!</v>
      </c>
      <c r="J37" s="182" t="e">
        <f t="shared" si="1"/>
        <v>#DIV/0!</v>
      </c>
      <c r="K37" s="183">
        <f t="shared" si="4"/>
        <v>0</v>
      </c>
      <c r="L37" s="49"/>
      <c r="M37" s="183" t="e">
        <f>I37*K37</f>
        <v>#DIV/0!</v>
      </c>
      <c r="N37" s="183" t="e">
        <f t="shared" si="2"/>
        <v>#DIV/0!</v>
      </c>
    </row>
    <row r="38" spans="1:14" s="184" customFormat="1">
      <c r="A38" s="177">
        <v>303</v>
      </c>
      <c r="B38" s="178" t="s">
        <v>133</v>
      </c>
      <c r="C38" s="51" t="str">
        <f>VLOOKUP(A38,'3-Ruimtestaat'!B:D,3,FALSE)</f>
        <v>Ringlijn</v>
      </c>
      <c r="D38" s="178" t="s">
        <v>1092</v>
      </c>
      <c r="E38" s="179">
        <v>4</v>
      </c>
      <c r="F38" s="559" t="s">
        <v>2073</v>
      </c>
      <c r="G38" s="180">
        <v>1703</v>
      </c>
      <c r="H38" s="180">
        <v>1013</v>
      </c>
      <c r="I38" s="181" t="e">
        <f t="shared" si="0"/>
        <v>#DIV/0!</v>
      </c>
      <c r="J38" s="182" t="e">
        <f t="shared" si="1"/>
        <v>#DIV/0!</v>
      </c>
      <c r="K38" s="183">
        <f t="shared" si="4"/>
        <v>0</v>
      </c>
      <c r="L38" s="49"/>
      <c r="M38" s="183" t="e">
        <f t="shared" ref="M38:M40" si="6">I38*K38</f>
        <v>#DIV/0!</v>
      </c>
      <c r="N38" s="183" t="e">
        <f t="shared" si="2"/>
        <v>#DIV/0!</v>
      </c>
    </row>
    <row r="39" spans="1:14" s="184" customFormat="1">
      <c r="A39" s="177">
        <v>307</v>
      </c>
      <c r="B39" s="178" t="s">
        <v>1395</v>
      </c>
      <c r="C39" s="51" t="str">
        <f>VLOOKUP(A39,'3-Ruimtestaat'!B:D,3,FALSE)</f>
        <v>Ringlijn</v>
      </c>
      <c r="D39" s="178" t="s">
        <v>1092</v>
      </c>
      <c r="E39" s="179">
        <v>5</v>
      </c>
      <c r="F39" s="559" t="s">
        <v>2073</v>
      </c>
      <c r="G39" s="180">
        <v>1626</v>
      </c>
      <c r="H39" s="180">
        <v>391</v>
      </c>
      <c r="I39" s="181" t="e">
        <f t="shared" si="0"/>
        <v>#DIV/0!</v>
      </c>
      <c r="J39" s="182" t="e">
        <f t="shared" si="1"/>
        <v>#DIV/0!</v>
      </c>
      <c r="K39" s="183">
        <f t="shared" si="4"/>
        <v>0</v>
      </c>
      <c r="L39" s="49"/>
      <c r="M39" s="183" t="e">
        <f t="shared" si="6"/>
        <v>#DIV/0!</v>
      </c>
      <c r="N39" s="183" t="e">
        <f t="shared" si="2"/>
        <v>#DIV/0!</v>
      </c>
    </row>
    <row r="40" spans="1:14" s="184" customFormat="1">
      <c r="A40" s="272">
        <v>311</v>
      </c>
      <c r="B40" s="185" t="s">
        <v>1396</v>
      </c>
      <c r="C40" s="273" t="str">
        <f>VLOOKUP(A40,'3-Ruimtestaat'!B:D,3,FALSE)</f>
        <v>Ringlijn</v>
      </c>
      <c r="D40" s="185" t="s">
        <v>1092</v>
      </c>
      <c r="E40" s="274">
        <v>4</v>
      </c>
      <c r="F40" s="559" t="s">
        <v>2073</v>
      </c>
      <c r="G40" s="186">
        <v>1562</v>
      </c>
      <c r="H40" s="186">
        <v>427</v>
      </c>
      <c r="I40" s="275" t="e">
        <f t="shared" si="0"/>
        <v>#DIV/0!</v>
      </c>
      <c r="J40" s="276" t="e">
        <f t="shared" si="1"/>
        <v>#DIV/0!</v>
      </c>
      <c r="K40" s="277">
        <f t="shared" si="4"/>
        <v>0</v>
      </c>
      <c r="L40" s="278"/>
      <c r="M40" s="277" t="e">
        <f t="shared" si="6"/>
        <v>#DIV/0!</v>
      </c>
      <c r="N40" s="183" t="e">
        <f t="shared" si="2"/>
        <v>#DIV/0!</v>
      </c>
    </row>
    <row r="41" spans="1:14" s="270" customFormat="1" ht="12.75">
      <c r="A41" s="279" t="s">
        <v>5</v>
      </c>
      <c r="B41" s="280"/>
      <c r="C41" s="280"/>
      <c r="D41" s="280"/>
      <c r="E41" s="280"/>
      <c r="F41" s="280"/>
      <c r="G41" s="280"/>
      <c r="H41" s="280"/>
      <c r="I41" s="280"/>
      <c r="J41" s="280"/>
      <c r="K41" s="280"/>
      <c r="L41" s="280"/>
      <c r="M41" s="281"/>
      <c r="N41" s="271" t="e">
        <f>SUM(N19:N40)</f>
        <v>#DIV/0!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L49"/>
  <sheetViews>
    <sheetView showGridLines="0" zoomScale="87" zoomScaleNormal="87" workbookViewId="0">
      <pane ySplit="15" topLeftCell="A25" activePane="bottomLeft" state="frozen"/>
      <selection activeCell="F30" sqref="F30"/>
      <selection pane="bottomLeft" activeCell="I15" sqref="I15"/>
    </sheetView>
  </sheetViews>
  <sheetFormatPr defaultColWidth="8.7109375" defaultRowHeight="14.25"/>
  <cols>
    <col min="1" max="1" width="22.140625" style="161" customWidth="1"/>
    <col min="2" max="2" width="22.28515625" style="148" customWidth="1"/>
    <col min="3" max="3" width="20.42578125" style="148" customWidth="1"/>
    <col min="4" max="4" width="49" style="148" customWidth="1"/>
    <col min="5" max="5" width="12.140625" style="148" bestFit="1" customWidth="1"/>
    <col min="6" max="6" width="16" style="148" customWidth="1"/>
    <col min="7" max="8" width="13.42578125" style="154" customWidth="1"/>
    <col min="9" max="9" width="15" style="154" bestFit="1" customWidth="1"/>
    <col min="10" max="10" width="16.7109375" style="154" customWidth="1"/>
    <col min="11" max="11" width="17.140625" style="155" customWidth="1"/>
    <col min="12" max="12" width="11.28515625" style="155" bestFit="1" customWidth="1"/>
    <col min="13" max="16384" width="8.7109375" style="155"/>
  </cols>
  <sheetData>
    <row r="1" spans="1:12">
      <c r="A1" s="263" t="s">
        <v>2</v>
      </c>
    </row>
    <row r="2" spans="1:12" ht="17.25">
      <c r="A2" s="148"/>
      <c r="D2" s="156"/>
      <c r="E2" s="156"/>
      <c r="F2" s="156"/>
    </row>
    <row r="3" spans="1:12" ht="17.25">
      <c r="A3" s="259" t="s">
        <v>3</v>
      </c>
      <c r="C3" s="261" t="str">
        <f>'1-Inschrijfstaat'!B3</f>
        <v>GVB Infra B.V.</v>
      </c>
    </row>
    <row r="4" spans="1:12" ht="17.25">
      <c r="A4" s="259" t="s">
        <v>1093</v>
      </c>
      <c r="C4" s="266" t="str">
        <f ca="1">MID(CELL("bestandsnaam",$C$9),SEARCH("]",CELL("bestandsnaam",$C$9),1)+1,256)</f>
        <v>5-Aanvullend</v>
      </c>
      <c r="E4" s="156"/>
      <c r="F4" s="156"/>
    </row>
    <row r="5" spans="1:12" ht="17.25">
      <c r="A5" s="259" t="s">
        <v>4</v>
      </c>
      <c r="C5" s="261" t="str">
        <f>'1-Inschrijfstaat'!B5</f>
        <v>Diverse</v>
      </c>
    </row>
    <row r="6" spans="1:12" ht="17.25">
      <c r="A6" s="260" t="s">
        <v>9</v>
      </c>
      <c r="C6" s="261" t="str">
        <f>'1-Inschrijfstaat'!B6</f>
        <v>2021-61</v>
      </c>
      <c r="E6" s="156"/>
      <c r="F6" s="156"/>
    </row>
    <row r="7" spans="1:12" ht="17.25">
      <c r="A7" s="259" t="s">
        <v>6</v>
      </c>
      <c r="C7" s="261" t="str">
        <f>'1-Inschrijfstaat'!B7</f>
        <v>Naam dienstverlener</v>
      </c>
    </row>
    <row r="8" spans="1:12" ht="17.25">
      <c r="A8" s="259" t="s">
        <v>7</v>
      </c>
      <c r="C8" s="11" t="str">
        <f>'1-Inschrijfstaat'!B8</f>
        <v>1 januari 2022</v>
      </c>
      <c r="E8" s="156"/>
      <c r="F8" s="156"/>
    </row>
    <row r="9" spans="1:12" ht="16.5">
      <c r="A9" s="250" t="s">
        <v>0</v>
      </c>
      <c r="C9" s="42" t="str">
        <f>'1-Inschrijfstaat'!B9</f>
        <v>1 Technische schoonmaak Algemeen</v>
      </c>
    </row>
    <row r="10" spans="1:12" ht="17.25">
      <c r="A10" s="260" t="s">
        <v>1085</v>
      </c>
      <c r="B10" s="301"/>
      <c r="C10" s="301" t="s">
        <v>2018</v>
      </c>
      <c r="E10" s="156"/>
      <c r="F10" s="156"/>
    </row>
    <row r="11" spans="1:12" ht="16.5">
      <c r="A11" s="45"/>
      <c r="C11" s="42"/>
    </row>
    <row r="12" spans="1:12" ht="17.25">
      <c r="A12" s="267" t="s">
        <v>1690</v>
      </c>
      <c r="B12" s="268" t="s">
        <v>2012</v>
      </c>
      <c r="C12" s="268" t="s">
        <v>1687</v>
      </c>
      <c r="E12" s="156"/>
      <c r="F12" s="156"/>
    </row>
    <row r="13" spans="1:12" ht="17.25">
      <c r="A13" s="67" t="s">
        <v>1688</v>
      </c>
      <c r="B13" s="455" t="s">
        <v>2013</v>
      </c>
      <c r="C13" s="576">
        <v>0</v>
      </c>
      <c r="D13" s="86"/>
      <c r="E13" s="86"/>
      <c r="F13" s="157"/>
      <c r="G13" s="157"/>
      <c r="H13" s="96"/>
      <c r="I13" s="96"/>
      <c r="J13" s="156"/>
    </row>
    <row r="14" spans="1:12" ht="17.25">
      <c r="A14" s="94"/>
      <c r="B14" s="157"/>
      <c r="C14" s="157"/>
      <c r="D14" s="157"/>
      <c r="E14" s="157"/>
      <c r="F14" s="157"/>
      <c r="G14" s="96"/>
      <c r="H14" s="96"/>
    </row>
    <row r="15" spans="1:12" s="27" customFormat="1" ht="63.75">
      <c r="A15" s="284" t="s">
        <v>1976</v>
      </c>
      <c r="B15" s="284" t="s">
        <v>290</v>
      </c>
      <c r="C15" s="284" t="s">
        <v>13</v>
      </c>
      <c r="D15" s="285" t="s">
        <v>1109</v>
      </c>
      <c r="E15" s="286" t="s">
        <v>1095</v>
      </c>
      <c r="F15" s="286" t="s">
        <v>1982</v>
      </c>
      <c r="G15" s="287" t="s">
        <v>2139</v>
      </c>
      <c r="H15" s="287" t="s">
        <v>1983</v>
      </c>
      <c r="I15" s="640" t="s">
        <v>1687</v>
      </c>
      <c r="J15" s="254" t="s">
        <v>1304</v>
      </c>
    </row>
    <row r="16" spans="1:12" ht="13.5">
      <c r="A16" s="543">
        <v>102</v>
      </c>
      <c r="B16" s="544" t="s">
        <v>849</v>
      </c>
      <c r="C16" s="545" t="str">
        <f>VLOOKUP(A16,'3-Ruimtestaat'!B:D,3,FALSE)</f>
        <v>Oostlijn ondergronds</v>
      </c>
      <c r="D16" s="546" t="s">
        <v>1356</v>
      </c>
      <c r="E16" s="547">
        <v>5</v>
      </c>
      <c r="F16" s="158">
        <v>1</v>
      </c>
      <c r="G16" s="282"/>
      <c r="H16" s="282"/>
      <c r="I16" s="159">
        <f t="shared" ref="I16:I19" si="0">$C$13</f>
        <v>0</v>
      </c>
      <c r="J16" s="159">
        <f>F16*E16*(G16+H16)*I16</f>
        <v>0</v>
      </c>
      <c r="K16" s="27"/>
      <c r="L16" s="27"/>
    </row>
    <row r="17" spans="1:12" ht="13.5">
      <c r="A17" s="543">
        <v>103</v>
      </c>
      <c r="B17" s="544" t="s">
        <v>717</v>
      </c>
      <c r="C17" s="545" t="str">
        <f>VLOOKUP(A17,'3-Ruimtestaat'!B:D,3,FALSE)</f>
        <v>Oostlijn ondergronds</v>
      </c>
      <c r="D17" s="546" t="s">
        <v>1356</v>
      </c>
      <c r="E17" s="547">
        <v>6</v>
      </c>
      <c r="F17" s="158">
        <v>1</v>
      </c>
      <c r="G17" s="282"/>
      <c r="H17" s="282"/>
      <c r="I17" s="159">
        <f t="shared" si="0"/>
        <v>0</v>
      </c>
      <c r="J17" s="159">
        <f t="shared" ref="J17:J47" si="1">F17*E17*(G17+H17)*I17</f>
        <v>0</v>
      </c>
      <c r="K17" s="27"/>
      <c r="L17" s="27"/>
    </row>
    <row r="18" spans="1:12" ht="13.5">
      <c r="A18" s="543">
        <v>104</v>
      </c>
      <c r="B18" s="544" t="s">
        <v>165</v>
      </c>
      <c r="C18" s="545" t="str">
        <f>VLOOKUP(A18,'3-Ruimtestaat'!B:D,3,FALSE)</f>
        <v>Oostlijn ondergronds</v>
      </c>
      <c r="D18" s="546" t="s">
        <v>1356</v>
      </c>
      <c r="E18" s="547">
        <v>5</v>
      </c>
      <c r="F18" s="158">
        <v>1</v>
      </c>
      <c r="G18" s="282"/>
      <c r="H18" s="282"/>
      <c r="I18" s="159">
        <f t="shared" si="0"/>
        <v>0</v>
      </c>
      <c r="J18" s="159">
        <f t="shared" si="1"/>
        <v>0</v>
      </c>
      <c r="K18" s="27"/>
      <c r="L18" s="27"/>
    </row>
    <row r="19" spans="1:12" ht="13.5">
      <c r="A19" s="543">
        <v>105</v>
      </c>
      <c r="B19" s="544" t="s">
        <v>850</v>
      </c>
      <c r="C19" s="545" t="str">
        <f>VLOOKUP(A19,'3-Ruimtestaat'!B:D,3,FALSE)</f>
        <v>Oostlijn ondergronds</v>
      </c>
      <c r="D19" s="546" t="s">
        <v>1356</v>
      </c>
      <c r="E19" s="547">
        <v>6</v>
      </c>
      <c r="F19" s="158">
        <v>1</v>
      </c>
      <c r="G19" s="282"/>
      <c r="H19" s="282"/>
      <c r="I19" s="159">
        <f t="shared" si="0"/>
        <v>0</v>
      </c>
      <c r="J19" s="159">
        <f t="shared" si="1"/>
        <v>0</v>
      </c>
      <c r="K19" s="27"/>
      <c r="L19" s="27"/>
    </row>
    <row r="20" spans="1:12" ht="13.5">
      <c r="A20" s="543">
        <v>107</v>
      </c>
      <c r="B20" s="544" t="s">
        <v>288</v>
      </c>
      <c r="C20" s="545" t="str">
        <f>VLOOKUP(A20,'3-Ruimtestaat'!B:D,3,FALSE)</f>
        <v>Oostlijn bovengronds</v>
      </c>
      <c r="D20" s="546" t="s">
        <v>1356</v>
      </c>
      <c r="E20" s="547">
        <v>2</v>
      </c>
      <c r="F20" s="158">
        <v>1</v>
      </c>
      <c r="G20" s="282"/>
      <c r="H20" s="282"/>
      <c r="I20" s="159">
        <f t="shared" ref="I20:I47" si="2">$C$13</f>
        <v>0</v>
      </c>
      <c r="J20" s="159">
        <f t="shared" si="1"/>
        <v>0</v>
      </c>
      <c r="K20" s="27"/>
      <c r="L20" s="27"/>
    </row>
    <row r="21" spans="1:12" ht="13.5">
      <c r="A21" s="543">
        <v>108</v>
      </c>
      <c r="B21" s="544" t="s">
        <v>254</v>
      </c>
      <c r="C21" s="545" t="str">
        <f>VLOOKUP(A21,'3-Ruimtestaat'!B:D,3,FALSE)</f>
        <v>Oostlijn bovengronds</v>
      </c>
      <c r="D21" s="546" t="s">
        <v>1356</v>
      </c>
      <c r="E21" s="547">
        <v>2</v>
      </c>
      <c r="F21" s="158">
        <v>1</v>
      </c>
      <c r="G21" s="282"/>
      <c r="H21" s="282"/>
      <c r="I21" s="159">
        <f t="shared" si="2"/>
        <v>0</v>
      </c>
      <c r="J21" s="159">
        <f t="shared" si="1"/>
        <v>0</v>
      </c>
      <c r="K21" s="27"/>
      <c r="L21" s="27"/>
    </row>
    <row r="22" spans="1:12" ht="13.5">
      <c r="A22" s="543">
        <v>110</v>
      </c>
      <c r="B22" s="544" t="s">
        <v>103</v>
      </c>
      <c r="C22" s="545" t="str">
        <f>VLOOKUP(A22,'3-Ruimtestaat'!B:D,3,FALSE)</f>
        <v>Oostlijn bovengronds</v>
      </c>
      <c r="D22" s="546" t="s">
        <v>1356</v>
      </c>
      <c r="E22" s="547">
        <v>2</v>
      </c>
      <c r="F22" s="158">
        <v>1</v>
      </c>
      <c r="G22" s="282"/>
      <c r="H22" s="282"/>
      <c r="I22" s="159">
        <f t="shared" si="2"/>
        <v>0</v>
      </c>
      <c r="J22" s="159">
        <f t="shared" si="1"/>
        <v>0</v>
      </c>
      <c r="K22" s="27"/>
      <c r="L22" s="27"/>
    </row>
    <row r="23" spans="1:12" ht="13.5">
      <c r="A23" s="543">
        <v>111</v>
      </c>
      <c r="B23" s="544" t="s">
        <v>852</v>
      </c>
      <c r="C23" s="545" t="str">
        <f>VLOOKUP(A23,'3-Ruimtestaat'!B:D,3,FALSE)</f>
        <v>Oostlijn bovengronds</v>
      </c>
      <c r="D23" s="546" t="s">
        <v>1356</v>
      </c>
      <c r="E23" s="547">
        <v>3</v>
      </c>
      <c r="F23" s="158">
        <v>1</v>
      </c>
      <c r="G23" s="282"/>
      <c r="H23" s="282"/>
      <c r="I23" s="159">
        <f t="shared" si="2"/>
        <v>0</v>
      </c>
      <c r="J23" s="159">
        <f t="shared" si="1"/>
        <v>0</v>
      </c>
      <c r="K23" s="27"/>
      <c r="L23" s="27"/>
    </row>
    <row r="24" spans="1:12" ht="13.5">
      <c r="A24" s="543">
        <v>112</v>
      </c>
      <c r="B24" s="544" t="s">
        <v>140</v>
      </c>
      <c r="C24" s="545" t="str">
        <f>VLOOKUP(A24,'3-Ruimtestaat'!B:D,3,FALSE)</f>
        <v>Oostlijn bovengronds</v>
      </c>
      <c r="D24" s="546" t="s">
        <v>1356</v>
      </c>
      <c r="E24" s="547">
        <v>2</v>
      </c>
      <c r="F24" s="158">
        <v>1</v>
      </c>
      <c r="G24" s="282"/>
      <c r="H24" s="282"/>
      <c r="I24" s="159">
        <f t="shared" si="2"/>
        <v>0</v>
      </c>
      <c r="J24" s="159">
        <f t="shared" si="1"/>
        <v>0</v>
      </c>
      <c r="K24" s="27"/>
      <c r="L24" s="27"/>
    </row>
    <row r="25" spans="1:12" ht="13.5">
      <c r="A25" s="543">
        <v>113</v>
      </c>
      <c r="B25" s="544" t="s">
        <v>853</v>
      </c>
      <c r="C25" s="545" t="str">
        <f>VLOOKUP(A25,'3-Ruimtestaat'!B:D,3,FALSE)</f>
        <v>Oostlijn bovengronds</v>
      </c>
      <c r="D25" s="546" t="s">
        <v>1356</v>
      </c>
      <c r="E25" s="547">
        <v>2</v>
      </c>
      <c r="F25" s="158">
        <v>1</v>
      </c>
      <c r="G25" s="282"/>
      <c r="H25" s="282"/>
      <c r="I25" s="159">
        <f t="shared" si="2"/>
        <v>0</v>
      </c>
      <c r="J25" s="159">
        <f t="shared" si="1"/>
        <v>0</v>
      </c>
      <c r="K25" s="27"/>
      <c r="L25" s="27"/>
    </row>
    <row r="26" spans="1:12" ht="13.5">
      <c r="A26" s="543">
        <v>114</v>
      </c>
      <c r="B26" s="544" t="s">
        <v>21</v>
      </c>
      <c r="C26" s="545" t="str">
        <f>VLOOKUP(A26,'3-Ruimtestaat'!B:D,3,FALSE)</f>
        <v>Oostlijn bovengronds</v>
      </c>
      <c r="D26" s="546" t="s">
        <v>1356</v>
      </c>
      <c r="E26" s="547">
        <v>2</v>
      </c>
      <c r="F26" s="158">
        <v>1</v>
      </c>
      <c r="G26" s="282"/>
      <c r="H26" s="282"/>
      <c r="I26" s="159">
        <f t="shared" si="2"/>
        <v>0</v>
      </c>
      <c r="J26" s="159">
        <f t="shared" si="1"/>
        <v>0</v>
      </c>
      <c r="K26" s="27"/>
      <c r="L26" s="27"/>
    </row>
    <row r="27" spans="1:12" ht="13.5">
      <c r="A27" s="543">
        <v>115</v>
      </c>
      <c r="B27" s="544" t="s">
        <v>73</v>
      </c>
      <c r="C27" s="545" t="str">
        <f>VLOOKUP(A27,'3-Ruimtestaat'!B:D,3,FALSE)</f>
        <v>Oostlijn Bovengronds</v>
      </c>
      <c r="D27" s="546" t="s">
        <v>1356</v>
      </c>
      <c r="E27" s="547">
        <v>2</v>
      </c>
      <c r="F27" s="158">
        <v>1</v>
      </c>
      <c r="G27" s="282"/>
      <c r="H27" s="282"/>
      <c r="I27" s="159">
        <f t="shared" si="2"/>
        <v>0</v>
      </c>
      <c r="J27" s="159">
        <f t="shared" si="1"/>
        <v>0</v>
      </c>
      <c r="K27" s="27"/>
      <c r="L27" s="27"/>
    </row>
    <row r="28" spans="1:12" ht="13.5">
      <c r="A28" s="543">
        <v>116</v>
      </c>
      <c r="B28" s="544" t="s">
        <v>237</v>
      </c>
      <c r="C28" s="545" t="str">
        <f>VLOOKUP(A28,'3-Ruimtestaat'!B:D,3,FALSE)</f>
        <v>Oostlijn bovengronds</v>
      </c>
      <c r="D28" s="546" t="s">
        <v>1356</v>
      </c>
      <c r="E28" s="547">
        <v>1</v>
      </c>
      <c r="F28" s="158">
        <v>1</v>
      </c>
      <c r="G28" s="282"/>
      <c r="H28" s="282"/>
      <c r="I28" s="159">
        <f t="shared" si="2"/>
        <v>0</v>
      </c>
      <c r="J28" s="159">
        <f t="shared" si="1"/>
        <v>0</v>
      </c>
      <c r="K28" s="27"/>
      <c r="L28" s="27"/>
    </row>
    <row r="29" spans="1:12" ht="13.5">
      <c r="A29" s="543">
        <v>117</v>
      </c>
      <c r="B29" s="544" t="s">
        <v>296</v>
      </c>
      <c r="C29" s="545" t="str">
        <f>VLOOKUP(A29,'3-Ruimtestaat'!B:D,3,FALSE)</f>
        <v>Oostlijn bovengronds</v>
      </c>
      <c r="D29" s="546" t="s">
        <v>1356</v>
      </c>
      <c r="E29" s="547">
        <v>2</v>
      </c>
      <c r="F29" s="158">
        <v>1</v>
      </c>
      <c r="G29" s="282"/>
      <c r="H29" s="282"/>
      <c r="I29" s="159">
        <f t="shared" si="2"/>
        <v>0</v>
      </c>
      <c r="J29" s="159">
        <f t="shared" si="1"/>
        <v>0</v>
      </c>
      <c r="K29" s="27"/>
      <c r="L29" s="27"/>
    </row>
    <row r="30" spans="1:12" ht="13.5">
      <c r="A30" s="543">
        <v>118</v>
      </c>
      <c r="B30" s="544" t="s">
        <v>198</v>
      </c>
      <c r="C30" s="545" t="str">
        <f>VLOOKUP(A30,'3-Ruimtestaat'!B:D,3,FALSE)</f>
        <v>Oostlijn bovengronds</v>
      </c>
      <c r="D30" s="546" t="s">
        <v>1356</v>
      </c>
      <c r="E30" s="547">
        <v>1</v>
      </c>
      <c r="F30" s="158">
        <v>1</v>
      </c>
      <c r="G30" s="282"/>
      <c r="H30" s="282"/>
      <c r="I30" s="159">
        <f t="shared" si="2"/>
        <v>0</v>
      </c>
      <c r="J30" s="159">
        <f t="shared" si="1"/>
        <v>0</v>
      </c>
      <c r="K30" s="27"/>
      <c r="L30" s="27"/>
    </row>
    <row r="31" spans="1:12" ht="13.5">
      <c r="A31" s="543">
        <v>119</v>
      </c>
      <c r="B31" s="544" t="s">
        <v>310</v>
      </c>
      <c r="C31" s="545" t="str">
        <f>VLOOKUP(A31,'3-Ruimtestaat'!B:D,3,FALSE)</f>
        <v>Oostlijn bovengronds</v>
      </c>
      <c r="D31" s="546" t="s">
        <v>1356</v>
      </c>
      <c r="E31" s="547">
        <v>3</v>
      </c>
      <c r="F31" s="158">
        <v>1</v>
      </c>
      <c r="G31" s="282"/>
      <c r="H31" s="282"/>
      <c r="I31" s="159">
        <f t="shared" si="2"/>
        <v>0</v>
      </c>
      <c r="J31" s="159">
        <f t="shared" si="1"/>
        <v>0</v>
      </c>
      <c r="K31" s="27"/>
      <c r="L31" s="27"/>
    </row>
    <row r="32" spans="1:12" ht="13.5">
      <c r="A32" s="543">
        <v>120</v>
      </c>
      <c r="B32" s="544" t="s">
        <v>300</v>
      </c>
      <c r="C32" s="545" t="str">
        <f>VLOOKUP(A32,'3-Ruimtestaat'!B:D,3,FALSE)</f>
        <v>Oostlijn bovengronds</v>
      </c>
      <c r="D32" s="546" t="s">
        <v>1356</v>
      </c>
      <c r="E32" s="547">
        <v>3</v>
      </c>
      <c r="F32" s="158">
        <v>1</v>
      </c>
      <c r="G32" s="282"/>
      <c r="H32" s="282"/>
      <c r="I32" s="159">
        <f t="shared" si="2"/>
        <v>0</v>
      </c>
      <c r="J32" s="159">
        <f t="shared" si="1"/>
        <v>0</v>
      </c>
      <c r="K32" s="27"/>
      <c r="L32" s="27"/>
    </row>
    <row r="33" spans="1:12" ht="13.5">
      <c r="A33" s="543">
        <v>121</v>
      </c>
      <c r="B33" s="544" t="s">
        <v>181</v>
      </c>
      <c r="C33" s="545" t="str">
        <f>VLOOKUP(A33,'3-Ruimtestaat'!B:D,3,FALSE)</f>
        <v>Oostlijn bovengronds</v>
      </c>
      <c r="D33" s="546" t="s">
        <v>1356</v>
      </c>
      <c r="E33" s="547">
        <v>1</v>
      </c>
      <c r="F33" s="158">
        <v>1</v>
      </c>
      <c r="G33" s="282"/>
      <c r="H33" s="282"/>
      <c r="I33" s="159">
        <f t="shared" si="2"/>
        <v>0</v>
      </c>
      <c r="J33" s="159">
        <f t="shared" si="1"/>
        <v>0</v>
      </c>
      <c r="K33" s="27"/>
      <c r="L33" s="27"/>
    </row>
    <row r="34" spans="1:12" ht="13.5">
      <c r="A34" s="543">
        <v>1002</v>
      </c>
      <c r="B34" s="544" t="s">
        <v>1069</v>
      </c>
      <c r="C34" s="545" t="str">
        <f>VLOOKUP(A34,'3-Ruimtestaat'!B:D,3,FALSE)</f>
        <v>Ijtram</v>
      </c>
      <c r="D34" s="546" t="s">
        <v>1356</v>
      </c>
      <c r="E34" s="547">
        <v>2</v>
      </c>
      <c r="F34" s="158">
        <v>1</v>
      </c>
      <c r="G34" s="282"/>
      <c r="H34" s="282"/>
      <c r="I34" s="159">
        <f t="shared" si="2"/>
        <v>0</v>
      </c>
      <c r="J34" s="159">
        <f t="shared" si="1"/>
        <v>0</v>
      </c>
      <c r="K34" s="27"/>
      <c r="L34" s="27"/>
    </row>
    <row r="35" spans="1:12" ht="13.5">
      <c r="A35" s="548">
        <v>302</v>
      </c>
      <c r="B35" s="549" t="s">
        <v>1393</v>
      </c>
      <c r="C35" s="545" t="str">
        <f>VLOOKUP(A35,'3-Ruimtestaat'!B:D,3,FALSE)</f>
        <v>Ringlijn</v>
      </c>
      <c r="D35" s="550" t="s">
        <v>1356</v>
      </c>
      <c r="E35" s="547">
        <v>1</v>
      </c>
      <c r="F35" s="158">
        <v>1</v>
      </c>
      <c r="G35" s="282"/>
      <c r="H35" s="283"/>
      <c r="I35" s="160">
        <f t="shared" si="2"/>
        <v>0</v>
      </c>
      <c r="J35" s="159">
        <f t="shared" si="1"/>
        <v>0</v>
      </c>
      <c r="K35" s="27"/>
      <c r="L35" s="27"/>
    </row>
    <row r="36" spans="1:12" ht="13.5">
      <c r="A36" s="548">
        <v>303</v>
      </c>
      <c r="B36" s="551" t="s">
        <v>133</v>
      </c>
      <c r="C36" s="545" t="str">
        <f>VLOOKUP(A36,'3-Ruimtestaat'!B:D,3,FALSE)</f>
        <v>Ringlijn</v>
      </c>
      <c r="D36" s="550" t="s">
        <v>1356</v>
      </c>
      <c r="E36" s="547">
        <v>2</v>
      </c>
      <c r="F36" s="158">
        <v>1</v>
      </c>
      <c r="G36" s="282"/>
      <c r="H36" s="283"/>
      <c r="I36" s="160">
        <f t="shared" si="2"/>
        <v>0</v>
      </c>
      <c r="J36" s="159">
        <f t="shared" si="1"/>
        <v>0</v>
      </c>
      <c r="K36" s="27"/>
      <c r="L36" s="27"/>
    </row>
    <row r="37" spans="1:12" ht="13.5">
      <c r="A37" s="548">
        <v>304</v>
      </c>
      <c r="B37" s="551" t="s">
        <v>1397</v>
      </c>
      <c r="C37" s="545" t="str">
        <f>VLOOKUP(A37,'3-Ruimtestaat'!B:D,3,FALSE)</f>
        <v>Ringlijn</v>
      </c>
      <c r="D37" s="550" t="s">
        <v>1356</v>
      </c>
      <c r="E37" s="547">
        <v>2</v>
      </c>
      <c r="F37" s="158">
        <v>1</v>
      </c>
      <c r="G37" s="282"/>
      <c r="H37" s="283"/>
      <c r="I37" s="160">
        <f t="shared" si="2"/>
        <v>0</v>
      </c>
      <c r="J37" s="159">
        <f t="shared" si="1"/>
        <v>0</v>
      </c>
      <c r="K37" s="27"/>
      <c r="L37" s="27"/>
    </row>
    <row r="38" spans="1:12" ht="13.5">
      <c r="A38" s="548">
        <v>305</v>
      </c>
      <c r="B38" s="549" t="s">
        <v>1400</v>
      </c>
      <c r="C38" s="545" t="str">
        <f>VLOOKUP(A38,'3-Ruimtestaat'!B:D,3,FALSE)</f>
        <v>Ringlijn</v>
      </c>
      <c r="D38" s="550" t="s">
        <v>1356</v>
      </c>
      <c r="E38" s="547">
        <v>1</v>
      </c>
      <c r="F38" s="158">
        <v>1</v>
      </c>
      <c r="G38" s="282"/>
      <c r="H38" s="283"/>
      <c r="I38" s="160">
        <f t="shared" si="2"/>
        <v>0</v>
      </c>
      <c r="J38" s="159">
        <f t="shared" si="1"/>
        <v>0</v>
      </c>
      <c r="K38" s="27"/>
      <c r="L38" s="27"/>
    </row>
    <row r="39" spans="1:12" ht="13.5">
      <c r="A39" s="548">
        <v>306</v>
      </c>
      <c r="B39" s="549" t="s">
        <v>1401</v>
      </c>
      <c r="C39" s="545" t="str">
        <f>VLOOKUP(A39,'3-Ruimtestaat'!B:D,3,FALSE)</f>
        <v>Ringlijn</v>
      </c>
      <c r="D39" s="550" t="s">
        <v>1356</v>
      </c>
      <c r="E39" s="547">
        <v>1</v>
      </c>
      <c r="F39" s="158">
        <v>1</v>
      </c>
      <c r="G39" s="282"/>
      <c r="H39" s="283"/>
      <c r="I39" s="160">
        <f t="shared" si="2"/>
        <v>0</v>
      </c>
      <c r="J39" s="159">
        <f t="shared" si="1"/>
        <v>0</v>
      </c>
      <c r="K39" s="27"/>
      <c r="L39" s="27"/>
    </row>
    <row r="40" spans="1:12" ht="13.5">
      <c r="A40" s="548">
        <v>307</v>
      </c>
      <c r="B40" s="549" t="s">
        <v>1395</v>
      </c>
      <c r="C40" s="545" t="str">
        <f>VLOOKUP(A40,'3-Ruimtestaat'!B:D,3,FALSE)</f>
        <v>Ringlijn</v>
      </c>
      <c r="D40" s="550" t="s">
        <v>1356</v>
      </c>
      <c r="E40" s="547">
        <v>3</v>
      </c>
      <c r="F40" s="158">
        <v>1</v>
      </c>
      <c r="G40" s="282"/>
      <c r="H40" s="283"/>
      <c r="I40" s="160">
        <f t="shared" si="2"/>
        <v>0</v>
      </c>
      <c r="J40" s="159">
        <f t="shared" si="1"/>
        <v>0</v>
      </c>
      <c r="K40" s="27"/>
      <c r="L40" s="27"/>
    </row>
    <row r="41" spans="1:12" ht="13.5">
      <c r="A41" s="548">
        <v>308</v>
      </c>
      <c r="B41" s="549" t="s">
        <v>1402</v>
      </c>
      <c r="C41" s="545" t="str">
        <f>VLOOKUP(A41,'3-Ruimtestaat'!B:D,3,FALSE)</f>
        <v>Ringlijn</v>
      </c>
      <c r="D41" s="550" t="s">
        <v>1356</v>
      </c>
      <c r="E41" s="547">
        <v>1</v>
      </c>
      <c r="F41" s="158">
        <v>1</v>
      </c>
      <c r="G41" s="282"/>
      <c r="H41" s="283"/>
      <c r="I41" s="160">
        <f t="shared" si="2"/>
        <v>0</v>
      </c>
      <c r="J41" s="159">
        <f t="shared" si="1"/>
        <v>0</v>
      </c>
      <c r="K41" s="27"/>
      <c r="L41" s="27"/>
    </row>
    <row r="42" spans="1:12" ht="13.5">
      <c r="A42" s="548">
        <v>309</v>
      </c>
      <c r="B42" s="549" t="s">
        <v>1398</v>
      </c>
      <c r="C42" s="545" t="str">
        <f>VLOOKUP(A42,'3-Ruimtestaat'!B:D,3,FALSE)</f>
        <v>Ringlijn</v>
      </c>
      <c r="D42" s="550" t="s">
        <v>1356</v>
      </c>
      <c r="E42" s="547">
        <v>1</v>
      </c>
      <c r="F42" s="158">
        <v>1</v>
      </c>
      <c r="G42" s="282"/>
      <c r="H42" s="283"/>
      <c r="I42" s="160">
        <f t="shared" si="2"/>
        <v>0</v>
      </c>
      <c r="J42" s="159">
        <f t="shared" si="1"/>
        <v>0</v>
      </c>
      <c r="K42" s="27"/>
      <c r="L42" s="27"/>
    </row>
    <row r="43" spans="1:12" ht="13.5">
      <c r="A43" s="548">
        <v>310</v>
      </c>
      <c r="B43" s="549" t="s">
        <v>1399</v>
      </c>
      <c r="C43" s="545" t="str">
        <f>VLOOKUP(A43,'3-Ruimtestaat'!B:D,3,FALSE)</f>
        <v>Ringlijn</v>
      </c>
      <c r="D43" s="550" t="s">
        <v>1356</v>
      </c>
      <c r="E43" s="547">
        <v>1</v>
      </c>
      <c r="F43" s="158">
        <v>1</v>
      </c>
      <c r="G43" s="282"/>
      <c r="H43" s="283"/>
      <c r="I43" s="160">
        <f t="shared" si="2"/>
        <v>0</v>
      </c>
      <c r="J43" s="159">
        <f t="shared" si="1"/>
        <v>0</v>
      </c>
      <c r="K43" s="27"/>
      <c r="L43" s="27"/>
    </row>
    <row r="44" spans="1:12" ht="13.5">
      <c r="A44" s="552">
        <v>311</v>
      </c>
      <c r="B44" s="553" t="s">
        <v>1396</v>
      </c>
      <c r="C44" s="554" t="str">
        <f>VLOOKUP(A44,'3-Ruimtestaat'!B:D,3,FALSE)</f>
        <v>Ringlijn</v>
      </c>
      <c r="D44" s="555" t="s">
        <v>1356</v>
      </c>
      <c r="E44" s="524">
        <v>2</v>
      </c>
      <c r="F44" s="291">
        <v>1</v>
      </c>
      <c r="G44" s="282"/>
      <c r="H44" s="292"/>
      <c r="I44" s="293">
        <f t="shared" si="2"/>
        <v>0</v>
      </c>
      <c r="J44" s="159">
        <f t="shared" si="1"/>
        <v>0</v>
      </c>
      <c r="K44" s="27"/>
      <c r="L44" s="27"/>
    </row>
    <row r="45" spans="1:12" ht="13.5">
      <c r="A45" s="570">
        <v>103</v>
      </c>
      <c r="B45" s="571" t="s">
        <v>717</v>
      </c>
      <c r="C45" s="563" t="str">
        <f>VLOOKUP(A45,'3-Ruimtestaat'!B:D,3,FALSE)</f>
        <v>Oostlijn ondergronds</v>
      </c>
      <c r="D45" s="564" t="s">
        <v>2052</v>
      </c>
      <c r="E45" s="523">
        <v>2</v>
      </c>
      <c r="F45" s="523">
        <v>12</v>
      </c>
      <c r="G45" s="577"/>
      <c r="H45" s="578"/>
      <c r="I45" s="293">
        <f t="shared" si="2"/>
        <v>0</v>
      </c>
      <c r="J45" s="159">
        <f t="shared" si="1"/>
        <v>0</v>
      </c>
      <c r="K45" s="27"/>
      <c r="L45" s="27"/>
    </row>
    <row r="46" spans="1:12" ht="13.5">
      <c r="A46" s="552" t="s">
        <v>2141</v>
      </c>
      <c r="B46" s="553" t="s">
        <v>1078</v>
      </c>
      <c r="C46" s="635" t="s">
        <v>1078</v>
      </c>
      <c r="D46" s="636" t="s">
        <v>2138</v>
      </c>
      <c r="E46" s="291">
        <v>17</v>
      </c>
      <c r="F46" s="291">
        <v>12</v>
      </c>
      <c r="G46" s="577"/>
      <c r="H46" s="292"/>
      <c r="I46" s="293">
        <f t="shared" si="2"/>
        <v>0</v>
      </c>
      <c r="J46" s="159">
        <f t="shared" si="1"/>
        <v>0</v>
      </c>
      <c r="K46" s="27"/>
      <c r="L46" s="27"/>
    </row>
    <row r="47" spans="1:12" ht="13.5">
      <c r="A47" s="552" t="s">
        <v>2140</v>
      </c>
      <c r="B47" s="553" t="s">
        <v>2050</v>
      </c>
      <c r="C47" s="545" t="s">
        <v>180</v>
      </c>
      <c r="D47" s="555" t="s">
        <v>2051</v>
      </c>
      <c r="E47" s="524">
        <v>5</v>
      </c>
      <c r="F47" s="291">
        <v>2</v>
      </c>
      <c r="G47" s="282"/>
      <c r="H47" s="292"/>
      <c r="I47" s="293">
        <f t="shared" si="2"/>
        <v>0</v>
      </c>
      <c r="J47" s="159">
        <f t="shared" si="1"/>
        <v>0</v>
      </c>
      <c r="K47" s="27"/>
      <c r="L47" s="27"/>
    </row>
    <row r="48" spans="1:12" ht="13.5">
      <c r="A48" s="294" t="s">
        <v>5</v>
      </c>
      <c r="B48" s="295"/>
      <c r="C48" s="295"/>
      <c r="D48" s="295"/>
      <c r="E48" s="295"/>
      <c r="F48" s="296"/>
      <c r="G48" s="296"/>
      <c r="H48" s="296"/>
      <c r="I48" s="297"/>
      <c r="J48" s="288">
        <f>SUM(J16:J47)</f>
        <v>0</v>
      </c>
      <c r="K48" s="27"/>
      <c r="L48" s="27"/>
    </row>
    <row r="49" spans="11:12">
      <c r="K49" s="27"/>
      <c r="L49" s="27"/>
    </row>
  </sheetData>
  <autoFilter ref="A15:J15" xr:uid="{F4D34306-0F5A-40F0-ADF4-49EE431F54CD}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484C-8E0B-4411-A373-9E0ADAB48A2E}">
  <sheetPr>
    <tabColor theme="0" tint="-0.14999847407452621"/>
  </sheetPr>
  <dimension ref="A1:U57"/>
  <sheetViews>
    <sheetView showGridLines="0" zoomScale="70" zoomScaleNormal="70" workbookViewId="0">
      <pane ySplit="10" topLeftCell="A11" activePane="bottomLeft" state="frozen"/>
      <selection activeCell="F30" sqref="F30"/>
      <selection pane="bottomLeft" activeCell="I15" sqref="I15"/>
    </sheetView>
  </sheetViews>
  <sheetFormatPr defaultColWidth="8.7109375" defaultRowHeight="14.25"/>
  <cols>
    <col min="1" max="1" width="8.7109375" style="155"/>
    <col min="2" max="2" width="20.140625" style="155" bestFit="1" customWidth="1"/>
    <col min="3" max="3" width="27.85546875" style="154" bestFit="1" customWidth="1"/>
    <col min="4" max="4" width="18.140625" style="425" bestFit="1" customWidth="1"/>
    <col min="5" max="5" width="7.28515625" style="425" bestFit="1" customWidth="1"/>
    <col min="6" max="6" width="12.85546875" style="425" bestFit="1" customWidth="1"/>
    <col min="7" max="7" width="14.42578125" style="425" bestFit="1" customWidth="1"/>
    <col min="8" max="8" width="8.5703125" style="425" bestFit="1" customWidth="1"/>
    <col min="9" max="9" width="10.28515625" style="154" bestFit="1" customWidth="1"/>
    <col min="10" max="10" width="13.140625" style="154" bestFit="1" customWidth="1"/>
    <col min="11" max="11" width="11.5703125" style="154" customWidth="1"/>
    <col min="12" max="12" width="14.85546875" style="155" bestFit="1" customWidth="1"/>
    <col min="13" max="13" width="17.140625" style="155" customWidth="1"/>
    <col min="14" max="16384" width="8.7109375" style="155"/>
  </cols>
  <sheetData>
    <row r="1" spans="1:21">
      <c r="A1" s="675" t="s">
        <v>2</v>
      </c>
      <c r="B1" s="675"/>
    </row>
    <row r="2" spans="1:21" ht="17.25">
      <c r="A2" s="425"/>
      <c r="F2" s="452"/>
      <c r="G2" s="452"/>
      <c r="H2" s="452"/>
    </row>
    <row r="3" spans="1:21" ht="17.25">
      <c r="A3" s="260" t="s">
        <v>3</v>
      </c>
      <c r="C3" s="301" t="str">
        <f>'1-Inschrijfstaat'!B3</f>
        <v>GVB Infra B.V.</v>
      </c>
      <c r="G3" s="453"/>
      <c r="H3" s="452"/>
    </row>
    <row r="4" spans="1:21" ht="17.25">
      <c r="A4" s="260" t="s">
        <v>8</v>
      </c>
      <c r="C4" s="241" t="str">
        <f ca="1">MID(CELL("bestandsnaam",$C$17),SEARCH("]",CELL("bestandsnaam",$C$17),1)+1,256)</f>
        <v>6-Liftbodems</v>
      </c>
      <c r="G4" s="454"/>
      <c r="H4" s="452"/>
      <c r="I4" s="446"/>
      <c r="J4" s="446"/>
      <c r="K4" s="446"/>
    </row>
    <row r="5" spans="1:21" ht="17.25">
      <c r="A5" s="260" t="s">
        <v>4</v>
      </c>
      <c r="C5" s="301" t="str">
        <f>'1-Inschrijfstaat'!B5</f>
        <v>Diverse</v>
      </c>
      <c r="G5" s="453"/>
      <c r="H5" s="452"/>
      <c r="I5" s="446"/>
      <c r="J5" s="446"/>
      <c r="K5" s="446"/>
    </row>
    <row r="6" spans="1:21" ht="17.25">
      <c r="A6" s="260" t="s">
        <v>9</v>
      </c>
      <c r="C6" s="301" t="str">
        <f>'1-Inschrijfstaat'!B6</f>
        <v>2021-61</v>
      </c>
      <c r="G6" s="453"/>
      <c r="H6" s="450"/>
      <c r="I6" s="446"/>
      <c r="J6" s="446"/>
      <c r="K6" s="446"/>
    </row>
    <row r="7" spans="1:21" ht="17.25">
      <c r="A7" s="260" t="s">
        <v>6</v>
      </c>
      <c r="C7" s="301" t="str">
        <f>'1-Inschrijfstaat'!B7</f>
        <v>Naam dienstverlener</v>
      </c>
      <c r="G7" s="453"/>
      <c r="H7" s="450"/>
      <c r="I7" s="446"/>
      <c r="J7" s="446"/>
      <c r="K7" s="452"/>
    </row>
    <row r="8" spans="1:21" ht="17.25">
      <c r="A8" s="260" t="s">
        <v>7</v>
      </c>
      <c r="C8" s="11" t="str">
        <f>'1-Inschrijfstaat'!B8</f>
        <v>1 januari 2022</v>
      </c>
      <c r="G8" s="451"/>
      <c r="H8" s="450"/>
      <c r="I8" s="446"/>
      <c r="J8" s="446"/>
      <c r="K8" s="452"/>
    </row>
    <row r="9" spans="1:21" ht="17.25">
      <c r="A9" s="260" t="s">
        <v>0</v>
      </c>
      <c r="C9" s="12" t="str">
        <f>'1-Inschrijfstaat'!B9</f>
        <v>1 Technische schoonmaak Algemeen</v>
      </c>
      <c r="G9" s="451"/>
      <c r="H9" s="450"/>
      <c r="I9" s="446"/>
      <c r="J9" s="446"/>
      <c r="K9" s="452"/>
    </row>
    <row r="10" spans="1:21" ht="17.25">
      <c r="A10" s="260" t="s">
        <v>1085</v>
      </c>
      <c r="B10" s="86"/>
      <c r="C10" s="301" t="s">
        <v>2018</v>
      </c>
      <c r="G10" s="451"/>
      <c r="H10" s="450"/>
      <c r="I10" s="446"/>
      <c r="J10" s="446"/>
      <c r="K10" s="452"/>
    </row>
    <row r="11" spans="1:21" ht="17.25">
      <c r="A11" s="448"/>
      <c r="E11" s="449"/>
      <c r="F11" s="449"/>
      <c r="G11" s="449"/>
      <c r="H11" s="447"/>
      <c r="I11" s="446"/>
      <c r="J11" s="446"/>
      <c r="K11" s="452"/>
    </row>
    <row r="12" spans="1:21" ht="15.6" customHeight="1">
      <c r="A12" s="673" t="s">
        <v>1690</v>
      </c>
      <c r="B12" s="673"/>
      <c r="C12" s="258" t="s">
        <v>2012</v>
      </c>
      <c r="D12" s="258" t="s">
        <v>1687</v>
      </c>
      <c r="G12" s="451"/>
      <c r="H12" s="450"/>
      <c r="I12" s="446"/>
      <c r="J12" s="446"/>
      <c r="K12" s="155"/>
    </row>
    <row r="13" spans="1:21" ht="17.25">
      <c r="A13" s="674" t="s">
        <v>1688</v>
      </c>
      <c r="B13" s="674"/>
      <c r="C13" s="455" t="s">
        <v>2013</v>
      </c>
      <c r="D13" s="579">
        <v>0</v>
      </c>
      <c r="F13" s="449"/>
      <c r="G13" s="449"/>
      <c r="H13" s="447"/>
      <c r="I13" s="446"/>
      <c r="J13" s="446"/>
      <c r="K13" s="155"/>
    </row>
    <row r="14" spans="1:21" ht="17.25">
      <c r="C14" s="448"/>
      <c r="D14" s="447"/>
      <c r="E14" s="447"/>
      <c r="F14" s="447"/>
      <c r="G14" s="447"/>
      <c r="H14" s="447"/>
      <c r="I14" s="446"/>
      <c r="J14" s="446"/>
    </row>
    <row r="15" spans="1:21" s="27" customFormat="1" ht="38.25">
      <c r="A15" s="445" t="s">
        <v>289</v>
      </c>
      <c r="B15" s="445" t="s">
        <v>290</v>
      </c>
      <c r="C15" s="257" t="s">
        <v>13</v>
      </c>
      <c r="D15" s="257" t="s">
        <v>1109</v>
      </c>
      <c r="E15" s="258" t="s">
        <v>2011</v>
      </c>
      <c r="F15" s="258" t="s">
        <v>2010</v>
      </c>
      <c r="G15" s="258" t="s">
        <v>2009</v>
      </c>
      <c r="H15" s="258" t="s">
        <v>2008</v>
      </c>
      <c r="I15" s="640" t="s">
        <v>1687</v>
      </c>
      <c r="J15" s="257" t="s">
        <v>1984</v>
      </c>
      <c r="M15" s="155"/>
      <c r="N15" s="444"/>
      <c r="O15" s="444"/>
      <c r="P15" s="444"/>
      <c r="Q15" s="444"/>
      <c r="R15" s="444"/>
      <c r="S15" s="444"/>
      <c r="T15" s="444"/>
      <c r="U15" s="444"/>
    </row>
    <row r="16" spans="1:21">
      <c r="A16" s="19">
        <v>203</v>
      </c>
      <c r="B16" s="153" t="s">
        <v>1405</v>
      </c>
      <c r="C16" s="443" t="s">
        <v>1403</v>
      </c>
      <c r="D16" s="442" t="s">
        <v>2007</v>
      </c>
      <c r="E16" s="441">
        <v>1</v>
      </c>
      <c r="F16" s="441">
        <v>12</v>
      </c>
      <c r="G16" s="440">
        <v>0</v>
      </c>
      <c r="H16" s="439">
        <f t="shared" ref="H16:H56" si="0">G16*F16*E16</f>
        <v>0</v>
      </c>
      <c r="I16" s="159">
        <f t="shared" ref="I16:I56" si="1">$D$13</f>
        <v>0</v>
      </c>
      <c r="J16" s="159">
        <f t="shared" ref="J16:J56" si="2">I16*H16</f>
        <v>0</v>
      </c>
    </row>
    <row r="17" spans="1:11">
      <c r="A17" s="19">
        <v>204</v>
      </c>
      <c r="B17" s="153" t="s">
        <v>1406</v>
      </c>
      <c r="C17" s="443" t="s">
        <v>1403</v>
      </c>
      <c r="D17" s="442" t="s">
        <v>2007</v>
      </c>
      <c r="E17" s="441">
        <v>1</v>
      </c>
      <c r="F17" s="441">
        <v>12</v>
      </c>
      <c r="G17" s="440">
        <v>0</v>
      </c>
      <c r="H17" s="439">
        <f t="shared" si="0"/>
        <v>0</v>
      </c>
      <c r="I17" s="159">
        <f t="shared" si="1"/>
        <v>0</v>
      </c>
      <c r="J17" s="159">
        <f t="shared" si="2"/>
        <v>0</v>
      </c>
    </row>
    <row r="18" spans="1:11">
      <c r="A18" s="19">
        <v>205</v>
      </c>
      <c r="B18" s="153" t="s">
        <v>1407</v>
      </c>
      <c r="C18" s="443" t="s">
        <v>1403</v>
      </c>
      <c r="D18" s="442" t="s">
        <v>2007</v>
      </c>
      <c r="E18" s="441">
        <v>1</v>
      </c>
      <c r="F18" s="441">
        <v>12</v>
      </c>
      <c r="G18" s="440">
        <v>0</v>
      </c>
      <c r="H18" s="439">
        <f t="shared" si="0"/>
        <v>0</v>
      </c>
      <c r="I18" s="159">
        <f t="shared" si="1"/>
        <v>0</v>
      </c>
      <c r="J18" s="159">
        <f t="shared" si="2"/>
        <v>0</v>
      </c>
    </row>
    <row r="19" spans="1:11">
      <c r="A19" s="19">
        <v>206</v>
      </c>
      <c r="B19" s="153" t="s">
        <v>1408</v>
      </c>
      <c r="C19" s="443" t="s">
        <v>1403</v>
      </c>
      <c r="D19" s="442" t="s">
        <v>2007</v>
      </c>
      <c r="E19" s="441">
        <v>1</v>
      </c>
      <c r="F19" s="441">
        <v>12</v>
      </c>
      <c r="G19" s="440">
        <v>0</v>
      </c>
      <c r="H19" s="439">
        <f t="shared" si="0"/>
        <v>0</v>
      </c>
      <c r="I19" s="159">
        <f t="shared" si="1"/>
        <v>0</v>
      </c>
      <c r="J19" s="159">
        <f t="shared" si="2"/>
        <v>0</v>
      </c>
    </row>
    <row r="20" spans="1:11">
      <c r="A20" s="19">
        <v>207</v>
      </c>
      <c r="B20" s="153" t="s">
        <v>1409</v>
      </c>
      <c r="C20" s="443" t="s">
        <v>1403</v>
      </c>
      <c r="D20" s="442" t="s">
        <v>2007</v>
      </c>
      <c r="E20" s="441">
        <v>1</v>
      </c>
      <c r="F20" s="441">
        <v>12</v>
      </c>
      <c r="G20" s="440">
        <v>0</v>
      </c>
      <c r="H20" s="439">
        <f t="shared" si="0"/>
        <v>0</v>
      </c>
      <c r="I20" s="159">
        <f t="shared" si="1"/>
        <v>0</v>
      </c>
      <c r="J20" s="159">
        <f t="shared" si="2"/>
        <v>0</v>
      </c>
    </row>
    <row r="21" spans="1:11">
      <c r="A21" s="19">
        <v>209</v>
      </c>
      <c r="B21" s="153" t="s">
        <v>1669</v>
      </c>
      <c r="C21" s="443" t="s">
        <v>1403</v>
      </c>
      <c r="D21" s="442" t="s">
        <v>2007</v>
      </c>
      <c r="E21" s="441">
        <v>1</v>
      </c>
      <c r="F21" s="441">
        <v>12</v>
      </c>
      <c r="G21" s="440">
        <v>0</v>
      </c>
      <c r="H21" s="439">
        <f t="shared" si="0"/>
        <v>0</v>
      </c>
      <c r="I21" s="159">
        <f t="shared" si="1"/>
        <v>0</v>
      </c>
      <c r="J21" s="159">
        <f t="shared" si="2"/>
        <v>0</v>
      </c>
    </row>
    <row r="22" spans="1:11">
      <c r="A22" s="19">
        <v>210</v>
      </c>
      <c r="B22" s="153" t="s">
        <v>1670</v>
      </c>
      <c r="C22" s="443" t="s">
        <v>1403</v>
      </c>
      <c r="D22" s="442" t="s">
        <v>2007</v>
      </c>
      <c r="E22" s="441">
        <v>1</v>
      </c>
      <c r="F22" s="441">
        <v>12</v>
      </c>
      <c r="G22" s="440">
        <v>0</v>
      </c>
      <c r="H22" s="439">
        <f t="shared" si="0"/>
        <v>0</v>
      </c>
      <c r="I22" s="159">
        <f t="shared" si="1"/>
        <v>0</v>
      </c>
      <c r="J22" s="159">
        <f t="shared" si="2"/>
        <v>0</v>
      </c>
    </row>
    <row r="23" spans="1:11">
      <c r="A23" s="19">
        <v>211</v>
      </c>
      <c r="B23" s="153" t="s">
        <v>1671</v>
      </c>
      <c r="C23" s="443" t="s">
        <v>1403</v>
      </c>
      <c r="D23" s="442" t="s">
        <v>2007</v>
      </c>
      <c r="E23" s="441">
        <v>1</v>
      </c>
      <c r="F23" s="441">
        <v>12</v>
      </c>
      <c r="G23" s="440">
        <v>0</v>
      </c>
      <c r="H23" s="439">
        <f t="shared" si="0"/>
        <v>0</v>
      </c>
      <c r="I23" s="159">
        <f t="shared" si="1"/>
        <v>0</v>
      </c>
      <c r="J23" s="159">
        <f t="shared" si="2"/>
        <v>0</v>
      </c>
    </row>
    <row r="24" spans="1:11" ht="13.5">
      <c r="A24" s="19">
        <v>1001</v>
      </c>
      <c r="B24" s="153" t="s">
        <v>1038</v>
      </c>
      <c r="C24" s="443" t="s">
        <v>1042</v>
      </c>
      <c r="D24" s="442" t="s">
        <v>2007</v>
      </c>
      <c r="E24" s="441">
        <v>1</v>
      </c>
      <c r="F24" s="441">
        <v>12</v>
      </c>
      <c r="G24" s="440">
        <v>0</v>
      </c>
      <c r="H24" s="439">
        <f t="shared" si="0"/>
        <v>0</v>
      </c>
      <c r="I24" s="159">
        <f t="shared" si="1"/>
        <v>0</v>
      </c>
      <c r="J24" s="159">
        <f t="shared" si="2"/>
        <v>0</v>
      </c>
      <c r="K24" s="155"/>
    </row>
    <row r="25" spans="1:11" ht="13.5">
      <c r="A25" s="19">
        <v>1002</v>
      </c>
      <c r="B25" s="153" t="s">
        <v>1069</v>
      </c>
      <c r="C25" s="443" t="s">
        <v>1042</v>
      </c>
      <c r="D25" s="442" t="s">
        <v>2007</v>
      </c>
      <c r="E25" s="441">
        <v>2</v>
      </c>
      <c r="F25" s="441">
        <v>12</v>
      </c>
      <c r="G25" s="440">
        <v>0</v>
      </c>
      <c r="H25" s="439">
        <f t="shared" si="0"/>
        <v>0</v>
      </c>
      <c r="I25" s="159">
        <f t="shared" si="1"/>
        <v>0</v>
      </c>
      <c r="J25" s="159">
        <f t="shared" si="2"/>
        <v>0</v>
      </c>
      <c r="K25" s="155"/>
    </row>
    <row r="26" spans="1:11" ht="13.5">
      <c r="A26" s="19">
        <v>107</v>
      </c>
      <c r="B26" s="153" t="s">
        <v>288</v>
      </c>
      <c r="C26" s="443" t="s">
        <v>22</v>
      </c>
      <c r="D26" s="442" t="s">
        <v>2007</v>
      </c>
      <c r="E26" s="441">
        <v>2</v>
      </c>
      <c r="F26" s="441">
        <v>12</v>
      </c>
      <c r="G26" s="440">
        <v>0</v>
      </c>
      <c r="H26" s="439">
        <f t="shared" si="0"/>
        <v>0</v>
      </c>
      <c r="I26" s="159">
        <f t="shared" si="1"/>
        <v>0</v>
      </c>
      <c r="J26" s="159">
        <f t="shared" si="2"/>
        <v>0</v>
      </c>
      <c r="K26" s="155"/>
    </row>
    <row r="27" spans="1:11" ht="13.5">
      <c r="A27" s="19">
        <v>108</v>
      </c>
      <c r="B27" s="153" t="s">
        <v>254</v>
      </c>
      <c r="C27" s="443" t="s">
        <v>22</v>
      </c>
      <c r="D27" s="442" t="s">
        <v>2007</v>
      </c>
      <c r="E27" s="441">
        <v>3</v>
      </c>
      <c r="F27" s="441">
        <v>12</v>
      </c>
      <c r="G27" s="440">
        <v>0</v>
      </c>
      <c r="H27" s="439">
        <f t="shared" si="0"/>
        <v>0</v>
      </c>
      <c r="I27" s="159">
        <f t="shared" si="1"/>
        <v>0</v>
      </c>
      <c r="J27" s="159">
        <f t="shared" si="2"/>
        <v>0</v>
      </c>
      <c r="K27" s="155"/>
    </row>
    <row r="28" spans="1:11" ht="13.5">
      <c r="A28" s="19">
        <v>110</v>
      </c>
      <c r="B28" s="153" t="s">
        <v>103</v>
      </c>
      <c r="C28" s="443" t="s">
        <v>22</v>
      </c>
      <c r="D28" s="442" t="s">
        <v>2007</v>
      </c>
      <c r="E28" s="441">
        <v>2</v>
      </c>
      <c r="F28" s="441">
        <v>12</v>
      </c>
      <c r="G28" s="440">
        <v>0</v>
      </c>
      <c r="H28" s="439">
        <f t="shared" si="0"/>
        <v>0</v>
      </c>
      <c r="I28" s="159">
        <f t="shared" si="1"/>
        <v>0</v>
      </c>
      <c r="J28" s="159">
        <f t="shared" si="2"/>
        <v>0</v>
      </c>
      <c r="K28" s="155"/>
    </row>
    <row r="29" spans="1:11" ht="13.5">
      <c r="A29" s="19">
        <v>111</v>
      </c>
      <c r="B29" s="153" t="s">
        <v>852</v>
      </c>
      <c r="C29" s="443" t="s">
        <v>22</v>
      </c>
      <c r="D29" s="442" t="s">
        <v>2007</v>
      </c>
      <c r="E29" s="441">
        <v>1</v>
      </c>
      <c r="F29" s="441">
        <v>12</v>
      </c>
      <c r="G29" s="440">
        <v>0</v>
      </c>
      <c r="H29" s="439">
        <f t="shared" si="0"/>
        <v>0</v>
      </c>
      <c r="I29" s="159">
        <f t="shared" si="1"/>
        <v>0</v>
      </c>
      <c r="J29" s="159">
        <f t="shared" si="2"/>
        <v>0</v>
      </c>
      <c r="K29" s="155"/>
    </row>
    <row r="30" spans="1:11" ht="13.5">
      <c r="A30" s="19">
        <v>112</v>
      </c>
      <c r="B30" s="153" t="s">
        <v>140</v>
      </c>
      <c r="C30" s="443" t="s">
        <v>22</v>
      </c>
      <c r="D30" s="442" t="s">
        <v>2007</v>
      </c>
      <c r="E30" s="441">
        <v>2</v>
      </c>
      <c r="F30" s="441">
        <v>12</v>
      </c>
      <c r="G30" s="440">
        <v>0</v>
      </c>
      <c r="H30" s="439">
        <f t="shared" si="0"/>
        <v>0</v>
      </c>
      <c r="I30" s="159">
        <f t="shared" si="1"/>
        <v>0</v>
      </c>
      <c r="J30" s="159">
        <f t="shared" si="2"/>
        <v>0</v>
      </c>
      <c r="K30" s="155"/>
    </row>
    <row r="31" spans="1:11" ht="13.5">
      <c r="A31" s="19">
        <v>113</v>
      </c>
      <c r="B31" s="153" t="s">
        <v>853</v>
      </c>
      <c r="C31" s="443" t="s">
        <v>22</v>
      </c>
      <c r="D31" s="442" t="s">
        <v>2007</v>
      </c>
      <c r="E31" s="441">
        <v>2</v>
      </c>
      <c r="F31" s="441">
        <v>12</v>
      </c>
      <c r="G31" s="440">
        <v>0</v>
      </c>
      <c r="H31" s="439">
        <f t="shared" si="0"/>
        <v>0</v>
      </c>
      <c r="I31" s="159">
        <f t="shared" si="1"/>
        <v>0</v>
      </c>
      <c r="J31" s="159">
        <f t="shared" si="2"/>
        <v>0</v>
      </c>
      <c r="K31" s="155"/>
    </row>
    <row r="32" spans="1:11" ht="13.5">
      <c r="A32" s="19">
        <v>114</v>
      </c>
      <c r="B32" s="153" t="s">
        <v>21</v>
      </c>
      <c r="C32" s="443" t="s">
        <v>22</v>
      </c>
      <c r="D32" s="442" t="s">
        <v>2007</v>
      </c>
      <c r="E32" s="441">
        <v>2</v>
      </c>
      <c r="F32" s="441">
        <v>12</v>
      </c>
      <c r="G32" s="440">
        <v>0</v>
      </c>
      <c r="H32" s="439">
        <f t="shared" si="0"/>
        <v>0</v>
      </c>
      <c r="I32" s="159">
        <f t="shared" si="1"/>
        <v>0</v>
      </c>
      <c r="J32" s="159">
        <f t="shared" si="2"/>
        <v>0</v>
      </c>
      <c r="K32" s="155"/>
    </row>
    <row r="33" spans="1:11" ht="13.5">
      <c r="A33" s="19">
        <v>115</v>
      </c>
      <c r="B33" s="153" t="s">
        <v>73</v>
      </c>
      <c r="C33" s="443" t="s">
        <v>22</v>
      </c>
      <c r="D33" s="442" t="s">
        <v>2007</v>
      </c>
      <c r="E33" s="441">
        <v>2</v>
      </c>
      <c r="F33" s="441">
        <v>12</v>
      </c>
      <c r="G33" s="440">
        <v>0</v>
      </c>
      <c r="H33" s="439">
        <f t="shared" si="0"/>
        <v>0</v>
      </c>
      <c r="I33" s="159">
        <f t="shared" si="1"/>
        <v>0</v>
      </c>
      <c r="J33" s="159">
        <f t="shared" si="2"/>
        <v>0</v>
      </c>
      <c r="K33" s="155"/>
    </row>
    <row r="34" spans="1:11" ht="13.5">
      <c r="A34" s="19">
        <v>116</v>
      </c>
      <c r="B34" s="153" t="s">
        <v>237</v>
      </c>
      <c r="C34" s="443" t="s">
        <v>22</v>
      </c>
      <c r="D34" s="442" t="s">
        <v>2007</v>
      </c>
      <c r="E34" s="441">
        <v>1</v>
      </c>
      <c r="F34" s="441">
        <v>12</v>
      </c>
      <c r="G34" s="440">
        <v>0</v>
      </c>
      <c r="H34" s="439">
        <f t="shared" si="0"/>
        <v>0</v>
      </c>
      <c r="I34" s="159">
        <f t="shared" si="1"/>
        <v>0</v>
      </c>
      <c r="J34" s="159">
        <f t="shared" si="2"/>
        <v>0</v>
      </c>
      <c r="K34" s="155"/>
    </row>
    <row r="35" spans="1:11" ht="13.5">
      <c r="A35" s="19">
        <v>117</v>
      </c>
      <c r="B35" s="153" t="s">
        <v>296</v>
      </c>
      <c r="C35" s="443" t="s">
        <v>22</v>
      </c>
      <c r="D35" s="442" t="s">
        <v>2007</v>
      </c>
      <c r="E35" s="441">
        <v>2</v>
      </c>
      <c r="F35" s="441">
        <v>12</v>
      </c>
      <c r="G35" s="440">
        <v>0</v>
      </c>
      <c r="H35" s="439">
        <f t="shared" si="0"/>
        <v>0</v>
      </c>
      <c r="I35" s="159">
        <f t="shared" si="1"/>
        <v>0</v>
      </c>
      <c r="J35" s="159">
        <f t="shared" si="2"/>
        <v>0</v>
      </c>
      <c r="K35" s="155"/>
    </row>
    <row r="36" spans="1:11" ht="13.5">
      <c r="A36" s="19">
        <v>118</v>
      </c>
      <c r="B36" s="153" t="s">
        <v>198</v>
      </c>
      <c r="C36" s="443" t="s">
        <v>22</v>
      </c>
      <c r="D36" s="442" t="s">
        <v>2007</v>
      </c>
      <c r="E36" s="441">
        <v>1</v>
      </c>
      <c r="F36" s="441">
        <v>12</v>
      </c>
      <c r="G36" s="440">
        <v>0</v>
      </c>
      <c r="H36" s="439">
        <f t="shared" si="0"/>
        <v>0</v>
      </c>
      <c r="I36" s="159">
        <f t="shared" si="1"/>
        <v>0</v>
      </c>
      <c r="J36" s="159">
        <f t="shared" si="2"/>
        <v>0</v>
      </c>
      <c r="K36" s="155"/>
    </row>
    <row r="37" spans="1:11" ht="13.5">
      <c r="A37" s="19">
        <v>119</v>
      </c>
      <c r="B37" s="153" t="s">
        <v>310</v>
      </c>
      <c r="C37" s="443" t="s">
        <v>22</v>
      </c>
      <c r="D37" s="442" t="s">
        <v>2007</v>
      </c>
      <c r="E37" s="441">
        <v>1</v>
      </c>
      <c r="F37" s="441">
        <v>12</v>
      </c>
      <c r="G37" s="440">
        <v>0</v>
      </c>
      <c r="H37" s="439">
        <f t="shared" si="0"/>
        <v>0</v>
      </c>
      <c r="I37" s="159">
        <f t="shared" si="1"/>
        <v>0</v>
      </c>
      <c r="J37" s="159">
        <f t="shared" si="2"/>
        <v>0</v>
      </c>
      <c r="K37" s="155"/>
    </row>
    <row r="38" spans="1:11" ht="13.5">
      <c r="A38" s="19">
        <v>120</v>
      </c>
      <c r="B38" s="153" t="s">
        <v>300</v>
      </c>
      <c r="C38" s="443" t="s">
        <v>22</v>
      </c>
      <c r="D38" s="442" t="s">
        <v>2007</v>
      </c>
      <c r="E38" s="441">
        <v>1</v>
      </c>
      <c r="F38" s="441">
        <v>12</v>
      </c>
      <c r="G38" s="440">
        <v>0</v>
      </c>
      <c r="H38" s="439">
        <f t="shared" si="0"/>
        <v>0</v>
      </c>
      <c r="I38" s="159">
        <f t="shared" si="1"/>
        <v>0</v>
      </c>
      <c r="J38" s="159">
        <f t="shared" si="2"/>
        <v>0</v>
      </c>
      <c r="K38" s="155"/>
    </row>
    <row r="39" spans="1:11" ht="13.5">
      <c r="A39" s="19">
        <v>121</v>
      </c>
      <c r="B39" s="153" t="s">
        <v>181</v>
      </c>
      <c r="C39" s="443" t="s">
        <v>22</v>
      </c>
      <c r="D39" s="442" t="s">
        <v>2007</v>
      </c>
      <c r="E39" s="441">
        <v>1</v>
      </c>
      <c r="F39" s="441">
        <v>12</v>
      </c>
      <c r="G39" s="440">
        <v>0</v>
      </c>
      <c r="H39" s="439">
        <f t="shared" si="0"/>
        <v>0</v>
      </c>
      <c r="I39" s="159">
        <f t="shared" si="1"/>
        <v>0</v>
      </c>
      <c r="J39" s="159">
        <f t="shared" si="2"/>
        <v>0</v>
      </c>
      <c r="K39" s="155"/>
    </row>
    <row r="40" spans="1:11" ht="13.5">
      <c r="A40" s="19">
        <v>102</v>
      </c>
      <c r="B40" s="153" t="s">
        <v>849</v>
      </c>
      <c r="C40" s="443" t="s">
        <v>180</v>
      </c>
      <c r="D40" s="442" t="s">
        <v>2007</v>
      </c>
      <c r="E40" s="441">
        <v>4</v>
      </c>
      <c r="F40" s="441">
        <v>12</v>
      </c>
      <c r="G40" s="440">
        <v>0</v>
      </c>
      <c r="H40" s="439">
        <f t="shared" si="0"/>
        <v>0</v>
      </c>
      <c r="I40" s="159">
        <f t="shared" si="1"/>
        <v>0</v>
      </c>
      <c r="J40" s="159">
        <f t="shared" si="2"/>
        <v>0</v>
      </c>
      <c r="K40" s="155"/>
    </row>
    <row r="41" spans="1:11" ht="13.5">
      <c r="A41" s="19">
        <v>103</v>
      </c>
      <c r="B41" s="153" t="s">
        <v>717</v>
      </c>
      <c r="C41" s="443" t="s">
        <v>180</v>
      </c>
      <c r="D41" s="442" t="s">
        <v>2007</v>
      </c>
      <c r="E41" s="556">
        <v>2</v>
      </c>
      <c r="F41" s="441">
        <v>12</v>
      </c>
      <c r="G41" s="440">
        <v>0</v>
      </c>
      <c r="H41" s="439">
        <f t="shared" si="0"/>
        <v>0</v>
      </c>
      <c r="I41" s="159">
        <f t="shared" si="1"/>
        <v>0</v>
      </c>
      <c r="J41" s="159">
        <f t="shared" si="2"/>
        <v>0</v>
      </c>
      <c r="K41" s="155"/>
    </row>
    <row r="42" spans="1:11" ht="13.5">
      <c r="A42" s="19">
        <v>104</v>
      </c>
      <c r="B42" s="153" t="s">
        <v>165</v>
      </c>
      <c r="C42" s="443" t="s">
        <v>180</v>
      </c>
      <c r="D42" s="442" t="s">
        <v>2007</v>
      </c>
      <c r="E42" s="556">
        <v>4</v>
      </c>
      <c r="F42" s="441">
        <v>12</v>
      </c>
      <c r="G42" s="440">
        <v>0</v>
      </c>
      <c r="H42" s="439">
        <f t="shared" si="0"/>
        <v>0</v>
      </c>
      <c r="I42" s="159">
        <f t="shared" si="1"/>
        <v>0</v>
      </c>
      <c r="J42" s="159">
        <f t="shared" si="2"/>
        <v>0</v>
      </c>
      <c r="K42" s="155"/>
    </row>
    <row r="43" spans="1:11" ht="13.5">
      <c r="A43" s="19">
        <v>105</v>
      </c>
      <c r="B43" s="153" t="s">
        <v>850</v>
      </c>
      <c r="C43" s="443" t="s">
        <v>180</v>
      </c>
      <c r="D43" s="442" t="s">
        <v>2007</v>
      </c>
      <c r="E43" s="556">
        <v>3</v>
      </c>
      <c r="F43" s="441">
        <v>12</v>
      </c>
      <c r="G43" s="440">
        <v>0</v>
      </c>
      <c r="H43" s="439">
        <f t="shared" si="0"/>
        <v>0</v>
      </c>
      <c r="I43" s="159">
        <f t="shared" si="1"/>
        <v>0</v>
      </c>
      <c r="J43" s="159">
        <f t="shared" si="2"/>
        <v>0</v>
      </c>
      <c r="K43" s="155"/>
    </row>
    <row r="44" spans="1:11" ht="13.5">
      <c r="A44" s="19">
        <v>301</v>
      </c>
      <c r="B44" s="153" t="s">
        <v>1410</v>
      </c>
      <c r="C44" s="443" t="s">
        <v>1394</v>
      </c>
      <c r="D44" s="442" t="s">
        <v>2007</v>
      </c>
      <c r="E44" s="556">
        <v>2</v>
      </c>
      <c r="F44" s="441">
        <v>12</v>
      </c>
      <c r="G44" s="440">
        <v>0</v>
      </c>
      <c r="H44" s="439">
        <f t="shared" si="0"/>
        <v>0</v>
      </c>
      <c r="I44" s="159">
        <f t="shared" si="1"/>
        <v>0</v>
      </c>
      <c r="J44" s="159">
        <f t="shared" si="2"/>
        <v>0</v>
      </c>
      <c r="K44" s="155"/>
    </row>
    <row r="45" spans="1:11" ht="13.5">
      <c r="A45" s="19">
        <v>302</v>
      </c>
      <c r="B45" s="153" t="s">
        <v>1393</v>
      </c>
      <c r="C45" s="443" t="s">
        <v>1394</v>
      </c>
      <c r="D45" s="442" t="s">
        <v>2007</v>
      </c>
      <c r="E45" s="556">
        <v>1</v>
      </c>
      <c r="F45" s="441">
        <v>12</v>
      </c>
      <c r="G45" s="440">
        <v>0</v>
      </c>
      <c r="H45" s="439">
        <f t="shared" si="0"/>
        <v>0</v>
      </c>
      <c r="I45" s="159">
        <f t="shared" si="1"/>
        <v>0</v>
      </c>
      <c r="J45" s="159">
        <f t="shared" si="2"/>
        <v>0</v>
      </c>
      <c r="K45" s="155"/>
    </row>
    <row r="46" spans="1:11" ht="13.5">
      <c r="A46" s="19">
        <v>303</v>
      </c>
      <c r="B46" s="153" t="s">
        <v>133</v>
      </c>
      <c r="C46" s="443" t="s">
        <v>1394</v>
      </c>
      <c r="D46" s="442" t="s">
        <v>2007</v>
      </c>
      <c r="E46" s="556">
        <v>1</v>
      </c>
      <c r="F46" s="441">
        <v>12</v>
      </c>
      <c r="G46" s="440">
        <v>0</v>
      </c>
      <c r="H46" s="439">
        <f t="shared" ref="H46" si="3">G46*F46*E46</f>
        <v>0</v>
      </c>
      <c r="I46" s="159">
        <f t="shared" si="1"/>
        <v>0</v>
      </c>
      <c r="J46" s="159">
        <f t="shared" ref="J46" si="4">I46*H46</f>
        <v>0</v>
      </c>
      <c r="K46" s="155"/>
    </row>
    <row r="47" spans="1:11" ht="13.5">
      <c r="A47" s="19" t="s">
        <v>2057</v>
      </c>
      <c r="B47" s="153" t="s">
        <v>2053</v>
      </c>
      <c r="C47" s="443" t="s">
        <v>1394</v>
      </c>
      <c r="D47" s="442" t="s">
        <v>2007</v>
      </c>
      <c r="E47" s="556">
        <v>1</v>
      </c>
      <c r="F47" s="441">
        <v>12</v>
      </c>
      <c r="G47" s="440">
        <v>0</v>
      </c>
      <c r="H47" s="439">
        <f t="shared" si="0"/>
        <v>0</v>
      </c>
      <c r="I47" s="159">
        <f t="shared" si="1"/>
        <v>0</v>
      </c>
      <c r="J47" s="159">
        <f t="shared" si="2"/>
        <v>0</v>
      </c>
      <c r="K47" s="155"/>
    </row>
    <row r="48" spans="1:11" ht="13.5">
      <c r="A48" s="19">
        <v>304</v>
      </c>
      <c r="B48" s="153" t="s">
        <v>1397</v>
      </c>
      <c r="C48" s="443" t="s">
        <v>1394</v>
      </c>
      <c r="D48" s="442" t="s">
        <v>2007</v>
      </c>
      <c r="E48" s="556">
        <v>2</v>
      </c>
      <c r="F48" s="441">
        <v>12</v>
      </c>
      <c r="G48" s="440">
        <v>0</v>
      </c>
      <c r="H48" s="439">
        <f t="shared" si="0"/>
        <v>0</v>
      </c>
      <c r="I48" s="159">
        <f t="shared" si="1"/>
        <v>0</v>
      </c>
      <c r="J48" s="159">
        <f t="shared" si="2"/>
        <v>0</v>
      </c>
      <c r="K48" s="155"/>
    </row>
    <row r="49" spans="1:11" ht="13.5">
      <c r="A49" s="19">
        <v>305</v>
      </c>
      <c r="B49" s="153" t="s">
        <v>1400</v>
      </c>
      <c r="C49" s="443" t="s">
        <v>1394</v>
      </c>
      <c r="D49" s="442" t="s">
        <v>2007</v>
      </c>
      <c r="E49" s="556">
        <v>1</v>
      </c>
      <c r="F49" s="441">
        <v>12</v>
      </c>
      <c r="G49" s="440">
        <v>0</v>
      </c>
      <c r="H49" s="439">
        <f t="shared" si="0"/>
        <v>0</v>
      </c>
      <c r="I49" s="159">
        <f t="shared" si="1"/>
        <v>0</v>
      </c>
      <c r="J49" s="159">
        <f t="shared" si="2"/>
        <v>0</v>
      </c>
      <c r="K49" s="155"/>
    </row>
    <row r="50" spans="1:11" ht="13.5">
      <c r="A50" s="19">
        <v>306</v>
      </c>
      <c r="B50" s="153" t="s">
        <v>1401</v>
      </c>
      <c r="C50" s="443" t="s">
        <v>1394</v>
      </c>
      <c r="D50" s="442" t="s">
        <v>2007</v>
      </c>
      <c r="E50" s="556">
        <v>1</v>
      </c>
      <c r="F50" s="441">
        <v>12</v>
      </c>
      <c r="G50" s="440">
        <v>0</v>
      </c>
      <c r="H50" s="439">
        <f t="shared" si="0"/>
        <v>0</v>
      </c>
      <c r="I50" s="159">
        <f t="shared" si="1"/>
        <v>0</v>
      </c>
      <c r="J50" s="159">
        <f t="shared" si="2"/>
        <v>0</v>
      </c>
      <c r="K50" s="155"/>
    </row>
    <row r="51" spans="1:11" ht="13.5">
      <c r="A51" s="19">
        <v>307</v>
      </c>
      <c r="B51" s="153" t="s">
        <v>1395</v>
      </c>
      <c r="C51" s="443" t="s">
        <v>1394</v>
      </c>
      <c r="D51" s="442" t="s">
        <v>2007</v>
      </c>
      <c r="E51" s="556">
        <v>2</v>
      </c>
      <c r="F51" s="441">
        <v>12</v>
      </c>
      <c r="G51" s="440">
        <v>0</v>
      </c>
      <c r="H51" s="439">
        <f t="shared" si="0"/>
        <v>0</v>
      </c>
      <c r="I51" s="159">
        <f t="shared" si="1"/>
        <v>0</v>
      </c>
      <c r="J51" s="159">
        <f t="shared" si="2"/>
        <v>0</v>
      </c>
      <c r="K51" s="155"/>
    </row>
    <row r="52" spans="1:11" ht="13.5">
      <c r="A52" s="19">
        <v>308</v>
      </c>
      <c r="B52" s="153" t="s">
        <v>1402</v>
      </c>
      <c r="C52" s="443" t="s">
        <v>1394</v>
      </c>
      <c r="D52" s="442" t="s">
        <v>2007</v>
      </c>
      <c r="E52" s="556">
        <v>1</v>
      </c>
      <c r="F52" s="441">
        <v>12</v>
      </c>
      <c r="G52" s="440">
        <v>0</v>
      </c>
      <c r="H52" s="439">
        <f t="shared" si="0"/>
        <v>0</v>
      </c>
      <c r="I52" s="159">
        <f t="shared" si="1"/>
        <v>0</v>
      </c>
      <c r="J52" s="159">
        <f t="shared" si="2"/>
        <v>0</v>
      </c>
      <c r="K52" s="155"/>
    </row>
    <row r="53" spans="1:11" ht="13.5">
      <c r="A53" s="19">
        <v>309</v>
      </c>
      <c r="B53" s="153" t="s">
        <v>1398</v>
      </c>
      <c r="C53" s="443" t="s">
        <v>1394</v>
      </c>
      <c r="D53" s="442" t="s">
        <v>2007</v>
      </c>
      <c r="E53" s="556">
        <v>1</v>
      </c>
      <c r="F53" s="441">
        <v>12</v>
      </c>
      <c r="G53" s="440">
        <v>0</v>
      </c>
      <c r="H53" s="439">
        <f t="shared" si="0"/>
        <v>0</v>
      </c>
      <c r="I53" s="159">
        <f t="shared" si="1"/>
        <v>0</v>
      </c>
      <c r="J53" s="159">
        <f t="shared" si="2"/>
        <v>0</v>
      </c>
      <c r="K53" s="155"/>
    </row>
    <row r="54" spans="1:11" ht="13.5">
      <c r="A54" s="19">
        <v>310</v>
      </c>
      <c r="B54" s="153" t="s">
        <v>1399</v>
      </c>
      <c r="C54" s="443" t="s">
        <v>1394</v>
      </c>
      <c r="D54" s="442" t="s">
        <v>2007</v>
      </c>
      <c r="E54" s="556">
        <v>1</v>
      </c>
      <c r="F54" s="441">
        <v>12</v>
      </c>
      <c r="G54" s="440">
        <v>0</v>
      </c>
      <c r="H54" s="439">
        <f t="shared" si="0"/>
        <v>0</v>
      </c>
      <c r="I54" s="159">
        <f t="shared" si="1"/>
        <v>0</v>
      </c>
      <c r="J54" s="159">
        <f t="shared" si="2"/>
        <v>0</v>
      </c>
      <c r="K54" s="155"/>
    </row>
    <row r="55" spans="1:11" ht="13.5">
      <c r="A55" s="19" t="s">
        <v>2056</v>
      </c>
      <c r="B55" s="153" t="s">
        <v>2054</v>
      </c>
      <c r="C55" s="443" t="s">
        <v>1394</v>
      </c>
      <c r="D55" s="442" t="s">
        <v>2007</v>
      </c>
      <c r="E55" s="556">
        <v>1</v>
      </c>
      <c r="F55" s="441">
        <v>12</v>
      </c>
      <c r="G55" s="440">
        <v>0</v>
      </c>
      <c r="H55" s="439">
        <f t="shared" si="0"/>
        <v>0</v>
      </c>
      <c r="I55" s="159">
        <f t="shared" si="1"/>
        <v>0</v>
      </c>
      <c r="J55" s="159">
        <f t="shared" si="2"/>
        <v>0</v>
      </c>
      <c r="K55" s="155"/>
    </row>
    <row r="56" spans="1:11" ht="13.5">
      <c r="A56" s="289">
        <v>312</v>
      </c>
      <c r="B56" s="438" t="s">
        <v>1411</v>
      </c>
      <c r="C56" s="437" t="s">
        <v>1394</v>
      </c>
      <c r="D56" s="436" t="s">
        <v>2007</v>
      </c>
      <c r="E56" s="435">
        <v>1</v>
      </c>
      <c r="F56" s="435">
        <v>12</v>
      </c>
      <c r="G56" s="440">
        <v>0</v>
      </c>
      <c r="H56" s="434">
        <f t="shared" si="0"/>
        <v>0</v>
      </c>
      <c r="I56" s="293">
        <f t="shared" si="1"/>
        <v>0</v>
      </c>
      <c r="J56" s="159">
        <f t="shared" si="2"/>
        <v>0</v>
      </c>
      <c r="K56" s="155"/>
    </row>
    <row r="57" spans="1:11">
      <c r="A57" s="433" t="s">
        <v>2006</v>
      </c>
      <c r="B57" s="432"/>
      <c r="C57" s="431"/>
      <c r="D57" s="430"/>
      <c r="E57" s="429">
        <f>SUM(E16:E56)</f>
        <v>63</v>
      </c>
      <c r="F57" s="428"/>
      <c r="G57" s="428"/>
      <c r="H57" s="428"/>
      <c r="I57" s="427"/>
      <c r="J57" s="426">
        <f>SUM(J16:J56)</f>
        <v>0</v>
      </c>
      <c r="K57" s="155"/>
    </row>
  </sheetData>
  <mergeCells count="3">
    <mergeCell ref="A12:B12"/>
    <mergeCell ref="A13:B13"/>
    <mergeCell ref="A1:B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</sheetPr>
  <dimension ref="A1:L46"/>
  <sheetViews>
    <sheetView showGridLines="0" zoomScale="89" zoomScaleNormal="89" workbookViewId="0">
      <pane ySplit="10" topLeftCell="A11" activePane="bottomLeft" state="frozen"/>
      <selection activeCell="F30" sqref="F30"/>
      <selection pane="bottomLeft" activeCell="F16" sqref="F16"/>
    </sheetView>
  </sheetViews>
  <sheetFormatPr defaultColWidth="9.140625" defaultRowHeight="13.5"/>
  <cols>
    <col min="1" max="1" width="26.140625" style="44" bestFit="1" customWidth="1"/>
    <col min="2" max="2" width="23.140625" style="44" customWidth="1"/>
    <col min="3" max="3" width="20.28515625" style="44" customWidth="1"/>
    <col min="4" max="4" width="72.28515625" style="44" bestFit="1" customWidth="1"/>
    <col min="5" max="5" width="15.7109375" style="146" bestFit="1" customWidth="1"/>
    <col min="6" max="6" width="15.42578125" style="44" bestFit="1" customWidth="1"/>
    <col min="7" max="7" width="11.5703125" style="44" bestFit="1" customWidth="1"/>
    <col min="8" max="8" width="16.42578125" style="44" bestFit="1" customWidth="1"/>
    <col min="9" max="9" width="16.42578125" style="44" customWidth="1"/>
    <col min="10" max="10" width="13.140625" style="44" bestFit="1" customWidth="1"/>
    <col min="11" max="16384" width="9.140625" style="44"/>
  </cols>
  <sheetData>
    <row r="1" spans="1:12">
      <c r="A1" s="302" t="s">
        <v>2</v>
      </c>
      <c r="D1" s="43"/>
      <c r="E1" s="145"/>
    </row>
    <row r="3" spans="1:12" ht="17.25">
      <c r="A3" s="260" t="s">
        <v>3</v>
      </c>
      <c r="B3" s="301" t="str">
        <f>'1-Inschrijfstaat'!B3</f>
        <v>GVB Infra B.V.</v>
      </c>
    </row>
    <row r="4" spans="1:12" ht="17.25">
      <c r="A4" s="260" t="s">
        <v>8</v>
      </c>
      <c r="B4" s="241" t="str">
        <f ca="1">MID(CELL("bestandsnaam",$C$15),SEARCH("]",CELL("bestandsnaam",$C$15),1)+1,256)</f>
        <v>7-Geveldelen  en wanden</v>
      </c>
      <c r="E4" s="44"/>
    </row>
    <row r="5" spans="1:12" ht="17.25">
      <c r="A5" s="260" t="s">
        <v>4</v>
      </c>
      <c r="B5" s="301" t="str">
        <f>'1-Inschrijfstaat'!B5</f>
        <v>Diverse</v>
      </c>
      <c r="E5" s="44"/>
    </row>
    <row r="6" spans="1:12" ht="17.25">
      <c r="A6" s="260" t="s">
        <v>9</v>
      </c>
      <c r="B6" s="301" t="str">
        <f>'1-Inschrijfstaat'!B6</f>
        <v>2021-61</v>
      </c>
      <c r="E6" s="44"/>
    </row>
    <row r="7" spans="1:12" ht="17.25">
      <c r="A7" s="260" t="s">
        <v>6</v>
      </c>
      <c r="B7" s="301" t="str">
        <f>'1-Inschrijfstaat'!B7</f>
        <v>Naam dienstverlener</v>
      </c>
      <c r="E7" s="44"/>
    </row>
    <row r="8" spans="1:12" ht="15.75">
      <c r="A8" s="260" t="s">
        <v>7</v>
      </c>
      <c r="B8" s="11" t="str">
        <f>'1-Inschrijfstaat'!B8</f>
        <v>1 januari 2022</v>
      </c>
      <c r="E8" s="44"/>
    </row>
    <row r="9" spans="1:12" ht="15.75">
      <c r="A9" s="260" t="s">
        <v>0</v>
      </c>
      <c r="B9" s="12" t="str">
        <f>'1-Inschrijfstaat'!B9</f>
        <v>1 Technische schoonmaak Algemeen</v>
      </c>
      <c r="E9" s="44"/>
    </row>
    <row r="10" spans="1:12" s="59" customFormat="1" ht="17.25">
      <c r="A10" s="260" t="s">
        <v>1085</v>
      </c>
      <c r="B10" s="301" t="s">
        <v>2018</v>
      </c>
      <c r="C10" s="86"/>
      <c r="D10" s="358"/>
      <c r="E10" s="358"/>
      <c r="F10" s="358"/>
      <c r="L10" s="60"/>
    </row>
    <row r="11" spans="1:12" ht="15.75">
      <c r="A11" s="127"/>
      <c r="B11" s="298"/>
      <c r="C11" s="299"/>
      <c r="D11" s="299"/>
      <c r="E11" s="300"/>
      <c r="F11" s="299"/>
    </row>
    <row r="12" spans="1:12" s="147" customFormat="1"/>
    <row r="13" spans="1:12" s="147" customFormat="1">
      <c r="A13" s="267" t="s">
        <v>1690</v>
      </c>
      <c r="B13" s="258" t="s">
        <v>2012</v>
      </c>
      <c r="C13" s="268" t="s">
        <v>1687</v>
      </c>
    </row>
    <row r="14" spans="1:12" s="147" customFormat="1">
      <c r="A14" s="67" t="s">
        <v>1688</v>
      </c>
      <c r="B14" s="455" t="s">
        <v>2013</v>
      </c>
      <c r="C14" s="265">
        <v>0</v>
      </c>
    </row>
    <row r="16" spans="1:12" ht="51">
      <c r="A16" s="307" t="s">
        <v>1976</v>
      </c>
      <c r="B16" s="307" t="s">
        <v>290</v>
      </c>
      <c r="C16" s="307" t="s">
        <v>13</v>
      </c>
      <c r="D16" s="307" t="s">
        <v>1977</v>
      </c>
      <c r="E16" s="308" t="s">
        <v>1978</v>
      </c>
      <c r="F16" s="640" t="s">
        <v>1687</v>
      </c>
      <c r="G16" s="309" t="s">
        <v>1353</v>
      </c>
      <c r="H16" s="332" t="s">
        <v>1974</v>
      </c>
      <c r="I16" s="644" t="s">
        <v>2030</v>
      </c>
      <c r="J16" s="332" t="s">
        <v>1975</v>
      </c>
    </row>
    <row r="17" spans="1:10">
      <c r="A17" s="310">
        <v>117</v>
      </c>
      <c r="B17" s="311" t="s">
        <v>296</v>
      </c>
      <c r="C17" s="312" t="s">
        <v>74</v>
      </c>
      <c r="D17" s="557" t="s">
        <v>2055</v>
      </c>
      <c r="E17" s="314">
        <v>138</v>
      </c>
      <c r="F17" s="315">
        <f>$C$14</f>
        <v>0</v>
      </c>
      <c r="G17" s="316">
        <v>0</v>
      </c>
      <c r="H17" s="389">
        <v>0</v>
      </c>
      <c r="I17" s="646">
        <v>1</v>
      </c>
      <c r="J17" s="317">
        <f>((F17)*G17+H17)*I17</f>
        <v>0</v>
      </c>
    </row>
    <row r="18" spans="1:10">
      <c r="A18" s="310">
        <v>121</v>
      </c>
      <c r="B18" s="311" t="s">
        <v>181</v>
      </c>
      <c r="C18" s="312" t="s">
        <v>74</v>
      </c>
      <c r="D18" s="313" t="s">
        <v>1330</v>
      </c>
      <c r="E18" s="314">
        <v>54</v>
      </c>
      <c r="F18" s="315">
        <f t="shared" ref="F18:F45" si="0">$C$14</f>
        <v>0</v>
      </c>
      <c r="G18" s="316">
        <v>0</v>
      </c>
      <c r="H18" s="389">
        <v>0</v>
      </c>
      <c r="I18" s="646">
        <v>1</v>
      </c>
      <c r="J18" s="317">
        <f t="shared" ref="J18:J45" si="1">((F18)*G18+H18)*I18</f>
        <v>0</v>
      </c>
    </row>
    <row r="19" spans="1:10">
      <c r="A19" s="310">
        <v>119</v>
      </c>
      <c r="B19" s="311" t="s">
        <v>310</v>
      </c>
      <c r="C19" s="312" t="s">
        <v>74</v>
      </c>
      <c r="D19" s="313" t="s">
        <v>1331</v>
      </c>
      <c r="E19" s="314">
        <v>182</v>
      </c>
      <c r="F19" s="315">
        <f t="shared" si="0"/>
        <v>0</v>
      </c>
      <c r="G19" s="316">
        <v>0</v>
      </c>
      <c r="H19" s="389">
        <v>0</v>
      </c>
      <c r="I19" s="646">
        <v>1</v>
      </c>
      <c r="J19" s="317">
        <f t="shared" si="1"/>
        <v>0</v>
      </c>
    </row>
    <row r="20" spans="1:10">
      <c r="A20" s="310">
        <v>119</v>
      </c>
      <c r="B20" s="311" t="s">
        <v>310</v>
      </c>
      <c r="C20" s="312" t="s">
        <v>74</v>
      </c>
      <c r="D20" s="313" t="s">
        <v>1332</v>
      </c>
      <c r="E20" s="314">
        <v>41</v>
      </c>
      <c r="F20" s="315">
        <f t="shared" si="0"/>
        <v>0</v>
      </c>
      <c r="G20" s="316">
        <v>0</v>
      </c>
      <c r="H20" s="389">
        <v>0</v>
      </c>
      <c r="I20" s="646">
        <v>1</v>
      </c>
      <c r="J20" s="317">
        <f t="shared" si="1"/>
        <v>0</v>
      </c>
    </row>
    <row r="21" spans="1:10">
      <c r="A21" s="310">
        <v>119</v>
      </c>
      <c r="B21" s="311" t="s">
        <v>310</v>
      </c>
      <c r="C21" s="312" t="s">
        <v>74</v>
      </c>
      <c r="D21" s="313" t="s">
        <v>1333</v>
      </c>
      <c r="E21" s="314">
        <v>134</v>
      </c>
      <c r="F21" s="315">
        <f t="shared" si="0"/>
        <v>0</v>
      </c>
      <c r="G21" s="316">
        <v>0</v>
      </c>
      <c r="H21" s="389">
        <v>0</v>
      </c>
      <c r="I21" s="646">
        <v>1</v>
      </c>
      <c r="J21" s="317">
        <f t="shared" si="1"/>
        <v>0</v>
      </c>
    </row>
    <row r="22" spans="1:10">
      <c r="A22" s="310">
        <v>119</v>
      </c>
      <c r="B22" s="311" t="s">
        <v>310</v>
      </c>
      <c r="C22" s="312" t="s">
        <v>74</v>
      </c>
      <c r="D22" s="313" t="s">
        <v>1334</v>
      </c>
      <c r="E22" s="314">
        <v>447</v>
      </c>
      <c r="F22" s="315">
        <f t="shared" si="0"/>
        <v>0</v>
      </c>
      <c r="G22" s="316">
        <v>0</v>
      </c>
      <c r="H22" s="389">
        <v>0</v>
      </c>
      <c r="I22" s="646">
        <v>1</v>
      </c>
      <c r="J22" s="317">
        <f t="shared" si="1"/>
        <v>0</v>
      </c>
    </row>
    <row r="23" spans="1:10">
      <c r="A23" s="310">
        <v>102</v>
      </c>
      <c r="B23" s="311" t="s">
        <v>849</v>
      </c>
      <c r="C23" s="312" t="s">
        <v>1328</v>
      </c>
      <c r="D23" s="313" t="s">
        <v>1329</v>
      </c>
      <c r="E23" s="318">
        <v>154</v>
      </c>
      <c r="F23" s="315">
        <f t="shared" si="0"/>
        <v>0</v>
      </c>
      <c r="G23" s="316">
        <v>0</v>
      </c>
      <c r="H23" s="389">
        <v>0</v>
      </c>
      <c r="I23" s="646">
        <v>2</v>
      </c>
      <c r="J23" s="317">
        <f t="shared" si="1"/>
        <v>0</v>
      </c>
    </row>
    <row r="24" spans="1:10">
      <c r="A24" s="310">
        <v>114</v>
      </c>
      <c r="B24" s="311" t="s">
        <v>21</v>
      </c>
      <c r="C24" s="312" t="s">
        <v>74</v>
      </c>
      <c r="D24" s="313" t="s">
        <v>1332</v>
      </c>
      <c r="E24" s="318">
        <v>40</v>
      </c>
      <c r="F24" s="315">
        <f t="shared" si="0"/>
        <v>0</v>
      </c>
      <c r="G24" s="316">
        <v>0</v>
      </c>
      <c r="H24" s="389">
        <v>0</v>
      </c>
      <c r="I24" s="646">
        <v>1</v>
      </c>
      <c r="J24" s="317">
        <f t="shared" si="1"/>
        <v>0</v>
      </c>
    </row>
    <row r="25" spans="1:10">
      <c r="A25" s="310">
        <v>114</v>
      </c>
      <c r="B25" s="311" t="s">
        <v>21</v>
      </c>
      <c r="C25" s="312" t="s">
        <v>74</v>
      </c>
      <c r="D25" s="313" t="s">
        <v>1333</v>
      </c>
      <c r="E25" s="318">
        <v>184</v>
      </c>
      <c r="F25" s="315">
        <f t="shared" si="0"/>
        <v>0</v>
      </c>
      <c r="G25" s="316">
        <v>0</v>
      </c>
      <c r="H25" s="389">
        <v>0</v>
      </c>
      <c r="I25" s="646">
        <v>1</v>
      </c>
      <c r="J25" s="317">
        <f t="shared" si="1"/>
        <v>0</v>
      </c>
    </row>
    <row r="26" spans="1:10">
      <c r="A26" s="310">
        <v>114</v>
      </c>
      <c r="B26" s="311" t="s">
        <v>21</v>
      </c>
      <c r="C26" s="312" t="s">
        <v>74</v>
      </c>
      <c r="D26" s="313" t="s">
        <v>1334</v>
      </c>
      <c r="E26" s="318">
        <v>238</v>
      </c>
      <c r="F26" s="315">
        <f t="shared" si="0"/>
        <v>0</v>
      </c>
      <c r="G26" s="316">
        <v>0</v>
      </c>
      <c r="H26" s="389">
        <v>0</v>
      </c>
      <c r="I26" s="646">
        <v>1</v>
      </c>
      <c r="J26" s="317">
        <f t="shared" si="1"/>
        <v>0</v>
      </c>
    </row>
    <row r="27" spans="1:10">
      <c r="A27" s="310">
        <v>108</v>
      </c>
      <c r="B27" s="311" t="s">
        <v>254</v>
      </c>
      <c r="C27" s="312" t="s">
        <v>74</v>
      </c>
      <c r="D27" s="313" t="s">
        <v>1913</v>
      </c>
      <c r="E27" s="318">
        <v>117</v>
      </c>
      <c r="F27" s="315">
        <f t="shared" si="0"/>
        <v>0</v>
      </c>
      <c r="G27" s="316">
        <v>0</v>
      </c>
      <c r="H27" s="389">
        <v>0</v>
      </c>
      <c r="I27" s="646">
        <v>1</v>
      </c>
      <c r="J27" s="317">
        <f t="shared" si="1"/>
        <v>0</v>
      </c>
    </row>
    <row r="28" spans="1:10">
      <c r="A28" s="310">
        <v>118</v>
      </c>
      <c r="B28" s="311" t="s">
        <v>198</v>
      </c>
      <c r="C28" s="312" t="s">
        <v>74</v>
      </c>
      <c r="D28" s="313" t="s">
        <v>1913</v>
      </c>
      <c r="E28" s="318">
        <v>61</v>
      </c>
      <c r="F28" s="315">
        <f t="shared" si="0"/>
        <v>0</v>
      </c>
      <c r="G28" s="316">
        <v>0</v>
      </c>
      <c r="H28" s="389">
        <v>0</v>
      </c>
      <c r="I28" s="646">
        <v>1</v>
      </c>
      <c r="J28" s="317">
        <f t="shared" si="1"/>
        <v>0</v>
      </c>
    </row>
    <row r="29" spans="1:10">
      <c r="A29" s="310">
        <v>103</v>
      </c>
      <c r="B29" s="311" t="s">
        <v>717</v>
      </c>
      <c r="C29" s="312" t="s">
        <v>1328</v>
      </c>
      <c r="D29" s="313" t="s">
        <v>1335</v>
      </c>
      <c r="E29" s="318">
        <v>273</v>
      </c>
      <c r="F29" s="315">
        <f t="shared" si="0"/>
        <v>0</v>
      </c>
      <c r="G29" s="316">
        <v>0</v>
      </c>
      <c r="H29" s="389">
        <v>0</v>
      </c>
      <c r="I29" s="646">
        <v>1</v>
      </c>
      <c r="J29" s="317">
        <f t="shared" si="1"/>
        <v>0</v>
      </c>
    </row>
    <row r="30" spans="1:10" s="388" customFormat="1" ht="27">
      <c r="A30" s="383">
        <v>103</v>
      </c>
      <c r="B30" s="384" t="s">
        <v>717</v>
      </c>
      <c r="C30" s="385" t="s">
        <v>1328</v>
      </c>
      <c r="D30" s="386" t="s">
        <v>1914</v>
      </c>
      <c r="E30" s="387">
        <v>5</v>
      </c>
      <c r="F30" s="315">
        <f t="shared" si="0"/>
        <v>0</v>
      </c>
      <c r="G30" s="316">
        <v>0</v>
      </c>
      <c r="H30" s="389">
        <v>0</v>
      </c>
      <c r="I30" s="647">
        <v>2</v>
      </c>
      <c r="J30" s="317">
        <f t="shared" si="1"/>
        <v>0</v>
      </c>
    </row>
    <row r="31" spans="1:10">
      <c r="A31" s="310">
        <v>103</v>
      </c>
      <c r="B31" s="311" t="s">
        <v>717</v>
      </c>
      <c r="C31" s="312" t="s">
        <v>1328</v>
      </c>
      <c r="D31" s="313" t="s">
        <v>1336</v>
      </c>
      <c r="E31" s="318">
        <v>20</v>
      </c>
      <c r="F31" s="315">
        <f t="shared" si="0"/>
        <v>0</v>
      </c>
      <c r="G31" s="316">
        <v>0</v>
      </c>
      <c r="H31" s="389">
        <v>0</v>
      </c>
      <c r="I31" s="646">
        <v>2</v>
      </c>
      <c r="J31" s="317">
        <f t="shared" si="1"/>
        <v>0</v>
      </c>
    </row>
    <row r="32" spans="1:10">
      <c r="A32" s="310">
        <v>104</v>
      </c>
      <c r="B32" s="311" t="s">
        <v>165</v>
      </c>
      <c r="C32" s="312" t="s">
        <v>1328</v>
      </c>
      <c r="D32" s="313" t="s">
        <v>1336</v>
      </c>
      <c r="E32" s="318">
        <v>90</v>
      </c>
      <c r="F32" s="315">
        <f t="shared" si="0"/>
        <v>0</v>
      </c>
      <c r="G32" s="316">
        <v>0</v>
      </c>
      <c r="H32" s="389">
        <v>0</v>
      </c>
      <c r="I32" s="646">
        <v>2</v>
      </c>
      <c r="J32" s="317">
        <f t="shared" si="1"/>
        <v>0</v>
      </c>
    </row>
    <row r="33" spans="1:10">
      <c r="A33" s="310">
        <v>105</v>
      </c>
      <c r="B33" s="311" t="s">
        <v>850</v>
      </c>
      <c r="C33" s="312" t="s">
        <v>1328</v>
      </c>
      <c r="D33" s="313" t="s">
        <v>1336</v>
      </c>
      <c r="E33" s="318">
        <v>56</v>
      </c>
      <c r="F33" s="315">
        <f t="shared" si="0"/>
        <v>0</v>
      </c>
      <c r="G33" s="316">
        <v>0</v>
      </c>
      <c r="H33" s="389">
        <v>0</v>
      </c>
      <c r="I33" s="646">
        <v>2</v>
      </c>
      <c r="J33" s="317">
        <f t="shared" si="1"/>
        <v>0</v>
      </c>
    </row>
    <row r="34" spans="1:10">
      <c r="A34" s="310">
        <v>115</v>
      </c>
      <c r="B34" s="311" t="s">
        <v>73</v>
      </c>
      <c r="C34" s="312" t="s">
        <v>74</v>
      </c>
      <c r="D34" s="313" t="s">
        <v>1061</v>
      </c>
      <c r="E34" s="318">
        <v>180</v>
      </c>
      <c r="F34" s="315">
        <f t="shared" si="0"/>
        <v>0</v>
      </c>
      <c r="G34" s="316">
        <v>0</v>
      </c>
      <c r="H34" s="389">
        <v>0</v>
      </c>
      <c r="I34" s="646">
        <v>1</v>
      </c>
      <c r="J34" s="317">
        <f t="shared" si="1"/>
        <v>0</v>
      </c>
    </row>
    <row r="35" spans="1:10">
      <c r="A35" s="310">
        <v>115</v>
      </c>
      <c r="B35" s="311" t="s">
        <v>73</v>
      </c>
      <c r="C35" s="312" t="s">
        <v>74</v>
      </c>
      <c r="D35" s="313" t="s">
        <v>1062</v>
      </c>
      <c r="E35" s="318">
        <v>167</v>
      </c>
      <c r="F35" s="315">
        <f t="shared" si="0"/>
        <v>0</v>
      </c>
      <c r="G35" s="316">
        <v>0</v>
      </c>
      <c r="H35" s="389">
        <v>0</v>
      </c>
      <c r="I35" s="646">
        <v>1</v>
      </c>
      <c r="J35" s="317">
        <f t="shared" si="1"/>
        <v>0</v>
      </c>
    </row>
    <row r="36" spans="1:10">
      <c r="A36" s="310">
        <v>120</v>
      </c>
      <c r="B36" s="311" t="s">
        <v>300</v>
      </c>
      <c r="C36" s="312" t="s">
        <v>22</v>
      </c>
      <c r="D36" s="313" t="s">
        <v>1075</v>
      </c>
      <c r="E36" s="318">
        <v>494</v>
      </c>
      <c r="F36" s="315">
        <f t="shared" si="0"/>
        <v>0</v>
      </c>
      <c r="G36" s="316">
        <v>0</v>
      </c>
      <c r="H36" s="389">
        <v>0</v>
      </c>
      <c r="I36" s="646">
        <v>1</v>
      </c>
      <c r="J36" s="317">
        <f t="shared" si="1"/>
        <v>0</v>
      </c>
    </row>
    <row r="37" spans="1:10">
      <c r="A37" s="310">
        <v>301</v>
      </c>
      <c r="B37" s="311" t="s">
        <v>1410</v>
      </c>
      <c r="C37" s="319" t="s">
        <v>1394</v>
      </c>
      <c r="D37" s="313" t="s">
        <v>1412</v>
      </c>
      <c r="E37" s="318">
        <v>705</v>
      </c>
      <c r="F37" s="315">
        <f t="shared" si="0"/>
        <v>0</v>
      </c>
      <c r="G37" s="316">
        <v>0</v>
      </c>
      <c r="H37" s="389">
        <v>0</v>
      </c>
      <c r="I37" s="646">
        <v>1</v>
      </c>
      <c r="J37" s="317">
        <f t="shared" si="1"/>
        <v>0</v>
      </c>
    </row>
    <row r="38" spans="1:10">
      <c r="A38" s="310">
        <v>304</v>
      </c>
      <c r="B38" s="311" t="s">
        <v>1397</v>
      </c>
      <c r="C38" s="319" t="s">
        <v>1394</v>
      </c>
      <c r="D38" s="313" t="s">
        <v>1412</v>
      </c>
      <c r="E38" s="318">
        <v>345</v>
      </c>
      <c r="F38" s="315">
        <f t="shared" si="0"/>
        <v>0</v>
      </c>
      <c r="G38" s="316">
        <v>0</v>
      </c>
      <c r="H38" s="389">
        <v>0</v>
      </c>
      <c r="I38" s="646">
        <v>1</v>
      </c>
      <c r="J38" s="317">
        <f t="shared" si="1"/>
        <v>0</v>
      </c>
    </row>
    <row r="39" spans="1:10">
      <c r="A39" s="310">
        <v>305</v>
      </c>
      <c r="B39" s="311" t="s">
        <v>1400</v>
      </c>
      <c r="C39" s="319" t="s">
        <v>1394</v>
      </c>
      <c r="D39" s="313" t="s">
        <v>1412</v>
      </c>
      <c r="E39" s="318">
        <v>232</v>
      </c>
      <c r="F39" s="315">
        <f t="shared" si="0"/>
        <v>0</v>
      </c>
      <c r="G39" s="316">
        <v>0</v>
      </c>
      <c r="H39" s="389">
        <v>0</v>
      </c>
      <c r="I39" s="646">
        <v>1</v>
      </c>
      <c r="J39" s="317">
        <f t="shared" si="1"/>
        <v>0</v>
      </c>
    </row>
    <row r="40" spans="1:10">
      <c r="A40" s="310">
        <v>306</v>
      </c>
      <c r="B40" s="311" t="s">
        <v>1401</v>
      </c>
      <c r="C40" s="319" t="s">
        <v>1394</v>
      </c>
      <c r="D40" s="313" t="s">
        <v>1412</v>
      </c>
      <c r="E40" s="318">
        <v>299</v>
      </c>
      <c r="F40" s="315">
        <f t="shared" si="0"/>
        <v>0</v>
      </c>
      <c r="G40" s="316">
        <v>0</v>
      </c>
      <c r="H40" s="389">
        <v>0</v>
      </c>
      <c r="I40" s="646">
        <v>1</v>
      </c>
      <c r="J40" s="317">
        <f t="shared" si="1"/>
        <v>0</v>
      </c>
    </row>
    <row r="41" spans="1:10">
      <c r="A41" s="310">
        <v>307</v>
      </c>
      <c r="B41" s="311" t="s">
        <v>1395</v>
      </c>
      <c r="C41" s="319" t="s">
        <v>1394</v>
      </c>
      <c r="D41" s="313" t="s">
        <v>1412</v>
      </c>
      <c r="E41" s="318">
        <v>532</v>
      </c>
      <c r="F41" s="315">
        <f t="shared" si="0"/>
        <v>0</v>
      </c>
      <c r="G41" s="316">
        <v>0</v>
      </c>
      <c r="H41" s="389">
        <v>0</v>
      </c>
      <c r="I41" s="646">
        <v>1</v>
      </c>
      <c r="J41" s="317">
        <f t="shared" si="1"/>
        <v>0</v>
      </c>
    </row>
    <row r="42" spans="1:10">
      <c r="A42" s="310">
        <v>308</v>
      </c>
      <c r="B42" s="311" t="s">
        <v>1402</v>
      </c>
      <c r="C42" s="319" t="s">
        <v>1394</v>
      </c>
      <c r="D42" s="313" t="s">
        <v>1412</v>
      </c>
      <c r="E42" s="318">
        <v>299</v>
      </c>
      <c r="F42" s="315">
        <f t="shared" si="0"/>
        <v>0</v>
      </c>
      <c r="G42" s="316">
        <v>0</v>
      </c>
      <c r="H42" s="389">
        <v>0</v>
      </c>
      <c r="I42" s="646">
        <v>1</v>
      </c>
      <c r="J42" s="317">
        <f t="shared" si="1"/>
        <v>0</v>
      </c>
    </row>
    <row r="43" spans="1:10">
      <c r="A43" s="310">
        <v>309</v>
      </c>
      <c r="B43" s="311" t="s">
        <v>1398</v>
      </c>
      <c r="C43" s="319" t="s">
        <v>1394</v>
      </c>
      <c r="D43" s="313" t="s">
        <v>1412</v>
      </c>
      <c r="E43" s="318">
        <v>129</v>
      </c>
      <c r="F43" s="315">
        <f t="shared" si="0"/>
        <v>0</v>
      </c>
      <c r="G43" s="316">
        <v>0</v>
      </c>
      <c r="H43" s="389">
        <v>0</v>
      </c>
      <c r="I43" s="646">
        <v>1</v>
      </c>
      <c r="J43" s="317">
        <f t="shared" si="1"/>
        <v>0</v>
      </c>
    </row>
    <row r="44" spans="1:10">
      <c r="A44" s="310">
        <v>310</v>
      </c>
      <c r="B44" s="311" t="s">
        <v>1399</v>
      </c>
      <c r="C44" s="319" t="s">
        <v>1394</v>
      </c>
      <c r="D44" s="313" t="s">
        <v>1412</v>
      </c>
      <c r="E44" s="318">
        <v>132</v>
      </c>
      <c r="F44" s="315">
        <f t="shared" si="0"/>
        <v>0</v>
      </c>
      <c r="G44" s="316">
        <v>0</v>
      </c>
      <c r="H44" s="389">
        <v>0</v>
      </c>
      <c r="I44" s="646">
        <v>1</v>
      </c>
      <c r="J44" s="317">
        <f t="shared" si="1"/>
        <v>0</v>
      </c>
    </row>
    <row r="45" spans="1:10">
      <c r="A45" s="310">
        <v>312</v>
      </c>
      <c r="B45" s="311" t="s">
        <v>1411</v>
      </c>
      <c r="C45" s="319" t="s">
        <v>1394</v>
      </c>
      <c r="D45" s="313" t="s">
        <v>1412</v>
      </c>
      <c r="E45" s="318">
        <v>141</v>
      </c>
      <c r="F45" s="315">
        <f t="shared" si="0"/>
        <v>0</v>
      </c>
      <c r="G45" s="316">
        <v>0</v>
      </c>
      <c r="H45" s="389">
        <v>0</v>
      </c>
      <c r="I45" s="646">
        <v>1</v>
      </c>
      <c r="J45" s="317">
        <f t="shared" si="1"/>
        <v>0</v>
      </c>
    </row>
    <row r="46" spans="1:10">
      <c r="A46" s="303" t="s">
        <v>5</v>
      </c>
      <c r="B46" s="304"/>
      <c r="C46" s="304"/>
      <c r="D46" s="304"/>
      <c r="E46" s="305"/>
      <c r="F46" s="304"/>
      <c r="G46" s="304"/>
      <c r="H46" s="304"/>
      <c r="I46" s="645"/>
      <c r="J46" s="306">
        <f>SUM(J17:J45)</f>
        <v>0</v>
      </c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</sheetPr>
  <dimension ref="A1:R852"/>
  <sheetViews>
    <sheetView showGridLines="0" zoomScale="96" zoomScaleNormal="96" workbookViewId="0">
      <pane xSplit="1" ySplit="12" topLeftCell="C13" activePane="bottomRight" state="frozen"/>
      <selection activeCell="F30" sqref="F30"/>
      <selection pane="topRight" activeCell="F30" sqref="F30"/>
      <selection pane="bottomLeft" activeCell="F30" sqref="F30"/>
      <selection pane="bottomRight" activeCell="Q13" sqref="Q13:R25"/>
    </sheetView>
  </sheetViews>
  <sheetFormatPr defaultColWidth="9.140625" defaultRowHeight="13.5"/>
  <cols>
    <col min="1" max="1" width="0.28515625" style="3" customWidth="1"/>
    <col min="2" max="2" width="30.42578125" style="3" customWidth="1"/>
    <col min="3" max="3" width="22.28515625" style="3" customWidth="1"/>
    <col min="4" max="4" width="18.42578125" style="3" bestFit="1" customWidth="1"/>
    <col min="5" max="5" width="9.140625" style="3"/>
    <col min="6" max="6" width="24.5703125" style="3" customWidth="1"/>
    <col min="7" max="7" width="37.42578125" style="3" customWidth="1"/>
    <col min="8" max="8" width="11.42578125" style="3" customWidth="1"/>
    <col min="9" max="9" width="11.28515625" style="3" customWidth="1"/>
    <col min="10" max="10" width="9.140625" style="3"/>
    <col min="11" max="11" width="26.42578125" style="3" customWidth="1"/>
    <col min="12" max="13" width="10" style="3" bestFit="1" customWidth="1"/>
    <col min="14" max="14" width="14.5703125" style="3" customWidth="1"/>
    <col min="15" max="15" width="9.140625" style="3"/>
    <col min="16" max="16" width="32.7109375" style="3" customWidth="1"/>
    <col min="17" max="17" width="10.140625" style="3" customWidth="1"/>
    <col min="18" max="18" width="10" style="3" customWidth="1"/>
    <col min="19" max="16384" width="9.140625" style="3"/>
  </cols>
  <sheetData>
    <row r="1" spans="1:18">
      <c r="B1" s="262" t="s">
        <v>2</v>
      </c>
    </row>
    <row r="3" spans="1:18" ht="17.25">
      <c r="B3" s="259" t="s">
        <v>3</v>
      </c>
      <c r="C3" s="261" t="str">
        <f>'1-Inschrijfstaat'!B3</f>
        <v>GVB Infra B.V.</v>
      </c>
    </row>
    <row r="4" spans="1:18" ht="17.25">
      <c r="B4" s="259" t="s">
        <v>1093</v>
      </c>
      <c r="C4" s="241" t="str">
        <f ca="1">MID(CELL("bestandsnaam",$D$11),SEARCH("]",CELL("bestandsnaam",$D$11),1)+1,256)</f>
        <v>8a-Glasstaat</v>
      </c>
    </row>
    <row r="5" spans="1:18" ht="17.25">
      <c r="B5" s="259" t="s">
        <v>4</v>
      </c>
      <c r="C5" s="261" t="str">
        <f>'1-Inschrijfstaat'!B5</f>
        <v>Diverse</v>
      </c>
    </row>
    <row r="6" spans="1:18" ht="17.25">
      <c r="B6" s="260" t="s">
        <v>9</v>
      </c>
      <c r="C6" s="261" t="str">
        <f>'1-Inschrijfstaat'!B6</f>
        <v>2021-61</v>
      </c>
    </row>
    <row r="7" spans="1:18" ht="17.25">
      <c r="B7" s="259" t="s">
        <v>6</v>
      </c>
      <c r="C7" s="261" t="str">
        <f>'1-Inschrijfstaat'!B7</f>
        <v>Naam dienstverlener</v>
      </c>
    </row>
    <row r="8" spans="1:18" ht="15.75">
      <c r="B8" s="259" t="s">
        <v>7</v>
      </c>
      <c r="C8" s="11" t="str">
        <f>'1-Inschrijfstaat'!B8</f>
        <v>1 januari 2022</v>
      </c>
    </row>
    <row r="9" spans="1:18" ht="15.75">
      <c r="B9" s="250" t="s">
        <v>0</v>
      </c>
      <c r="C9" s="12" t="str">
        <f>'1-Inschrijfstaat'!B9</f>
        <v>1 Technische schoonmaak Algemeen</v>
      </c>
    </row>
    <row r="10" spans="1:18" ht="17.25">
      <c r="B10" s="260" t="s">
        <v>1085</v>
      </c>
      <c r="C10" s="301" t="s">
        <v>2018</v>
      </c>
    </row>
    <row r="11" spans="1:18" ht="15.75">
      <c r="B11" s="45"/>
      <c r="C11" s="137"/>
    </row>
    <row r="12" spans="1:18" ht="85.9" customHeight="1">
      <c r="B12" s="254" t="s">
        <v>1985</v>
      </c>
      <c r="C12" s="254" t="s">
        <v>1976</v>
      </c>
      <c r="D12" s="254" t="s">
        <v>13</v>
      </c>
      <c r="E12" s="254" t="s">
        <v>1991</v>
      </c>
      <c r="F12" s="254" t="s">
        <v>1986</v>
      </c>
      <c r="G12" s="254" t="s">
        <v>1987</v>
      </c>
      <c r="H12" s="254" t="s">
        <v>1988</v>
      </c>
      <c r="I12" s="254" t="s">
        <v>1989</v>
      </c>
      <c r="J12" s="254" t="s">
        <v>2083</v>
      </c>
      <c r="K12" s="254" t="s">
        <v>1990</v>
      </c>
      <c r="L12" s="254" t="s">
        <v>2016</v>
      </c>
      <c r="M12" s="254" t="s">
        <v>2080</v>
      </c>
      <c r="N12" s="254" t="s">
        <v>1304</v>
      </c>
      <c r="P12" s="572" t="s">
        <v>1302</v>
      </c>
      <c r="Q12" s="573" t="s">
        <v>2015</v>
      </c>
      <c r="R12" s="573" t="s">
        <v>2079</v>
      </c>
    </row>
    <row r="13" spans="1:18">
      <c r="A13" s="3" t="str">
        <f>CONCATENATE(C13,H13)</f>
        <v>1022</v>
      </c>
      <c r="B13" s="527" t="s">
        <v>1166</v>
      </c>
      <c r="C13" s="134">
        <v>102</v>
      </c>
      <c r="D13" s="528" t="s">
        <v>180</v>
      </c>
      <c r="E13" s="135" t="s">
        <v>490</v>
      </c>
      <c r="F13" s="527" t="s">
        <v>1163</v>
      </c>
      <c r="G13" s="527" t="s">
        <v>1167</v>
      </c>
      <c r="H13" s="529">
        <v>2</v>
      </c>
      <c r="I13" s="530">
        <v>5.65</v>
      </c>
      <c r="J13" s="630" t="s">
        <v>1161</v>
      </c>
      <c r="K13" s="531"/>
      <c r="L13" s="532">
        <f t="shared" ref="L13:L76" si="0">IF(J13="ja",0,VLOOKUP(F13,Glassoort2,2,0))*I13</f>
        <v>0</v>
      </c>
      <c r="M13" s="532">
        <f t="shared" ref="M13:M76" si="1">IF(J13="ja",VLOOKUP(F13,Glassoort2,3,0))*I13</f>
        <v>0</v>
      </c>
      <c r="N13" s="532">
        <f>(M13*H13)+(L13*H13)</f>
        <v>0</v>
      </c>
      <c r="P13" s="574" t="s">
        <v>1169</v>
      </c>
      <c r="Q13" s="541">
        <v>0</v>
      </c>
      <c r="R13" s="541">
        <v>0</v>
      </c>
    </row>
    <row r="14" spans="1:18">
      <c r="A14" s="3" t="str">
        <f>CONCATENATE(C14,H14)</f>
        <v>1022</v>
      </c>
      <c r="B14" s="527" t="s">
        <v>1166</v>
      </c>
      <c r="C14" s="134">
        <v>102</v>
      </c>
      <c r="D14" s="528" t="s">
        <v>180</v>
      </c>
      <c r="E14" s="135" t="s">
        <v>490</v>
      </c>
      <c r="F14" s="527" t="s">
        <v>1163</v>
      </c>
      <c r="G14" s="527" t="s">
        <v>1168</v>
      </c>
      <c r="H14" s="529">
        <v>2</v>
      </c>
      <c r="I14" s="530">
        <v>5.65</v>
      </c>
      <c r="J14" s="630" t="s">
        <v>1161</v>
      </c>
      <c r="K14" s="531"/>
      <c r="L14" s="532">
        <f t="shared" si="0"/>
        <v>0</v>
      </c>
      <c r="M14" s="532">
        <f t="shared" si="1"/>
        <v>0</v>
      </c>
      <c r="N14" s="532">
        <f t="shared" ref="N14:N77" si="2">(M14*H14)+(L14*H14)</f>
        <v>0</v>
      </c>
      <c r="P14" s="574" t="s">
        <v>1163</v>
      </c>
      <c r="Q14" s="541">
        <v>0</v>
      </c>
      <c r="R14" s="541">
        <v>0</v>
      </c>
    </row>
    <row r="15" spans="1:18">
      <c r="B15" s="527" t="s">
        <v>1166</v>
      </c>
      <c r="C15" s="134">
        <v>103</v>
      </c>
      <c r="D15" s="528" t="s">
        <v>180</v>
      </c>
      <c r="E15" s="135"/>
      <c r="F15" s="527" t="s">
        <v>1163</v>
      </c>
      <c r="G15" s="527" t="s">
        <v>1923</v>
      </c>
      <c r="H15" s="529">
        <v>2</v>
      </c>
      <c r="I15" s="530">
        <v>75.989999999999995</v>
      </c>
      <c r="J15" s="630" t="s">
        <v>1164</v>
      </c>
      <c r="K15" s="531"/>
      <c r="L15" s="532">
        <f t="shared" si="0"/>
        <v>0</v>
      </c>
      <c r="M15" s="532">
        <f t="shared" si="1"/>
        <v>0</v>
      </c>
      <c r="N15" s="532">
        <f t="shared" si="2"/>
        <v>0</v>
      </c>
      <c r="P15" s="574" t="s">
        <v>1171</v>
      </c>
      <c r="Q15" s="541">
        <v>0</v>
      </c>
      <c r="R15" s="541">
        <v>0</v>
      </c>
    </row>
    <row r="16" spans="1:18">
      <c r="B16" s="527" t="s">
        <v>1166</v>
      </c>
      <c r="C16" s="134">
        <v>104</v>
      </c>
      <c r="D16" s="528" t="s">
        <v>180</v>
      </c>
      <c r="E16" s="135"/>
      <c r="F16" s="527" t="s">
        <v>1163</v>
      </c>
      <c r="G16" s="527" t="s">
        <v>1923</v>
      </c>
      <c r="H16" s="529">
        <v>2</v>
      </c>
      <c r="I16" s="530">
        <v>75.989999999999995</v>
      </c>
      <c r="J16" s="630" t="s">
        <v>1164</v>
      </c>
      <c r="K16" s="531"/>
      <c r="L16" s="532">
        <f t="shared" si="0"/>
        <v>0</v>
      </c>
      <c r="M16" s="532">
        <f t="shared" si="1"/>
        <v>0</v>
      </c>
      <c r="N16" s="532">
        <f t="shared" si="2"/>
        <v>0</v>
      </c>
      <c r="P16" s="574" t="s">
        <v>1160</v>
      </c>
      <c r="Q16" s="541">
        <v>0</v>
      </c>
      <c r="R16" s="541">
        <v>0</v>
      </c>
    </row>
    <row r="17" spans="1:18">
      <c r="A17" s="3" t="str">
        <f t="shared" ref="A17:A22" si="3">CONCATENATE(C17,H17)</f>
        <v>1022</v>
      </c>
      <c r="B17" s="527" t="s">
        <v>1166</v>
      </c>
      <c r="C17" s="134">
        <v>102</v>
      </c>
      <c r="D17" s="528" t="s">
        <v>180</v>
      </c>
      <c r="E17" s="135" t="s">
        <v>361</v>
      </c>
      <c r="F17" s="527" t="s">
        <v>1169</v>
      </c>
      <c r="G17" s="527" t="s">
        <v>1170</v>
      </c>
      <c r="H17" s="529">
        <v>2</v>
      </c>
      <c r="I17" s="530">
        <f>1.1*1.5*50%+1.3*1.9+2.7*3.7*50%+1*3.5+2.7*3.5*50%+2.8*1.8*50%</f>
        <v>19.035</v>
      </c>
      <c r="J17" s="630" t="s">
        <v>1164</v>
      </c>
      <c r="K17" s="531"/>
      <c r="L17" s="532">
        <f t="shared" si="0"/>
        <v>0</v>
      </c>
      <c r="M17" s="532">
        <f t="shared" si="1"/>
        <v>0</v>
      </c>
      <c r="N17" s="532">
        <f t="shared" si="2"/>
        <v>0</v>
      </c>
      <c r="P17" s="574" t="s">
        <v>1165</v>
      </c>
      <c r="Q17" s="541">
        <v>0</v>
      </c>
      <c r="R17" s="541">
        <v>0</v>
      </c>
    </row>
    <row r="18" spans="1:18">
      <c r="A18" s="3" t="str">
        <f t="shared" si="3"/>
        <v>1022</v>
      </c>
      <c r="B18" s="527" t="s">
        <v>1166</v>
      </c>
      <c r="C18" s="134">
        <v>102</v>
      </c>
      <c r="D18" s="528" t="s">
        <v>180</v>
      </c>
      <c r="E18" s="135" t="s">
        <v>361</v>
      </c>
      <c r="F18" s="527" t="s">
        <v>1171</v>
      </c>
      <c r="G18" s="527" t="s">
        <v>1170</v>
      </c>
      <c r="H18" s="529">
        <v>2</v>
      </c>
      <c r="I18" s="530">
        <f>1.1*1.5*50%+1.3*1.9+2.7*3.7*50%+1*3.5+2.7*3.5*50%+2.8*1.8*50%</f>
        <v>19.035</v>
      </c>
      <c r="J18" s="630" t="s">
        <v>1161</v>
      </c>
      <c r="K18" s="531"/>
      <c r="L18" s="532">
        <f t="shared" si="0"/>
        <v>0</v>
      </c>
      <c r="M18" s="532">
        <f t="shared" si="1"/>
        <v>0</v>
      </c>
      <c r="N18" s="532">
        <f t="shared" si="2"/>
        <v>0</v>
      </c>
      <c r="P18" s="574" t="s">
        <v>1221</v>
      </c>
      <c r="Q18" s="541">
        <v>0</v>
      </c>
      <c r="R18" s="541">
        <v>0</v>
      </c>
    </row>
    <row r="19" spans="1:18">
      <c r="A19" s="3" t="str">
        <f t="shared" si="3"/>
        <v>1022</v>
      </c>
      <c r="B19" s="527" t="s">
        <v>1166</v>
      </c>
      <c r="C19" s="134">
        <v>102</v>
      </c>
      <c r="D19" s="528" t="s">
        <v>180</v>
      </c>
      <c r="E19" s="135" t="s">
        <v>99</v>
      </c>
      <c r="F19" s="527" t="s">
        <v>1172</v>
      </c>
      <c r="G19" s="527" t="s">
        <v>1173</v>
      </c>
      <c r="H19" s="529">
        <v>2</v>
      </c>
      <c r="I19" s="530">
        <v>6.42</v>
      </c>
      <c r="J19" s="630" t="s">
        <v>1161</v>
      </c>
      <c r="K19" s="531"/>
      <c r="L19" s="532">
        <f t="shared" si="0"/>
        <v>0</v>
      </c>
      <c r="M19" s="532">
        <f t="shared" si="1"/>
        <v>0</v>
      </c>
      <c r="N19" s="532">
        <f t="shared" si="2"/>
        <v>0</v>
      </c>
      <c r="P19" s="574" t="s">
        <v>1212</v>
      </c>
      <c r="Q19" s="541">
        <v>0</v>
      </c>
      <c r="R19" s="541">
        <v>0</v>
      </c>
    </row>
    <row r="20" spans="1:18">
      <c r="A20" s="3" t="str">
        <f t="shared" si="3"/>
        <v>1022</v>
      </c>
      <c r="B20" s="527" t="s">
        <v>1166</v>
      </c>
      <c r="C20" s="134">
        <v>102</v>
      </c>
      <c r="D20" s="528" t="s">
        <v>180</v>
      </c>
      <c r="E20" s="135" t="s">
        <v>99</v>
      </c>
      <c r="F20" s="527" t="s">
        <v>1174</v>
      </c>
      <c r="G20" s="527" t="s">
        <v>1173</v>
      </c>
      <c r="H20" s="529">
        <v>2</v>
      </c>
      <c r="I20" s="530">
        <v>6.42</v>
      </c>
      <c r="J20" s="630" t="s">
        <v>1164</v>
      </c>
      <c r="K20" s="531"/>
      <c r="L20" s="532">
        <f t="shared" si="0"/>
        <v>0</v>
      </c>
      <c r="M20" s="532">
        <f t="shared" si="1"/>
        <v>0</v>
      </c>
      <c r="N20" s="532">
        <f t="shared" si="2"/>
        <v>0</v>
      </c>
      <c r="P20" s="574" t="s">
        <v>1215</v>
      </c>
      <c r="Q20" s="541">
        <v>0</v>
      </c>
      <c r="R20" s="541">
        <v>0</v>
      </c>
    </row>
    <row r="21" spans="1:18">
      <c r="A21" s="3" t="str">
        <f t="shared" si="3"/>
        <v>1022</v>
      </c>
      <c r="B21" s="527" t="s">
        <v>1166</v>
      </c>
      <c r="C21" s="134">
        <v>102</v>
      </c>
      <c r="D21" s="528" t="s">
        <v>180</v>
      </c>
      <c r="E21" s="135" t="s">
        <v>99</v>
      </c>
      <c r="F21" s="527" t="s">
        <v>1175</v>
      </c>
      <c r="G21" s="527" t="s">
        <v>1176</v>
      </c>
      <c r="H21" s="529">
        <v>2</v>
      </c>
      <c r="I21" s="530">
        <v>1.92</v>
      </c>
      <c r="J21" s="630" t="s">
        <v>1161</v>
      </c>
      <c r="K21" s="531"/>
      <c r="L21" s="532">
        <f t="shared" si="0"/>
        <v>0</v>
      </c>
      <c r="M21" s="532">
        <f t="shared" si="1"/>
        <v>0</v>
      </c>
      <c r="N21" s="532">
        <f t="shared" si="2"/>
        <v>0</v>
      </c>
      <c r="P21" s="574" t="s">
        <v>1175</v>
      </c>
      <c r="Q21" s="541">
        <v>0</v>
      </c>
      <c r="R21" s="541">
        <v>0</v>
      </c>
    </row>
    <row r="22" spans="1:18">
      <c r="A22" s="3" t="str">
        <f t="shared" si="3"/>
        <v>1022</v>
      </c>
      <c r="B22" s="527" t="s">
        <v>1166</v>
      </c>
      <c r="C22" s="134">
        <v>102</v>
      </c>
      <c r="D22" s="528" t="s">
        <v>180</v>
      </c>
      <c r="E22" s="135" t="s">
        <v>99</v>
      </c>
      <c r="F22" s="527" t="s">
        <v>1177</v>
      </c>
      <c r="G22" s="527" t="s">
        <v>1176</v>
      </c>
      <c r="H22" s="529">
        <v>2</v>
      </c>
      <c r="I22" s="530">
        <v>1.92</v>
      </c>
      <c r="J22" s="630" t="s">
        <v>1161</v>
      </c>
      <c r="K22" s="531"/>
      <c r="L22" s="532">
        <f t="shared" si="0"/>
        <v>0</v>
      </c>
      <c r="M22" s="532">
        <f t="shared" si="1"/>
        <v>0</v>
      </c>
      <c r="N22" s="532">
        <f t="shared" si="2"/>
        <v>0</v>
      </c>
      <c r="P22" s="574" t="s">
        <v>1177</v>
      </c>
      <c r="Q22" s="541">
        <v>0</v>
      </c>
      <c r="R22" s="541">
        <v>0</v>
      </c>
    </row>
    <row r="23" spans="1:18">
      <c r="B23" s="527" t="s">
        <v>1166</v>
      </c>
      <c r="C23" s="134">
        <v>102</v>
      </c>
      <c r="D23" s="528" t="s">
        <v>180</v>
      </c>
      <c r="E23" s="135" t="s">
        <v>1178</v>
      </c>
      <c r="F23" s="527" t="s">
        <v>1172</v>
      </c>
      <c r="G23" s="527" t="s">
        <v>1173</v>
      </c>
      <c r="H23" s="529">
        <v>2</v>
      </c>
      <c r="I23" s="530">
        <v>11.84</v>
      </c>
      <c r="J23" s="630" t="s">
        <v>1161</v>
      </c>
      <c r="K23" s="531"/>
      <c r="L23" s="532">
        <f t="shared" si="0"/>
        <v>0</v>
      </c>
      <c r="M23" s="532">
        <f t="shared" si="1"/>
        <v>0</v>
      </c>
      <c r="N23" s="532">
        <f t="shared" si="2"/>
        <v>0</v>
      </c>
      <c r="P23" s="574" t="s">
        <v>1172</v>
      </c>
      <c r="Q23" s="541">
        <v>0</v>
      </c>
      <c r="R23" s="541">
        <v>0</v>
      </c>
    </row>
    <row r="24" spans="1:18">
      <c r="B24" s="527" t="s">
        <v>1166</v>
      </c>
      <c r="C24" s="134">
        <v>102</v>
      </c>
      <c r="D24" s="528" t="s">
        <v>180</v>
      </c>
      <c r="E24" s="135" t="s">
        <v>1178</v>
      </c>
      <c r="F24" s="527" t="s">
        <v>1174</v>
      </c>
      <c r="G24" s="527" t="s">
        <v>1173</v>
      </c>
      <c r="H24" s="529">
        <v>2</v>
      </c>
      <c r="I24" s="530">
        <v>11.84</v>
      </c>
      <c r="J24" s="630" t="s">
        <v>1164</v>
      </c>
      <c r="K24" s="531"/>
      <c r="L24" s="532">
        <f t="shared" si="0"/>
        <v>0</v>
      </c>
      <c r="M24" s="532">
        <f t="shared" si="1"/>
        <v>0</v>
      </c>
      <c r="N24" s="532">
        <f t="shared" si="2"/>
        <v>0</v>
      </c>
      <c r="P24" s="574" t="s">
        <v>1174</v>
      </c>
      <c r="Q24" s="541">
        <v>0</v>
      </c>
      <c r="R24" s="541">
        <v>0</v>
      </c>
    </row>
    <row r="25" spans="1:18">
      <c r="A25" s="3" t="str">
        <f t="shared" ref="A25:A47" si="4">CONCATENATE(C25,H25)</f>
        <v>1022</v>
      </c>
      <c r="B25" s="527" t="s">
        <v>1166</v>
      </c>
      <c r="C25" s="134">
        <v>102</v>
      </c>
      <c r="D25" s="528" t="s">
        <v>180</v>
      </c>
      <c r="E25" s="135" t="s">
        <v>1178</v>
      </c>
      <c r="F25" s="527" t="s">
        <v>1175</v>
      </c>
      <c r="G25" s="527" t="s">
        <v>1176</v>
      </c>
      <c r="H25" s="529">
        <v>2</v>
      </c>
      <c r="I25" s="530">
        <v>1.92</v>
      </c>
      <c r="J25" s="630" t="s">
        <v>1161</v>
      </c>
      <c r="K25" s="531"/>
      <c r="L25" s="532">
        <f t="shared" si="0"/>
        <v>0</v>
      </c>
      <c r="M25" s="532">
        <f t="shared" si="1"/>
        <v>0</v>
      </c>
      <c r="N25" s="532">
        <f t="shared" si="2"/>
        <v>0</v>
      </c>
      <c r="P25" s="574" t="s">
        <v>1162</v>
      </c>
      <c r="Q25" s="541">
        <v>0</v>
      </c>
      <c r="R25" s="541">
        <v>0</v>
      </c>
    </row>
    <row r="26" spans="1:18">
      <c r="A26" s="3" t="str">
        <f t="shared" si="4"/>
        <v>1022</v>
      </c>
      <c r="B26" s="527" t="s">
        <v>1166</v>
      </c>
      <c r="C26" s="134">
        <v>102</v>
      </c>
      <c r="D26" s="528" t="s">
        <v>180</v>
      </c>
      <c r="E26" s="135" t="s">
        <v>1178</v>
      </c>
      <c r="F26" s="527" t="s">
        <v>1177</v>
      </c>
      <c r="G26" s="527" t="s">
        <v>1176</v>
      </c>
      <c r="H26" s="529">
        <v>2</v>
      </c>
      <c r="I26" s="530">
        <v>1.92</v>
      </c>
      <c r="J26" s="630" t="s">
        <v>1161</v>
      </c>
      <c r="K26" s="531"/>
      <c r="L26" s="532">
        <f t="shared" si="0"/>
        <v>0</v>
      </c>
      <c r="M26" s="532">
        <f t="shared" si="1"/>
        <v>0</v>
      </c>
      <c r="N26" s="532">
        <f t="shared" si="2"/>
        <v>0</v>
      </c>
    </row>
    <row r="27" spans="1:18">
      <c r="A27" s="3" t="str">
        <f t="shared" si="4"/>
        <v>1022</v>
      </c>
      <c r="B27" s="527" t="s">
        <v>1166</v>
      </c>
      <c r="C27" s="134">
        <v>102</v>
      </c>
      <c r="D27" s="528" t="s">
        <v>180</v>
      </c>
      <c r="E27" s="135" t="s">
        <v>922</v>
      </c>
      <c r="F27" s="527" t="s">
        <v>1163</v>
      </c>
      <c r="G27" s="527" t="s">
        <v>1179</v>
      </c>
      <c r="H27" s="529">
        <v>2</v>
      </c>
      <c r="I27" s="530">
        <v>0.7</v>
      </c>
      <c r="J27" s="630" t="s">
        <v>1161</v>
      </c>
      <c r="K27" s="531" t="s">
        <v>1924</v>
      </c>
      <c r="L27" s="532">
        <f t="shared" si="0"/>
        <v>0</v>
      </c>
      <c r="M27" s="532">
        <f t="shared" si="1"/>
        <v>0</v>
      </c>
      <c r="N27" s="532">
        <f t="shared" si="2"/>
        <v>0</v>
      </c>
    </row>
    <row r="28" spans="1:18">
      <c r="A28" s="3" t="str">
        <f t="shared" si="4"/>
        <v>1022</v>
      </c>
      <c r="B28" s="527" t="s">
        <v>1166</v>
      </c>
      <c r="C28" s="134">
        <v>102</v>
      </c>
      <c r="D28" s="528" t="s">
        <v>180</v>
      </c>
      <c r="E28" s="135" t="s">
        <v>922</v>
      </c>
      <c r="F28" s="527" t="s">
        <v>1163</v>
      </c>
      <c r="G28" s="527" t="s">
        <v>1180</v>
      </c>
      <c r="H28" s="529">
        <v>2</v>
      </c>
      <c r="I28" s="530">
        <v>0.7</v>
      </c>
      <c r="J28" s="630" t="s">
        <v>1161</v>
      </c>
      <c r="K28" s="531" t="s">
        <v>1924</v>
      </c>
      <c r="L28" s="532">
        <f t="shared" si="0"/>
        <v>0</v>
      </c>
      <c r="M28" s="532">
        <f t="shared" si="1"/>
        <v>0</v>
      </c>
      <c r="N28" s="532">
        <f t="shared" si="2"/>
        <v>0</v>
      </c>
    </row>
    <row r="29" spans="1:18">
      <c r="A29" s="3" t="str">
        <f t="shared" si="4"/>
        <v>1022</v>
      </c>
      <c r="B29" s="527" t="s">
        <v>1166</v>
      </c>
      <c r="C29" s="134">
        <v>102</v>
      </c>
      <c r="D29" s="528" t="s">
        <v>180</v>
      </c>
      <c r="E29" s="135" t="s">
        <v>100</v>
      </c>
      <c r="F29" s="527" t="s">
        <v>1172</v>
      </c>
      <c r="G29" s="527" t="s">
        <v>1173</v>
      </c>
      <c r="H29" s="529">
        <v>2</v>
      </c>
      <c r="I29" s="530">
        <v>6.42</v>
      </c>
      <c r="J29" s="630" t="s">
        <v>1161</v>
      </c>
      <c r="K29" s="531"/>
      <c r="L29" s="532">
        <f t="shared" si="0"/>
        <v>0</v>
      </c>
      <c r="M29" s="532">
        <f t="shared" si="1"/>
        <v>0</v>
      </c>
      <c r="N29" s="532">
        <f t="shared" si="2"/>
        <v>0</v>
      </c>
    </row>
    <row r="30" spans="1:18">
      <c r="A30" s="3" t="str">
        <f t="shared" si="4"/>
        <v>1022</v>
      </c>
      <c r="B30" s="527" t="s">
        <v>1166</v>
      </c>
      <c r="C30" s="134">
        <v>102</v>
      </c>
      <c r="D30" s="528" t="s">
        <v>180</v>
      </c>
      <c r="E30" s="135" t="s">
        <v>100</v>
      </c>
      <c r="F30" s="527" t="s">
        <v>1174</v>
      </c>
      <c r="G30" s="527" t="s">
        <v>1173</v>
      </c>
      <c r="H30" s="529">
        <v>2</v>
      </c>
      <c r="I30" s="530">
        <v>6.42</v>
      </c>
      <c r="J30" s="630" t="s">
        <v>1164</v>
      </c>
      <c r="K30" s="531"/>
      <c r="L30" s="532">
        <f t="shared" si="0"/>
        <v>0</v>
      </c>
      <c r="M30" s="532">
        <f t="shared" si="1"/>
        <v>0</v>
      </c>
      <c r="N30" s="532">
        <f t="shared" si="2"/>
        <v>0</v>
      </c>
    </row>
    <row r="31" spans="1:18">
      <c r="A31" s="3" t="str">
        <f t="shared" si="4"/>
        <v>1022</v>
      </c>
      <c r="B31" s="527" t="s">
        <v>1166</v>
      </c>
      <c r="C31" s="134">
        <v>102</v>
      </c>
      <c r="D31" s="528" t="s">
        <v>180</v>
      </c>
      <c r="E31" s="135" t="s">
        <v>100</v>
      </c>
      <c r="F31" s="527" t="s">
        <v>1175</v>
      </c>
      <c r="G31" s="527" t="s">
        <v>1176</v>
      </c>
      <c r="H31" s="529">
        <v>2</v>
      </c>
      <c r="I31" s="530">
        <v>1.92</v>
      </c>
      <c r="J31" s="630" t="s">
        <v>1161</v>
      </c>
      <c r="K31" s="531"/>
      <c r="L31" s="532">
        <f t="shared" si="0"/>
        <v>0</v>
      </c>
      <c r="M31" s="532">
        <f t="shared" si="1"/>
        <v>0</v>
      </c>
      <c r="N31" s="532">
        <f t="shared" si="2"/>
        <v>0</v>
      </c>
    </row>
    <row r="32" spans="1:18">
      <c r="A32" s="3" t="str">
        <f t="shared" si="4"/>
        <v>1022</v>
      </c>
      <c r="B32" s="527" t="s">
        <v>1166</v>
      </c>
      <c r="C32" s="134">
        <v>102</v>
      </c>
      <c r="D32" s="528" t="s">
        <v>180</v>
      </c>
      <c r="E32" s="135" t="s">
        <v>100</v>
      </c>
      <c r="F32" s="527" t="s">
        <v>1177</v>
      </c>
      <c r="G32" s="527" t="s">
        <v>1176</v>
      </c>
      <c r="H32" s="529">
        <v>2</v>
      </c>
      <c r="I32" s="530">
        <v>1.92</v>
      </c>
      <c r="J32" s="630" t="s">
        <v>1161</v>
      </c>
      <c r="K32" s="531"/>
      <c r="L32" s="532">
        <f t="shared" si="0"/>
        <v>0</v>
      </c>
      <c r="M32" s="532">
        <f t="shared" si="1"/>
        <v>0</v>
      </c>
      <c r="N32" s="532">
        <f t="shared" si="2"/>
        <v>0</v>
      </c>
    </row>
    <row r="33" spans="1:14">
      <c r="A33" s="3" t="str">
        <f t="shared" si="4"/>
        <v>1022</v>
      </c>
      <c r="B33" s="527" t="s">
        <v>1166</v>
      </c>
      <c r="C33" s="134">
        <v>102</v>
      </c>
      <c r="D33" s="528" t="s">
        <v>180</v>
      </c>
      <c r="E33" s="135" t="s">
        <v>504</v>
      </c>
      <c r="F33" s="527" t="s">
        <v>1163</v>
      </c>
      <c r="G33" s="527" t="s">
        <v>1181</v>
      </c>
      <c r="H33" s="529">
        <v>2</v>
      </c>
      <c r="I33" s="530">
        <v>9.15</v>
      </c>
      <c r="J33" s="630" t="s">
        <v>1161</v>
      </c>
      <c r="K33" s="531" t="s">
        <v>1925</v>
      </c>
      <c r="L33" s="532">
        <f t="shared" si="0"/>
        <v>0</v>
      </c>
      <c r="M33" s="532">
        <f t="shared" si="1"/>
        <v>0</v>
      </c>
      <c r="N33" s="532">
        <f t="shared" si="2"/>
        <v>0</v>
      </c>
    </row>
    <row r="34" spans="1:14">
      <c r="A34" s="3" t="str">
        <f t="shared" si="4"/>
        <v>1022</v>
      </c>
      <c r="B34" s="527" t="s">
        <v>1166</v>
      </c>
      <c r="C34" s="134">
        <v>102</v>
      </c>
      <c r="D34" s="528" t="s">
        <v>180</v>
      </c>
      <c r="E34" s="135" t="s">
        <v>504</v>
      </c>
      <c r="F34" s="527" t="s">
        <v>1163</v>
      </c>
      <c r="G34" s="527" t="s">
        <v>1182</v>
      </c>
      <c r="H34" s="529">
        <v>2</v>
      </c>
      <c r="I34" s="530">
        <v>9.15</v>
      </c>
      <c r="J34" s="630" t="s">
        <v>1161</v>
      </c>
      <c r="K34" s="531" t="s">
        <v>1925</v>
      </c>
      <c r="L34" s="532">
        <f t="shared" si="0"/>
        <v>0</v>
      </c>
      <c r="M34" s="532">
        <f t="shared" si="1"/>
        <v>0</v>
      </c>
      <c r="N34" s="532">
        <f t="shared" si="2"/>
        <v>0</v>
      </c>
    </row>
    <row r="35" spans="1:14">
      <c r="A35" s="3" t="str">
        <f t="shared" si="4"/>
        <v>1022</v>
      </c>
      <c r="B35" s="527" t="s">
        <v>1166</v>
      </c>
      <c r="C35" s="134">
        <v>102</v>
      </c>
      <c r="D35" s="528" t="s">
        <v>180</v>
      </c>
      <c r="E35" s="135" t="s">
        <v>1183</v>
      </c>
      <c r="F35" s="527" t="s">
        <v>1172</v>
      </c>
      <c r="G35" s="527" t="s">
        <v>1173</v>
      </c>
      <c r="H35" s="529">
        <v>2</v>
      </c>
      <c r="I35" s="530">
        <f>0.35*1.8+0.7*1.5+0.7*1.5+0.7*1.6</f>
        <v>3.8499999999999996</v>
      </c>
      <c r="J35" s="630" t="s">
        <v>1161</v>
      </c>
      <c r="K35" s="531"/>
      <c r="L35" s="532">
        <f t="shared" si="0"/>
        <v>0</v>
      </c>
      <c r="M35" s="532">
        <f t="shared" si="1"/>
        <v>0</v>
      </c>
      <c r="N35" s="532">
        <f t="shared" si="2"/>
        <v>0</v>
      </c>
    </row>
    <row r="36" spans="1:14">
      <c r="A36" s="3" t="str">
        <f t="shared" si="4"/>
        <v>1022</v>
      </c>
      <c r="B36" s="527" t="s">
        <v>1166</v>
      </c>
      <c r="C36" s="134">
        <v>102</v>
      </c>
      <c r="D36" s="528" t="s">
        <v>180</v>
      </c>
      <c r="E36" s="135" t="s">
        <v>1183</v>
      </c>
      <c r="F36" s="527" t="s">
        <v>1174</v>
      </c>
      <c r="G36" s="527" t="s">
        <v>1173</v>
      </c>
      <c r="H36" s="529">
        <v>2</v>
      </c>
      <c r="I36" s="530">
        <f>0.35*1.8+0.7*1.5+0.7*1.5+0.7*1.6</f>
        <v>3.8499999999999996</v>
      </c>
      <c r="J36" s="630" t="s">
        <v>1164</v>
      </c>
      <c r="K36" s="531"/>
      <c r="L36" s="532">
        <f t="shared" si="0"/>
        <v>0</v>
      </c>
      <c r="M36" s="532">
        <f t="shared" si="1"/>
        <v>0</v>
      </c>
      <c r="N36" s="532">
        <f t="shared" si="2"/>
        <v>0</v>
      </c>
    </row>
    <row r="37" spans="1:14">
      <c r="A37" s="3" t="str">
        <f t="shared" si="4"/>
        <v>1022</v>
      </c>
      <c r="B37" s="527" t="s">
        <v>1166</v>
      </c>
      <c r="C37" s="134">
        <v>102</v>
      </c>
      <c r="D37" s="528" t="s">
        <v>180</v>
      </c>
      <c r="E37" s="135" t="s">
        <v>1183</v>
      </c>
      <c r="F37" s="527" t="s">
        <v>1175</v>
      </c>
      <c r="G37" s="527" t="s">
        <v>1176</v>
      </c>
      <c r="H37" s="529">
        <v>2</v>
      </c>
      <c r="I37" s="530">
        <v>1.92</v>
      </c>
      <c r="J37" s="630" t="s">
        <v>1161</v>
      </c>
      <c r="K37" s="531"/>
      <c r="L37" s="532">
        <f t="shared" si="0"/>
        <v>0</v>
      </c>
      <c r="M37" s="532">
        <f t="shared" si="1"/>
        <v>0</v>
      </c>
      <c r="N37" s="532">
        <f t="shared" si="2"/>
        <v>0</v>
      </c>
    </row>
    <row r="38" spans="1:14">
      <c r="A38" s="3" t="str">
        <f t="shared" si="4"/>
        <v>1022</v>
      </c>
      <c r="B38" s="527" t="s">
        <v>1166</v>
      </c>
      <c r="C38" s="134">
        <v>102</v>
      </c>
      <c r="D38" s="528" t="s">
        <v>180</v>
      </c>
      <c r="E38" s="135" t="s">
        <v>1183</v>
      </c>
      <c r="F38" s="527" t="s">
        <v>1177</v>
      </c>
      <c r="G38" s="527" t="s">
        <v>1176</v>
      </c>
      <c r="H38" s="529">
        <v>2</v>
      </c>
      <c r="I38" s="530">
        <v>1.92</v>
      </c>
      <c r="J38" s="630" t="s">
        <v>1161</v>
      </c>
      <c r="K38" s="531"/>
      <c r="L38" s="532">
        <f t="shared" si="0"/>
        <v>0</v>
      </c>
      <c r="M38" s="532">
        <f t="shared" si="1"/>
        <v>0</v>
      </c>
      <c r="N38" s="532">
        <f t="shared" si="2"/>
        <v>0</v>
      </c>
    </row>
    <row r="39" spans="1:14">
      <c r="A39" s="3" t="str">
        <f t="shared" si="4"/>
        <v>1022</v>
      </c>
      <c r="B39" s="527" t="s">
        <v>1166</v>
      </c>
      <c r="C39" s="134">
        <v>102</v>
      </c>
      <c r="D39" s="528" t="s">
        <v>180</v>
      </c>
      <c r="E39" s="135" t="s">
        <v>862</v>
      </c>
      <c r="F39" s="527" t="s">
        <v>1163</v>
      </c>
      <c r="G39" s="527" t="s">
        <v>1184</v>
      </c>
      <c r="H39" s="529">
        <v>2</v>
      </c>
      <c r="I39" s="530">
        <v>26.66</v>
      </c>
      <c r="J39" s="630" t="s">
        <v>1164</v>
      </c>
      <c r="K39" s="531"/>
      <c r="L39" s="532">
        <f t="shared" si="0"/>
        <v>0</v>
      </c>
      <c r="M39" s="532">
        <f t="shared" si="1"/>
        <v>0</v>
      </c>
      <c r="N39" s="532">
        <f t="shared" si="2"/>
        <v>0</v>
      </c>
    </row>
    <row r="40" spans="1:14">
      <c r="A40" s="3" t="str">
        <f t="shared" si="4"/>
        <v>1022</v>
      </c>
      <c r="B40" s="527" t="s">
        <v>1166</v>
      </c>
      <c r="C40" s="134">
        <v>102</v>
      </c>
      <c r="D40" s="528" t="s">
        <v>180</v>
      </c>
      <c r="E40" s="135" t="s">
        <v>862</v>
      </c>
      <c r="F40" s="527" t="s">
        <v>1160</v>
      </c>
      <c r="G40" s="527" t="s">
        <v>1184</v>
      </c>
      <c r="H40" s="529">
        <v>2</v>
      </c>
      <c r="I40" s="530">
        <v>26.66</v>
      </c>
      <c r="J40" s="630" t="s">
        <v>1161</v>
      </c>
      <c r="K40" s="531"/>
      <c r="L40" s="532">
        <f t="shared" si="0"/>
        <v>0</v>
      </c>
      <c r="M40" s="532">
        <f t="shared" si="1"/>
        <v>0</v>
      </c>
      <c r="N40" s="532">
        <f t="shared" si="2"/>
        <v>0</v>
      </c>
    </row>
    <row r="41" spans="1:14">
      <c r="A41" s="3" t="str">
        <f t="shared" si="4"/>
        <v>10226</v>
      </c>
      <c r="B41" s="527" t="s">
        <v>1166</v>
      </c>
      <c r="C41" s="134">
        <v>102</v>
      </c>
      <c r="D41" s="528" t="s">
        <v>180</v>
      </c>
      <c r="E41" s="135"/>
      <c r="F41" s="527" t="s">
        <v>1162</v>
      </c>
      <c r="G41" s="527" t="s">
        <v>1308</v>
      </c>
      <c r="H41" s="529">
        <v>26</v>
      </c>
      <c r="I41" s="530">
        <v>43.86</v>
      </c>
      <c r="J41" s="630" t="s">
        <v>1161</v>
      </c>
      <c r="K41" s="531" t="s">
        <v>1309</v>
      </c>
      <c r="L41" s="532">
        <f t="shared" si="0"/>
        <v>0</v>
      </c>
      <c r="M41" s="532">
        <f t="shared" si="1"/>
        <v>0</v>
      </c>
      <c r="N41" s="532">
        <f t="shared" si="2"/>
        <v>0</v>
      </c>
    </row>
    <row r="42" spans="1:14">
      <c r="A42" s="3" t="str">
        <f t="shared" si="4"/>
        <v>1032</v>
      </c>
      <c r="B42" s="527" t="s">
        <v>1185</v>
      </c>
      <c r="C42" s="134">
        <v>103</v>
      </c>
      <c r="D42" s="528" t="s">
        <v>180</v>
      </c>
      <c r="E42" s="135" t="s">
        <v>361</v>
      </c>
      <c r="F42" s="527" t="s">
        <v>1163</v>
      </c>
      <c r="G42" s="527" t="s">
        <v>1186</v>
      </c>
      <c r="H42" s="529">
        <v>2</v>
      </c>
      <c r="I42" s="530">
        <v>48.02</v>
      </c>
      <c r="J42" s="630" t="s">
        <v>1164</v>
      </c>
      <c r="K42" s="531" t="s">
        <v>1926</v>
      </c>
      <c r="L42" s="532">
        <f t="shared" si="0"/>
        <v>0</v>
      </c>
      <c r="M42" s="532">
        <f t="shared" si="1"/>
        <v>0</v>
      </c>
      <c r="N42" s="532">
        <f t="shared" si="2"/>
        <v>0</v>
      </c>
    </row>
    <row r="43" spans="1:14">
      <c r="A43" s="3" t="str">
        <f t="shared" si="4"/>
        <v>1032</v>
      </c>
      <c r="B43" s="527" t="s">
        <v>1185</v>
      </c>
      <c r="C43" s="134">
        <v>103</v>
      </c>
      <c r="D43" s="528" t="s">
        <v>180</v>
      </c>
      <c r="E43" s="135" t="s">
        <v>361</v>
      </c>
      <c r="F43" s="527" t="s">
        <v>1169</v>
      </c>
      <c r="G43" s="527" t="s">
        <v>1186</v>
      </c>
      <c r="H43" s="529">
        <v>2</v>
      </c>
      <c r="I43" s="530">
        <f>1.95*6</f>
        <v>11.7</v>
      </c>
      <c r="J43" s="630" t="s">
        <v>1164</v>
      </c>
      <c r="K43" s="531"/>
      <c r="L43" s="532">
        <f t="shared" si="0"/>
        <v>0</v>
      </c>
      <c r="M43" s="532">
        <f t="shared" si="1"/>
        <v>0</v>
      </c>
      <c r="N43" s="532">
        <f t="shared" si="2"/>
        <v>0</v>
      </c>
    </row>
    <row r="44" spans="1:14">
      <c r="A44" s="3" t="str">
        <f t="shared" si="4"/>
        <v>1032</v>
      </c>
      <c r="B44" s="527" t="s">
        <v>1185</v>
      </c>
      <c r="C44" s="134">
        <v>103</v>
      </c>
      <c r="D44" s="528" t="s">
        <v>180</v>
      </c>
      <c r="E44" s="135" t="s">
        <v>361</v>
      </c>
      <c r="F44" s="527" t="s">
        <v>1160</v>
      </c>
      <c r="G44" s="527" t="s">
        <v>1187</v>
      </c>
      <c r="H44" s="529">
        <v>2</v>
      </c>
      <c r="I44" s="530">
        <v>48.02</v>
      </c>
      <c r="J44" s="630" t="s">
        <v>1161</v>
      </c>
      <c r="K44" s="531" t="s">
        <v>1926</v>
      </c>
      <c r="L44" s="532">
        <f t="shared" si="0"/>
        <v>0</v>
      </c>
      <c r="M44" s="532">
        <f t="shared" si="1"/>
        <v>0</v>
      </c>
      <c r="N44" s="532">
        <f t="shared" si="2"/>
        <v>0</v>
      </c>
    </row>
    <row r="45" spans="1:14">
      <c r="A45" s="3" t="str">
        <f t="shared" si="4"/>
        <v>1032</v>
      </c>
      <c r="B45" s="527" t="s">
        <v>1185</v>
      </c>
      <c r="C45" s="134">
        <v>103</v>
      </c>
      <c r="D45" s="528" t="s">
        <v>180</v>
      </c>
      <c r="E45" s="135" t="s">
        <v>361</v>
      </c>
      <c r="F45" s="527" t="s">
        <v>1171</v>
      </c>
      <c r="G45" s="527" t="s">
        <v>1187</v>
      </c>
      <c r="H45" s="529">
        <v>2</v>
      </c>
      <c r="I45" s="530">
        <f>1.95*6</f>
        <v>11.7</v>
      </c>
      <c r="J45" s="630" t="s">
        <v>1161</v>
      </c>
      <c r="K45" s="531"/>
      <c r="L45" s="532">
        <f t="shared" si="0"/>
        <v>0</v>
      </c>
      <c r="M45" s="532">
        <f t="shared" si="1"/>
        <v>0</v>
      </c>
      <c r="N45" s="532">
        <f t="shared" si="2"/>
        <v>0</v>
      </c>
    </row>
    <row r="46" spans="1:14">
      <c r="A46" s="3" t="str">
        <f t="shared" si="4"/>
        <v>1032</v>
      </c>
      <c r="B46" s="527" t="s">
        <v>1185</v>
      </c>
      <c r="C46" s="134">
        <v>103</v>
      </c>
      <c r="D46" s="528" t="s">
        <v>180</v>
      </c>
      <c r="E46" s="135" t="s">
        <v>1188</v>
      </c>
      <c r="F46" s="527" t="s">
        <v>1172</v>
      </c>
      <c r="G46" s="527" t="s">
        <v>1173</v>
      </c>
      <c r="H46" s="529">
        <v>2</v>
      </c>
      <c r="I46" s="530">
        <v>11.71</v>
      </c>
      <c r="J46" s="630" t="s">
        <v>1161</v>
      </c>
      <c r="K46" s="531"/>
      <c r="L46" s="532">
        <f t="shared" si="0"/>
        <v>0</v>
      </c>
      <c r="M46" s="532">
        <f t="shared" si="1"/>
        <v>0</v>
      </c>
      <c r="N46" s="532">
        <f t="shared" si="2"/>
        <v>0</v>
      </c>
    </row>
    <row r="47" spans="1:14">
      <c r="A47" s="3" t="str">
        <f t="shared" si="4"/>
        <v>1032</v>
      </c>
      <c r="B47" s="527" t="s">
        <v>1185</v>
      </c>
      <c r="C47" s="134">
        <v>103</v>
      </c>
      <c r="D47" s="528" t="s">
        <v>180</v>
      </c>
      <c r="E47" s="135" t="s">
        <v>1188</v>
      </c>
      <c r="F47" s="527" t="s">
        <v>1174</v>
      </c>
      <c r="G47" s="527" t="s">
        <v>1173</v>
      </c>
      <c r="H47" s="529">
        <v>2</v>
      </c>
      <c r="I47" s="530">
        <v>11.71</v>
      </c>
      <c r="J47" s="630" t="s">
        <v>1164</v>
      </c>
      <c r="K47" s="531"/>
      <c r="L47" s="532">
        <f t="shared" si="0"/>
        <v>0</v>
      </c>
      <c r="M47" s="532">
        <f t="shared" si="1"/>
        <v>0</v>
      </c>
      <c r="N47" s="532">
        <f t="shared" si="2"/>
        <v>0</v>
      </c>
    </row>
    <row r="48" spans="1:14">
      <c r="B48" s="527" t="s">
        <v>1185</v>
      </c>
      <c r="C48" s="134">
        <v>103</v>
      </c>
      <c r="D48" s="528" t="s">
        <v>180</v>
      </c>
      <c r="E48" s="135" t="s">
        <v>1188</v>
      </c>
      <c r="F48" s="527" t="s">
        <v>1175</v>
      </c>
      <c r="G48" s="527" t="s">
        <v>1176</v>
      </c>
      <c r="H48" s="529">
        <v>2</v>
      </c>
      <c r="I48" s="530">
        <v>1.92</v>
      </c>
      <c r="J48" s="630" t="s">
        <v>1161</v>
      </c>
      <c r="K48" s="531"/>
      <c r="L48" s="532">
        <f t="shared" si="0"/>
        <v>0</v>
      </c>
      <c r="M48" s="532">
        <f t="shared" si="1"/>
        <v>0</v>
      </c>
      <c r="N48" s="532">
        <f t="shared" si="2"/>
        <v>0</v>
      </c>
    </row>
    <row r="49" spans="1:14">
      <c r="B49" s="527" t="s">
        <v>1185</v>
      </c>
      <c r="C49" s="134">
        <v>103</v>
      </c>
      <c r="D49" s="528" t="s">
        <v>180</v>
      </c>
      <c r="E49" s="135" t="s">
        <v>1188</v>
      </c>
      <c r="F49" s="527" t="s">
        <v>1177</v>
      </c>
      <c r="G49" s="527" t="s">
        <v>1176</v>
      </c>
      <c r="H49" s="529">
        <v>2</v>
      </c>
      <c r="I49" s="530">
        <v>1.92</v>
      </c>
      <c r="J49" s="630" t="s">
        <v>1161</v>
      </c>
      <c r="K49" s="531"/>
      <c r="L49" s="532">
        <f t="shared" si="0"/>
        <v>0</v>
      </c>
      <c r="M49" s="532">
        <f t="shared" si="1"/>
        <v>0</v>
      </c>
      <c r="N49" s="532">
        <f t="shared" si="2"/>
        <v>0</v>
      </c>
    </row>
    <row r="50" spans="1:14">
      <c r="A50" s="3" t="str">
        <f t="shared" ref="A50:A60" si="5">CONCATENATE(C50,H50)</f>
        <v>1032</v>
      </c>
      <c r="B50" s="527" t="s">
        <v>1185</v>
      </c>
      <c r="C50" s="134">
        <v>103</v>
      </c>
      <c r="D50" s="528" t="s">
        <v>180</v>
      </c>
      <c r="E50" s="135" t="s">
        <v>481</v>
      </c>
      <c r="F50" s="527" t="s">
        <v>1163</v>
      </c>
      <c r="G50" s="527" t="s">
        <v>1189</v>
      </c>
      <c r="H50" s="529">
        <v>2</v>
      </c>
      <c r="I50" s="530">
        <v>19</v>
      </c>
      <c r="J50" s="630" t="s">
        <v>1164</v>
      </c>
      <c r="K50" s="531"/>
      <c r="L50" s="532">
        <f t="shared" si="0"/>
        <v>0</v>
      </c>
      <c r="M50" s="532">
        <f t="shared" si="1"/>
        <v>0</v>
      </c>
      <c r="N50" s="532">
        <f t="shared" si="2"/>
        <v>0</v>
      </c>
    </row>
    <row r="51" spans="1:14">
      <c r="A51" s="3" t="str">
        <f t="shared" si="5"/>
        <v>1032</v>
      </c>
      <c r="B51" s="527" t="s">
        <v>1185</v>
      </c>
      <c r="C51" s="134">
        <v>103</v>
      </c>
      <c r="D51" s="528" t="s">
        <v>180</v>
      </c>
      <c r="E51" s="135" t="s">
        <v>763</v>
      </c>
      <c r="F51" s="527" t="s">
        <v>1163</v>
      </c>
      <c r="G51" s="527" t="s">
        <v>1190</v>
      </c>
      <c r="H51" s="529">
        <v>2</v>
      </c>
      <c r="I51" s="530">
        <v>19.5</v>
      </c>
      <c r="J51" s="630" t="s">
        <v>1164</v>
      </c>
      <c r="K51" s="531"/>
      <c r="L51" s="532">
        <f t="shared" si="0"/>
        <v>0</v>
      </c>
      <c r="M51" s="532">
        <f t="shared" si="1"/>
        <v>0</v>
      </c>
      <c r="N51" s="532">
        <f t="shared" si="2"/>
        <v>0</v>
      </c>
    </row>
    <row r="52" spans="1:14">
      <c r="A52" s="3" t="str">
        <f t="shared" si="5"/>
        <v>1032</v>
      </c>
      <c r="B52" s="527" t="s">
        <v>1185</v>
      </c>
      <c r="C52" s="134">
        <v>103</v>
      </c>
      <c r="D52" s="528" t="s">
        <v>180</v>
      </c>
      <c r="E52" s="135" t="s">
        <v>376</v>
      </c>
      <c r="F52" s="527" t="s">
        <v>1163</v>
      </c>
      <c r="G52" s="527" t="s">
        <v>1191</v>
      </c>
      <c r="H52" s="529">
        <v>2</v>
      </c>
      <c r="I52" s="530">
        <v>48.44</v>
      </c>
      <c r="J52" s="630" t="s">
        <v>1164</v>
      </c>
      <c r="K52" s="531" t="s">
        <v>1927</v>
      </c>
      <c r="L52" s="532">
        <f t="shared" si="0"/>
        <v>0</v>
      </c>
      <c r="M52" s="532">
        <f t="shared" si="1"/>
        <v>0</v>
      </c>
      <c r="N52" s="532">
        <f t="shared" si="2"/>
        <v>0</v>
      </c>
    </row>
    <row r="53" spans="1:14">
      <c r="A53" s="3" t="str">
        <f t="shared" si="5"/>
        <v>1032</v>
      </c>
      <c r="B53" s="527" t="s">
        <v>1185</v>
      </c>
      <c r="C53" s="134">
        <v>103</v>
      </c>
      <c r="D53" s="528" t="s">
        <v>180</v>
      </c>
      <c r="E53" s="135" t="s">
        <v>376</v>
      </c>
      <c r="F53" s="527" t="s">
        <v>1160</v>
      </c>
      <c r="G53" s="527" t="s">
        <v>1192</v>
      </c>
      <c r="H53" s="529">
        <v>2</v>
      </c>
      <c r="I53" s="530">
        <v>48.44</v>
      </c>
      <c r="J53" s="630" t="s">
        <v>1161</v>
      </c>
      <c r="K53" s="531" t="s">
        <v>1927</v>
      </c>
      <c r="L53" s="532">
        <f t="shared" si="0"/>
        <v>0</v>
      </c>
      <c r="M53" s="532">
        <f t="shared" si="1"/>
        <v>0</v>
      </c>
      <c r="N53" s="532">
        <f t="shared" si="2"/>
        <v>0</v>
      </c>
    </row>
    <row r="54" spans="1:14">
      <c r="A54" s="3" t="str">
        <f t="shared" si="5"/>
        <v>1032</v>
      </c>
      <c r="B54" s="527" t="s">
        <v>1185</v>
      </c>
      <c r="C54" s="134">
        <v>103</v>
      </c>
      <c r="D54" s="528" t="s">
        <v>180</v>
      </c>
      <c r="E54" s="135" t="s">
        <v>486</v>
      </c>
      <c r="F54" s="527" t="s">
        <v>1163</v>
      </c>
      <c r="G54" s="527" t="s">
        <v>1193</v>
      </c>
      <c r="H54" s="529">
        <v>2</v>
      </c>
      <c r="I54" s="530">
        <v>34.5</v>
      </c>
      <c r="J54" s="630" t="s">
        <v>1164</v>
      </c>
      <c r="K54" s="531"/>
      <c r="L54" s="532">
        <f t="shared" si="0"/>
        <v>0</v>
      </c>
      <c r="M54" s="532">
        <f t="shared" si="1"/>
        <v>0</v>
      </c>
      <c r="N54" s="532">
        <f t="shared" si="2"/>
        <v>0</v>
      </c>
    </row>
    <row r="55" spans="1:14">
      <c r="A55" s="3" t="str">
        <f t="shared" si="5"/>
        <v>1032</v>
      </c>
      <c r="B55" s="527" t="s">
        <v>1185</v>
      </c>
      <c r="C55" s="134">
        <v>103</v>
      </c>
      <c r="D55" s="528" t="s">
        <v>180</v>
      </c>
      <c r="E55" s="135" t="s">
        <v>480</v>
      </c>
      <c r="F55" s="527" t="s">
        <v>1163</v>
      </c>
      <c r="G55" s="527" t="s">
        <v>1194</v>
      </c>
      <c r="H55" s="529">
        <v>2</v>
      </c>
      <c r="I55" s="530">
        <v>34.5</v>
      </c>
      <c r="J55" s="630" t="s">
        <v>1164</v>
      </c>
      <c r="K55" s="531"/>
      <c r="L55" s="532">
        <f t="shared" si="0"/>
        <v>0</v>
      </c>
      <c r="M55" s="532">
        <f t="shared" si="1"/>
        <v>0</v>
      </c>
      <c r="N55" s="532">
        <f t="shared" si="2"/>
        <v>0</v>
      </c>
    </row>
    <row r="56" spans="1:14">
      <c r="A56" s="3" t="str">
        <f t="shared" si="5"/>
        <v>1032</v>
      </c>
      <c r="B56" s="527" t="s">
        <v>1185</v>
      </c>
      <c r="C56" s="134">
        <v>103</v>
      </c>
      <c r="D56" s="528" t="s">
        <v>180</v>
      </c>
      <c r="E56" s="135" t="s">
        <v>482</v>
      </c>
      <c r="F56" s="527" t="s">
        <v>1163</v>
      </c>
      <c r="G56" s="527" t="s">
        <v>1195</v>
      </c>
      <c r="H56" s="529">
        <v>2</v>
      </c>
      <c r="I56" s="530">
        <v>22.5</v>
      </c>
      <c r="J56" s="630" t="s">
        <v>1164</v>
      </c>
      <c r="K56" s="531"/>
      <c r="L56" s="532">
        <f t="shared" si="0"/>
        <v>0</v>
      </c>
      <c r="M56" s="532">
        <f t="shared" si="1"/>
        <v>0</v>
      </c>
      <c r="N56" s="532">
        <f t="shared" si="2"/>
        <v>0</v>
      </c>
    </row>
    <row r="57" spans="1:14">
      <c r="A57" s="3" t="str">
        <f t="shared" si="5"/>
        <v>1032</v>
      </c>
      <c r="B57" s="527" t="s">
        <v>1185</v>
      </c>
      <c r="C57" s="134">
        <v>103</v>
      </c>
      <c r="D57" s="528" t="s">
        <v>180</v>
      </c>
      <c r="E57" s="135" t="s">
        <v>366</v>
      </c>
      <c r="F57" s="527" t="s">
        <v>1163</v>
      </c>
      <c r="G57" s="527" t="s">
        <v>1196</v>
      </c>
      <c r="H57" s="529">
        <v>2</v>
      </c>
      <c r="I57" s="530">
        <f>(2.5*10.8)+(5.6*1.8)+(3.3*2.3)+(3.3*2.3)+(10.7*2.5)+(6*(1.8*1))+(2*(1.1*1))</f>
        <v>92.009999999999991</v>
      </c>
      <c r="J57" s="630" t="s">
        <v>1164</v>
      </c>
      <c r="K57" s="531"/>
      <c r="L57" s="532">
        <f t="shared" si="0"/>
        <v>0</v>
      </c>
      <c r="M57" s="532">
        <f t="shared" si="1"/>
        <v>0</v>
      </c>
      <c r="N57" s="532">
        <f t="shared" si="2"/>
        <v>0</v>
      </c>
    </row>
    <row r="58" spans="1:14">
      <c r="A58" s="3" t="str">
        <f t="shared" si="5"/>
        <v>1032</v>
      </c>
      <c r="B58" s="527" t="s">
        <v>1185</v>
      </c>
      <c r="C58" s="134">
        <v>103</v>
      </c>
      <c r="D58" s="528" t="s">
        <v>180</v>
      </c>
      <c r="E58" s="135" t="s">
        <v>366</v>
      </c>
      <c r="F58" s="527" t="s">
        <v>1160</v>
      </c>
      <c r="G58" s="527" t="s">
        <v>1196</v>
      </c>
      <c r="H58" s="529">
        <v>2</v>
      </c>
      <c r="I58" s="530">
        <f>(2.5*10.8)+(5.6*1.8)+(3.3*2.3)+(3.3*2.3)+(10.7*2.5)+(6*(1.8*1))+(2*(1.1*1))</f>
        <v>92.009999999999991</v>
      </c>
      <c r="J58" s="630" t="s">
        <v>1164</v>
      </c>
      <c r="K58" s="531"/>
      <c r="L58" s="532">
        <f t="shared" si="0"/>
        <v>0</v>
      </c>
      <c r="M58" s="532">
        <f t="shared" si="1"/>
        <v>0</v>
      </c>
      <c r="N58" s="532">
        <f t="shared" si="2"/>
        <v>0</v>
      </c>
    </row>
    <row r="59" spans="1:14">
      <c r="A59" s="3" t="str">
        <f t="shared" si="5"/>
        <v>1032</v>
      </c>
      <c r="B59" s="527" t="s">
        <v>1185</v>
      </c>
      <c r="C59" s="134">
        <v>103</v>
      </c>
      <c r="D59" s="528" t="s">
        <v>180</v>
      </c>
      <c r="E59" s="135" t="s">
        <v>819</v>
      </c>
      <c r="F59" s="527" t="s">
        <v>1163</v>
      </c>
      <c r="G59" s="527" t="s">
        <v>1197</v>
      </c>
      <c r="H59" s="529">
        <v>2</v>
      </c>
      <c r="I59" s="530">
        <f>(2.8+2.2+2.8+2.2)*2.7</f>
        <v>27</v>
      </c>
      <c r="J59" s="630" t="s">
        <v>1164</v>
      </c>
      <c r="K59" s="531"/>
      <c r="L59" s="532">
        <f t="shared" si="0"/>
        <v>0</v>
      </c>
      <c r="M59" s="532">
        <f t="shared" si="1"/>
        <v>0</v>
      </c>
      <c r="N59" s="532">
        <f t="shared" si="2"/>
        <v>0</v>
      </c>
    </row>
    <row r="60" spans="1:14">
      <c r="A60" s="3" t="str">
        <f t="shared" si="5"/>
        <v>1032</v>
      </c>
      <c r="B60" s="527" t="s">
        <v>1185</v>
      </c>
      <c r="C60" s="134">
        <v>103</v>
      </c>
      <c r="D60" s="528" t="s">
        <v>180</v>
      </c>
      <c r="E60" s="135" t="s">
        <v>819</v>
      </c>
      <c r="F60" s="527" t="s">
        <v>1163</v>
      </c>
      <c r="G60" s="527" t="s">
        <v>1198</v>
      </c>
      <c r="H60" s="529">
        <v>2</v>
      </c>
      <c r="I60" s="530">
        <f>(2.8+2.2+2.8+2.2)*2.7</f>
        <v>27</v>
      </c>
      <c r="J60" s="630" t="s">
        <v>1164</v>
      </c>
      <c r="K60" s="531"/>
      <c r="L60" s="532">
        <f t="shared" si="0"/>
        <v>0</v>
      </c>
      <c r="M60" s="532">
        <f t="shared" si="1"/>
        <v>0</v>
      </c>
      <c r="N60" s="532">
        <f t="shared" si="2"/>
        <v>0</v>
      </c>
    </row>
    <row r="61" spans="1:14">
      <c r="B61" s="527" t="s">
        <v>1185</v>
      </c>
      <c r="C61" s="134">
        <v>103</v>
      </c>
      <c r="D61" s="528" t="s">
        <v>180</v>
      </c>
      <c r="E61" s="135" t="s">
        <v>51</v>
      </c>
      <c r="F61" s="527" t="s">
        <v>1172</v>
      </c>
      <c r="G61" s="527"/>
      <c r="H61" s="529">
        <v>2</v>
      </c>
      <c r="I61" s="530">
        <v>6.71</v>
      </c>
      <c r="J61" s="630" t="s">
        <v>1161</v>
      </c>
      <c r="K61" s="531"/>
      <c r="L61" s="532">
        <f t="shared" si="0"/>
        <v>0</v>
      </c>
      <c r="M61" s="532">
        <f t="shared" si="1"/>
        <v>0</v>
      </c>
      <c r="N61" s="532">
        <f t="shared" si="2"/>
        <v>0</v>
      </c>
    </row>
    <row r="62" spans="1:14">
      <c r="B62" s="527" t="s">
        <v>1185</v>
      </c>
      <c r="C62" s="134">
        <v>103</v>
      </c>
      <c r="D62" s="528" t="s">
        <v>180</v>
      </c>
      <c r="E62" s="135" t="s">
        <v>51</v>
      </c>
      <c r="F62" s="527" t="s">
        <v>1174</v>
      </c>
      <c r="G62" s="527"/>
      <c r="H62" s="529">
        <v>2</v>
      </c>
      <c r="I62" s="530">
        <v>6.71</v>
      </c>
      <c r="J62" s="630" t="s">
        <v>1164</v>
      </c>
      <c r="K62" s="531"/>
      <c r="L62" s="532">
        <f t="shared" si="0"/>
        <v>0</v>
      </c>
      <c r="M62" s="532">
        <f t="shared" si="1"/>
        <v>0</v>
      </c>
      <c r="N62" s="532">
        <f t="shared" si="2"/>
        <v>0</v>
      </c>
    </row>
    <row r="63" spans="1:14">
      <c r="B63" s="527" t="s">
        <v>1185</v>
      </c>
      <c r="C63" s="134">
        <v>103</v>
      </c>
      <c r="D63" s="528" t="s">
        <v>180</v>
      </c>
      <c r="E63" s="135" t="s">
        <v>51</v>
      </c>
      <c r="F63" s="527" t="s">
        <v>1175</v>
      </c>
      <c r="G63" s="527"/>
      <c r="H63" s="529">
        <v>2</v>
      </c>
      <c r="I63" s="530">
        <v>1.92</v>
      </c>
      <c r="J63" s="630" t="s">
        <v>1161</v>
      </c>
      <c r="K63" s="531"/>
      <c r="L63" s="532">
        <f t="shared" si="0"/>
        <v>0</v>
      </c>
      <c r="M63" s="532">
        <f t="shared" si="1"/>
        <v>0</v>
      </c>
      <c r="N63" s="532">
        <f t="shared" si="2"/>
        <v>0</v>
      </c>
    </row>
    <row r="64" spans="1:14">
      <c r="B64" s="527" t="s">
        <v>1185</v>
      </c>
      <c r="C64" s="134">
        <v>103</v>
      </c>
      <c r="D64" s="528" t="s">
        <v>180</v>
      </c>
      <c r="E64" s="135" t="s">
        <v>51</v>
      </c>
      <c r="F64" s="527" t="s">
        <v>1177</v>
      </c>
      <c r="G64" s="527"/>
      <c r="H64" s="529">
        <v>2</v>
      </c>
      <c r="I64" s="530">
        <v>1.92</v>
      </c>
      <c r="J64" s="630" t="s">
        <v>1161</v>
      </c>
      <c r="K64" s="531"/>
      <c r="L64" s="532">
        <f t="shared" si="0"/>
        <v>0</v>
      </c>
      <c r="M64" s="532">
        <f t="shared" si="1"/>
        <v>0</v>
      </c>
      <c r="N64" s="532">
        <f t="shared" si="2"/>
        <v>0</v>
      </c>
    </row>
    <row r="65" spans="1:14">
      <c r="A65" s="3" t="str">
        <f t="shared" ref="A65:A75" si="6">CONCATENATE(C65,H65)</f>
        <v>10326</v>
      </c>
      <c r="B65" s="527" t="s">
        <v>1185</v>
      </c>
      <c r="C65" s="134">
        <v>103</v>
      </c>
      <c r="D65" s="528" t="s">
        <v>180</v>
      </c>
      <c r="E65" s="135"/>
      <c r="F65" s="527" t="s">
        <v>1162</v>
      </c>
      <c r="G65" s="527" t="s">
        <v>1308</v>
      </c>
      <c r="H65" s="529">
        <v>26</v>
      </c>
      <c r="I65" s="530">
        <v>34.51</v>
      </c>
      <c r="J65" s="630" t="s">
        <v>1161</v>
      </c>
      <c r="K65" s="531" t="s">
        <v>1309</v>
      </c>
      <c r="L65" s="532">
        <f t="shared" si="0"/>
        <v>0</v>
      </c>
      <c r="M65" s="532">
        <f t="shared" si="1"/>
        <v>0</v>
      </c>
      <c r="N65" s="532">
        <f t="shared" si="2"/>
        <v>0</v>
      </c>
    </row>
    <row r="66" spans="1:14">
      <c r="A66" s="3" t="str">
        <f t="shared" si="6"/>
        <v>1042</v>
      </c>
      <c r="B66" s="527" t="s">
        <v>1199</v>
      </c>
      <c r="C66" s="134">
        <v>104</v>
      </c>
      <c r="D66" s="528" t="s">
        <v>180</v>
      </c>
      <c r="E66" s="135" t="s">
        <v>371</v>
      </c>
      <c r="F66" s="527" t="s">
        <v>1160</v>
      </c>
      <c r="G66" s="527" t="s">
        <v>1200</v>
      </c>
      <c r="H66" s="529">
        <v>2</v>
      </c>
      <c r="I66" s="530">
        <v>38.07</v>
      </c>
      <c r="J66" s="630" t="s">
        <v>1161</v>
      </c>
      <c r="K66" s="531"/>
      <c r="L66" s="532">
        <f t="shared" si="0"/>
        <v>0</v>
      </c>
      <c r="M66" s="532">
        <f t="shared" si="1"/>
        <v>0</v>
      </c>
      <c r="N66" s="532">
        <f t="shared" si="2"/>
        <v>0</v>
      </c>
    </row>
    <row r="67" spans="1:14">
      <c r="A67" s="3" t="str">
        <f t="shared" si="6"/>
        <v>1042</v>
      </c>
      <c r="B67" s="527" t="s">
        <v>1199</v>
      </c>
      <c r="C67" s="134">
        <v>104</v>
      </c>
      <c r="D67" s="528" t="s">
        <v>180</v>
      </c>
      <c r="E67" s="135" t="s">
        <v>371</v>
      </c>
      <c r="F67" s="527" t="s">
        <v>1163</v>
      </c>
      <c r="G67" s="527" t="s">
        <v>1201</v>
      </c>
      <c r="H67" s="529">
        <v>2</v>
      </c>
      <c r="I67" s="530">
        <v>38.07</v>
      </c>
      <c r="J67" s="630" t="s">
        <v>1164</v>
      </c>
      <c r="K67" s="531"/>
      <c r="L67" s="532">
        <f t="shared" si="0"/>
        <v>0</v>
      </c>
      <c r="M67" s="532">
        <f t="shared" si="1"/>
        <v>0</v>
      </c>
      <c r="N67" s="532">
        <f t="shared" si="2"/>
        <v>0</v>
      </c>
    </row>
    <row r="68" spans="1:14">
      <c r="A68" s="3" t="str">
        <f t="shared" si="6"/>
        <v>1042</v>
      </c>
      <c r="B68" s="527" t="s">
        <v>1199</v>
      </c>
      <c r="C68" s="134">
        <v>104</v>
      </c>
      <c r="D68" s="528" t="s">
        <v>180</v>
      </c>
      <c r="E68" s="135" t="s">
        <v>362</v>
      </c>
      <c r="F68" s="527" t="s">
        <v>1160</v>
      </c>
      <c r="G68" s="527" t="s">
        <v>1200</v>
      </c>
      <c r="H68" s="529">
        <v>2</v>
      </c>
      <c r="I68" s="530">
        <v>58.74</v>
      </c>
      <c r="J68" s="630" t="s">
        <v>1161</v>
      </c>
      <c r="K68" s="531"/>
      <c r="L68" s="532">
        <f t="shared" si="0"/>
        <v>0</v>
      </c>
      <c r="M68" s="532">
        <f t="shared" si="1"/>
        <v>0</v>
      </c>
      <c r="N68" s="532">
        <f t="shared" si="2"/>
        <v>0</v>
      </c>
    </row>
    <row r="69" spans="1:14">
      <c r="A69" s="3" t="str">
        <f t="shared" si="6"/>
        <v>1042</v>
      </c>
      <c r="B69" s="527" t="s">
        <v>1199</v>
      </c>
      <c r="C69" s="134">
        <v>104</v>
      </c>
      <c r="D69" s="528" t="s">
        <v>180</v>
      </c>
      <c r="E69" s="135" t="s">
        <v>362</v>
      </c>
      <c r="F69" s="527" t="s">
        <v>1163</v>
      </c>
      <c r="G69" s="527" t="s">
        <v>1201</v>
      </c>
      <c r="H69" s="529">
        <v>2</v>
      </c>
      <c r="I69" s="530">
        <v>58.07</v>
      </c>
      <c r="J69" s="630" t="s">
        <v>1164</v>
      </c>
      <c r="K69" s="531"/>
      <c r="L69" s="532">
        <f t="shared" si="0"/>
        <v>0</v>
      </c>
      <c r="M69" s="532">
        <f t="shared" si="1"/>
        <v>0</v>
      </c>
      <c r="N69" s="532">
        <f t="shared" si="2"/>
        <v>0</v>
      </c>
    </row>
    <row r="70" spans="1:14">
      <c r="A70" s="3" t="str">
        <f t="shared" si="6"/>
        <v>1042</v>
      </c>
      <c r="B70" s="527" t="s">
        <v>1199</v>
      </c>
      <c r="C70" s="134">
        <v>104</v>
      </c>
      <c r="D70" s="528" t="s">
        <v>180</v>
      </c>
      <c r="E70" s="135" t="s">
        <v>1188</v>
      </c>
      <c r="F70" s="527" t="s">
        <v>1172</v>
      </c>
      <c r="G70" s="527" t="s">
        <v>1173</v>
      </c>
      <c r="H70" s="529">
        <v>2</v>
      </c>
      <c r="I70" s="530">
        <v>15.07</v>
      </c>
      <c r="J70" s="630" t="s">
        <v>1161</v>
      </c>
      <c r="K70" s="531"/>
      <c r="L70" s="532">
        <f t="shared" si="0"/>
        <v>0</v>
      </c>
      <c r="M70" s="532">
        <f t="shared" si="1"/>
        <v>0</v>
      </c>
      <c r="N70" s="532">
        <f t="shared" si="2"/>
        <v>0</v>
      </c>
    </row>
    <row r="71" spans="1:14">
      <c r="A71" s="3" t="str">
        <f t="shared" si="6"/>
        <v>1042</v>
      </c>
      <c r="B71" s="527" t="s">
        <v>1199</v>
      </c>
      <c r="C71" s="134">
        <v>104</v>
      </c>
      <c r="D71" s="528" t="s">
        <v>180</v>
      </c>
      <c r="E71" s="135" t="s">
        <v>1188</v>
      </c>
      <c r="F71" s="527" t="s">
        <v>1174</v>
      </c>
      <c r="G71" s="527" t="s">
        <v>1173</v>
      </c>
      <c r="H71" s="529">
        <v>2</v>
      </c>
      <c r="I71" s="530">
        <v>15.07</v>
      </c>
      <c r="J71" s="630" t="s">
        <v>1164</v>
      </c>
      <c r="K71" s="531"/>
      <c r="L71" s="532">
        <f t="shared" si="0"/>
        <v>0</v>
      </c>
      <c r="M71" s="532">
        <f t="shared" si="1"/>
        <v>0</v>
      </c>
      <c r="N71" s="532">
        <f t="shared" si="2"/>
        <v>0</v>
      </c>
    </row>
    <row r="72" spans="1:14">
      <c r="A72" s="3" t="str">
        <f t="shared" si="6"/>
        <v>1042</v>
      </c>
      <c r="B72" s="527" t="s">
        <v>1199</v>
      </c>
      <c r="C72" s="134">
        <v>104</v>
      </c>
      <c r="D72" s="528" t="s">
        <v>180</v>
      </c>
      <c r="E72" s="135" t="s">
        <v>1188</v>
      </c>
      <c r="F72" s="527" t="s">
        <v>1175</v>
      </c>
      <c r="G72" s="527" t="s">
        <v>1176</v>
      </c>
      <c r="H72" s="529">
        <v>2</v>
      </c>
      <c r="I72" s="530">
        <v>1.92</v>
      </c>
      <c r="J72" s="630" t="s">
        <v>1161</v>
      </c>
      <c r="K72" s="531"/>
      <c r="L72" s="532">
        <f t="shared" si="0"/>
        <v>0</v>
      </c>
      <c r="M72" s="532">
        <f t="shared" si="1"/>
        <v>0</v>
      </c>
      <c r="N72" s="532">
        <f t="shared" si="2"/>
        <v>0</v>
      </c>
    </row>
    <row r="73" spans="1:14">
      <c r="A73" s="3" t="str">
        <f t="shared" si="6"/>
        <v>1042</v>
      </c>
      <c r="B73" s="527" t="s">
        <v>1199</v>
      </c>
      <c r="C73" s="134">
        <v>104</v>
      </c>
      <c r="D73" s="528" t="s">
        <v>180</v>
      </c>
      <c r="E73" s="135" t="s">
        <v>1188</v>
      </c>
      <c r="F73" s="527" t="s">
        <v>1177</v>
      </c>
      <c r="G73" s="527" t="s">
        <v>1176</v>
      </c>
      <c r="H73" s="529">
        <v>2</v>
      </c>
      <c r="I73" s="530">
        <v>1.92</v>
      </c>
      <c r="J73" s="630" t="s">
        <v>1161</v>
      </c>
      <c r="K73" s="531"/>
      <c r="L73" s="532">
        <f t="shared" si="0"/>
        <v>0</v>
      </c>
      <c r="M73" s="532">
        <f t="shared" si="1"/>
        <v>0</v>
      </c>
      <c r="N73" s="532">
        <f t="shared" si="2"/>
        <v>0</v>
      </c>
    </row>
    <row r="74" spans="1:14">
      <c r="A74" s="3" t="str">
        <f t="shared" si="6"/>
        <v>1042</v>
      </c>
      <c r="B74" s="527" t="s">
        <v>1199</v>
      </c>
      <c r="C74" s="134">
        <v>104</v>
      </c>
      <c r="D74" s="528" t="s">
        <v>180</v>
      </c>
      <c r="E74" s="135" t="s">
        <v>365</v>
      </c>
      <c r="F74" s="527" t="s">
        <v>1160</v>
      </c>
      <c r="G74" s="527" t="s">
        <v>1202</v>
      </c>
      <c r="H74" s="529">
        <v>2</v>
      </c>
      <c r="I74" s="530">
        <v>1.97</v>
      </c>
      <c r="J74" s="630" t="s">
        <v>1161</v>
      </c>
      <c r="K74" s="531"/>
      <c r="L74" s="532">
        <f t="shared" si="0"/>
        <v>0</v>
      </c>
      <c r="M74" s="532">
        <f t="shared" si="1"/>
        <v>0</v>
      </c>
      <c r="N74" s="532">
        <f t="shared" si="2"/>
        <v>0</v>
      </c>
    </row>
    <row r="75" spans="1:14">
      <c r="A75" s="3" t="str">
        <f t="shared" si="6"/>
        <v>1042</v>
      </c>
      <c r="B75" s="527" t="s">
        <v>1199</v>
      </c>
      <c r="C75" s="134">
        <v>104</v>
      </c>
      <c r="D75" s="528" t="s">
        <v>180</v>
      </c>
      <c r="E75" s="135" t="s">
        <v>365</v>
      </c>
      <c r="F75" s="527" t="s">
        <v>1160</v>
      </c>
      <c r="G75" s="527" t="s">
        <v>1203</v>
      </c>
      <c r="H75" s="529">
        <v>2</v>
      </c>
      <c r="I75" s="530">
        <v>1.97</v>
      </c>
      <c r="J75" s="630" t="s">
        <v>1164</v>
      </c>
      <c r="K75" s="531"/>
      <c r="L75" s="532">
        <f t="shared" si="0"/>
        <v>0</v>
      </c>
      <c r="M75" s="532">
        <f t="shared" si="1"/>
        <v>0</v>
      </c>
      <c r="N75" s="532">
        <f t="shared" si="2"/>
        <v>0</v>
      </c>
    </row>
    <row r="76" spans="1:14">
      <c r="B76" s="527" t="s">
        <v>1199</v>
      </c>
      <c r="C76" s="134">
        <v>104</v>
      </c>
      <c r="D76" s="528" t="s">
        <v>180</v>
      </c>
      <c r="E76" s="135"/>
      <c r="F76" s="527" t="s">
        <v>1175</v>
      </c>
      <c r="G76" s="527" t="s">
        <v>1928</v>
      </c>
      <c r="H76" s="529">
        <v>2</v>
      </c>
      <c r="I76" s="530">
        <v>22.7</v>
      </c>
      <c r="J76" s="630" t="s">
        <v>1161</v>
      </c>
      <c r="K76" s="531"/>
      <c r="L76" s="532">
        <f t="shared" si="0"/>
        <v>0</v>
      </c>
      <c r="M76" s="532">
        <f t="shared" si="1"/>
        <v>0</v>
      </c>
      <c r="N76" s="532">
        <f t="shared" si="2"/>
        <v>0</v>
      </c>
    </row>
    <row r="77" spans="1:14">
      <c r="B77" s="527" t="s">
        <v>1199</v>
      </c>
      <c r="C77" s="134">
        <v>104</v>
      </c>
      <c r="D77" s="528" t="s">
        <v>180</v>
      </c>
      <c r="E77" s="135"/>
      <c r="F77" s="527" t="s">
        <v>1177</v>
      </c>
      <c r="G77" s="527" t="s">
        <v>1928</v>
      </c>
      <c r="H77" s="529">
        <v>2</v>
      </c>
      <c r="I77" s="530">
        <v>22.7</v>
      </c>
      <c r="J77" s="630" t="s">
        <v>1161</v>
      </c>
      <c r="K77" s="531"/>
      <c r="L77" s="532">
        <f t="shared" ref="L77:L140" si="7">IF(J77="ja",0,VLOOKUP(F77,Glassoort2,2,0))*I77</f>
        <v>0</v>
      </c>
      <c r="M77" s="532">
        <f t="shared" ref="M77:M140" si="8">IF(J77="ja",VLOOKUP(F77,Glassoort2,3,0))*I77</f>
        <v>0</v>
      </c>
      <c r="N77" s="532">
        <f t="shared" si="2"/>
        <v>0</v>
      </c>
    </row>
    <row r="78" spans="1:14">
      <c r="B78" s="527" t="s">
        <v>1199</v>
      </c>
      <c r="C78" s="134">
        <v>104</v>
      </c>
      <c r="D78" s="528" t="s">
        <v>180</v>
      </c>
      <c r="E78" s="135"/>
      <c r="F78" s="527" t="s">
        <v>1175</v>
      </c>
      <c r="G78" s="527" t="s">
        <v>1929</v>
      </c>
      <c r="H78" s="529">
        <v>2</v>
      </c>
      <c r="I78" s="530">
        <v>1.92</v>
      </c>
      <c r="J78" s="630" t="s">
        <v>1161</v>
      </c>
      <c r="K78" s="531"/>
      <c r="L78" s="532">
        <f t="shared" si="7"/>
        <v>0</v>
      </c>
      <c r="M78" s="532">
        <f t="shared" si="8"/>
        <v>0</v>
      </c>
      <c r="N78" s="532">
        <f t="shared" ref="N78:N145" si="9">(M78*H78)+(L78*H78)</f>
        <v>0</v>
      </c>
    </row>
    <row r="79" spans="1:14">
      <c r="B79" s="527" t="s">
        <v>1199</v>
      </c>
      <c r="C79" s="134">
        <v>104</v>
      </c>
      <c r="D79" s="528" t="s">
        <v>180</v>
      </c>
      <c r="E79" s="135"/>
      <c r="F79" s="527" t="s">
        <v>1177</v>
      </c>
      <c r="G79" s="527" t="s">
        <v>1929</v>
      </c>
      <c r="H79" s="529">
        <v>2</v>
      </c>
      <c r="I79" s="530">
        <v>1.92</v>
      </c>
      <c r="J79" s="630" t="s">
        <v>1161</v>
      </c>
      <c r="K79" s="531"/>
      <c r="L79" s="532">
        <f t="shared" si="7"/>
        <v>0</v>
      </c>
      <c r="M79" s="532">
        <f t="shared" si="8"/>
        <v>0</v>
      </c>
      <c r="N79" s="532">
        <f t="shared" si="9"/>
        <v>0</v>
      </c>
    </row>
    <row r="80" spans="1:14">
      <c r="B80" s="527" t="s">
        <v>1199</v>
      </c>
      <c r="C80" s="134">
        <v>104</v>
      </c>
      <c r="D80" s="528" t="s">
        <v>180</v>
      </c>
      <c r="E80" s="135" t="s">
        <v>767</v>
      </c>
      <c r="F80" s="527" t="s">
        <v>1165</v>
      </c>
      <c r="G80" s="527" t="s">
        <v>1930</v>
      </c>
      <c r="H80" s="529">
        <v>2</v>
      </c>
      <c r="I80" s="530">
        <v>31.5</v>
      </c>
      <c r="J80" s="630" t="s">
        <v>1161</v>
      </c>
      <c r="K80" s="531"/>
      <c r="L80" s="532">
        <f t="shared" si="7"/>
        <v>0</v>
      </c>
      <c r="M80" s="532">
        <f t="shared" si="8"/>
        <v>0</v>
      </c>
      <c r="N80" s="532">
        <f t="shared" si="9"/>
        <v>0</v>
      </c>
    </row>
    <row r="81" spans="1:14">
      <c r="B81" s="527" t="s">
        <v>1199</v>
      </c>
      <c r="C81" s="134">
        <v>104</v>
      </c>
      <c r="D81" s="528" t="s">
        <v>180</v>
      </c>
      <c r="E81" s="135" t="s">
        <v>484</v>
      </c>
      <c r="F81" s="527" t="s">
        <v>1165</v>
      </c>
      <c r="G81" s="527" t="s">
        <v>1931</v>
      </c>
      <c r="H81" s="529">
        <v>2</v>
      </c>
      <c r="I81" s="530">
        <v>28.5</v>
      </c>
      <c r="J81" s="630" t="s">
        <v>1161</v>
      </c>
      <c r="K81" s="531"/>
      <c r="L81" s="532">
        <f t="shared" si="7"/>
        <v>0</v>
      </c>
      <c r="M81" s="532">
        <f t="shared" si="8"/>
        <v>0</v>
      </c>
      <c r="N81" s="532">
        <f t="shared" si="9"/>
        <v>0</v>
      </c>
    </row>
    <row r="82" spans="1:14">
      <c r="B82" s="527" t="s">
        <v>1199</v>
      </c>
      <c r="C82" s="134">
        <v>104</v>
      </c>
      <c r="D82" s="528" t="s">
        <v>180</v>
      </c>
      <c r="E82" s="135" t="s">
        <v>766</v>
      </c>
      <c r="F82" s="527" t="s">
        <v>1165</v>
      </c>
      <c r="G82" s="527" t="s">
        <v>1932</v>
      </c>
      <c r="H82" s="529">
        <v>2</v>
      </c>
      <c r="I82" s="530">
        <v>33</v>
      </c>
      <c r="J82" s="630" t="s">
        <v>1161</v>
      </c>
      <c r="K82" s="531"/>
      <c r="L82" s="532">
        <f t="shared" si="7"/>
        <v>0</v>
      </c>
      <c r="M82" s="532">
        <f t="shared" si="8"/>
        <v>0</v>
      </c>
      <c r="N82" s="532">
        <f t="shared" si="9"/>
        <v>0</v>
      </c>
    </row>
    <row r="83" spans="1:14">
      <c r="B83" s="527" t="s">
        <v>1199</v>
      </c>
      <c r="C83" s="134">
        <v>104</v>
      </c>
      <c r="D83" s="528" t="s">
        <v>180</v>
      </c>
      <c r="E83" s="135" t="s">
        <v>482</v>
      </c>
      <c r="F83" s="527" t="s">
        <v>1165</v>
      </c>
      <c r="G83" s="527" t="s">
        <v>1933</v>
      </c>
      <c r="H83" s="529">
        <v>2</v>
      </c>
      <c r="I83" s="530">
        <v>28.5</v>
      </c>
      <c r="J83" s="630" t="s">
        <v>1161</v>
      </c>
      <c r="K83" s="531"/>
      <c r="L83" s="532">
        <f t="shared" si="7"/>
        <v>0</v>
      </c>
      <c r="M83" s="532">
        <f t="shared" si="8"/>
        <v>0</v>
      </c>
      <c r="N83" s="532">
        <f t="shared" si="9"/>
        <v>0</v>
      </c>
    </row>
    <row r="84" spans="1:14">
      <c r="B84" s="527" t="s">
        <v>1199</v>
      </c>
      <c r="C84" s="134">
        <v>104</v>
      </c>
      <c r="D84" s="528" t="s">
        <v>180</v>
      </c>
      <c r="E84" s="135" t="s">
        <v>1204</v>
      </c>
      <c r="F84" s="527" t="s">
        <v>1172</v>
      </c>
      <c r="G84" s="527"/>
      <c r="H84" s="529">
        <v>2</v>
      </c>
      <c r="I84" s="530">
        <v>9.73</v>
      </c>
      <c r="J84" s="630" t="s">
        <v>1161</v>
      </c>
      <c r="K84" s="531"/>
      <c r="L84" s="532">
        <f t="shared" si="7"/>
        <v>0</v>
      </c>
      <c r="M84" s="532">
        <f t="shared" si="8"/>
        <v>0</v>
      </c>
      <c r="N84" s="532">
        <f t="shared" si="9"/>
        <v>0</v>
      </c>
    </row>
    <row r="85" spans="1:14">
      <c r="B85" s="527" t="s">
        <v>1199</v>
      </c>
      <c r="C85" s="134">
        <v>104</v>
      </c>
      <c r="D85" s="528" t="s">
        <v>180</v>
      </c>
      <c r="E85" s="135" t="s">
        <v>1204</v>
      </c>
      <c r="F85" s="527" t="s">
        <v>1174</v>
      </c>
      <c r="G85" s="527"/>
      <c r="H85" s="529">
        <v>2</v>
      </c>
      <c r="I85" s="530">
        <v>9.73</v>
      </c>
      <c r="J85" s="630" t="s">
        <v>1164</v>
      </c>
      <c r="K85" s="531"/>
      <c r="L85" s="532">
        <f t="shared" si="7"/>
        <v>0</v>
      </c>
      <c r="M85" s="532">
        <f t="shared" si="8"/>
        <v>0</v>
      </c>
      <c r="N85" s="532">
        <f t="shared" si="9"/>
        <v>0</v>
      </c>
    </row>
    <row r="86" spans="1:14">
      <c r="A86" s="3" t="str">
        <f>CONCATENATE(C86,H86)</f>
        <v>1042</v>
      </c>
      <c r="B86" s="527" t="s">
        <v>1199</v>
      </c>
      <c r="C86" s="134">
        <v>104</v>
      </c>
      <c r="D86" s="528" t="s">
        <v>180</v>
      </c>
      <c r="E86" s="135" t="s">
        <v>1204</v>
      </c>
      <c r="F86" s="527" t="s">
        <v>1175</v>
      </c>
      <c r="G86" s="527" t="s">
        <v>1176</v>
      </c>
      <c r="H86" s="529">
        <v>2</v>
      </c>
      <c r="I86" s="530">
        <v>1.92</v>
      </c>
      <c r="J86" s="630" t="s">
        <v>1161</v>
      </c>
      <c r="K86" s="531"/>
      <c r="L86" s="532">
        <f t="shared" si="7"/>
        <v>0</v>
      </c>
      <c r="M86" s="532">
        <f t="shared" si="8"/>
        <v>0</v>
      </c>
      <c r="N86" s="532">
        <f t="shared" si="9"/>
        <v>0</v>
      </c>
    </row>
    <row r="87" spans="1:14">
      <c r="A87" s="3" t="str">
        <f>CONCATENATE(C87,H87)</f>
        <v>1042</v>
      </c>
      <c r="B87" s="527" t="s">
        <v>1199</v>
      </c>
      <c r="C87" s="134">
        <v>104</v>
      </c>
      <c r="D87" s="528" t="s">
        <v>180</v>
      </c>
      <c r="E87" s="135" t="s">
        <v>1204</v>
      </c>
      <c r="F87" s="527" t="s">
        <v>1177</v>
      </c>
      <c r="G87" s="527" t="s">
        <v>1176</v>
      </c>
      <c r="H87" s="529">
        <v>2</v>
      </c>
      <c r="I87" s="530">
        <v>1.92</v>
      </c>
      <c r="J87" s="630" t="s">
        <v>1161</v>
      </c>
      <c r="K87" s="531"/>
      <c r="L87" s="532">
        <f t="shared" si="7"/>
        <v>0</v>
      </c>
      <c r="M87" s="532">
        <f t="shared" si="8"/>
        <v>0</v>
      </c>
      <c r="N87" s="532">
        <f t="shared" si="9"/>
        <v>0</v>
      </c>
    </row>
    <row r="88" spans="1:14">
      <c r="B88" s="527" t="s">
        <v>1199</v>
      </c>
      <c r="C88" s="134">
        <v>104</v>
      </c>
      <c r="D88" s="528" t="s">
        <v>180</v>
      </c>
      <c r="E88" s="135" t="s">
        <v>1205</v>
      </c>
      <c r="F88" s="527" t="s">
        <v>1172</v>
      </c>
      <c r="G88" s="527"/>
      <c r="H88" s="529">
        <v>2</v>
      </c>
      <c r="I88" s="530">
        <v>9.73</v>
      </c>
      <c r="J88" s="630" t="s">
        <v>1161</v>
      </c>
      <c r="K88" s="531"/>
      <c r="L88" s="532">
        <f t="shared" si="7"/>
        <v>0</v>
      </c>
      <c r="M88" s="532">
        <f t="shared" si="8"/>
        <v>0</v>
      </c>
      <c r="N88" s="532">
        <f t="shared" si="9"/>
        <v>0</v>
      </c>
    </row>
    <row r="89" spans="1:14">
      <c r="B89" s="527" t="s">
        <v>1199</v>
      </c>
      <c r="C89" s="134">
        <v>104</v>
      </c>
      <c r="D89" s="528" t="s">
        <v>180</v>
      </c>
      <c r="E89" s="135" t="s">
        <v>1205</v>
      </c>
      <c r="F89" s="527" t="s">
        <v>1174</v>
      </c>
      <c r="G89" s="527"/>
      <c r="H89" s="529">
        <v>2</v>
      </c>
      <c r="I89" s="530">
        <v>9.73</v>
      </c>
      <c r="J89" s="630" t="s">
        <v>1164</v>
      </c>
      <c r="K89" s="531"/>
      <c r="L89" s="532">
        <f t="shared" si="7"/>
        <v>0</v>
      </c>
      <c r="M89" s="532">
        <f t="shared" si="8"/>
        <v>0</v>
      </c>
      <c r="N89" s="532">
        <f t="shared" si="9"/>
        <v>0</v>
      </c>
    </row>
    <row r="90" spans="1:14">
      <c r="A90" s="3" t="str">
        <f t="shared" ref="A90:A98" si="10">CONCATENATE(C90,H90)</f>
        <v>1042</v>
      </c>
      <c r="B90" s="527" t="s">
        <v>1199</v>
      </c>
      <c r="C90" s="134">
        <v>104</v>
      </c>
      <c r="D90" s="528" t="s">
        <v>180</v>
      </c>
      <c r="E90" s="135" t="s">
        <v>1205</v>
      </c>
      <c r="F90" s="527" t="s">
        <v>1175</v>
      </c>
      <c r="G90" s="527" t="s">
        <v>1176</v>
      </c>
      <c r="H90" s="529">
        <v>2</v>
      </c>
      <c r="I90" s="530">
        <v>1.92</v>
      </c>
      <c r="J90" s="630" t="s">
        <v>1161</v>
      </c>
      <c r="K90" s="531"/>
      <c r="L90" s="532">
        <f t="shared" si="7"/>
        <v>0</v>
      </c>
      <c r="M90" s="532">
        <f t="shared" si="8"/>
        <v>0</v>
      </c>
      <c r="N90" s="532">
        <f t="shared" si="9"/>
        <v>0</v>
      </c>
    </row>
    <row r="91" spans="1:14">
      <c r="A91" s="3" t="str">
        <f t="shared" si="10"/>
        <v>1042</v>
      </c>
      <c r="B91" s="527" t="s">
        <v>1199</v>
      </c>
      <c r="C91" s="134">
        <v>104</v>
      </c>
      <c r="D91" s="528" t="s">
        <v>180</v>
      </c>
      <c r="E91" s="135" t="s">
        <v>1205</v>
      </c>
      <c r="F91" s="527" t="s">
        <v>1177</v>
      </c>
      <c r="G91" s="527" t="s">
        <v>1176</v>
      </c>
      <c r="H91" s="529">
        <v>2</v>
      </c>
      <c r="I91" s="530">
        <v>1.92</v>
      </c>
      <c r="J91" s="630" t="s">
        <v>1161</v>
      </c>
      <c r="K91" s="531"/>
      <c r="L91" s="532">
        <f t="shared" si="7"/>
        <v>0</v>
      </c>
      <c r="M91" s="532">
        <f t="shared" si="8"/>
        <v>0</v>
      </c>
      <c r="N91" s="532">
        <f t="shared" si="9"/>
        <v>0</v>
      </c>
    </row>
    <row r="92" spans="1:14">
      <c r="A92" s="3" t="str">
        <f t="shared" si="10"/>
        <v>1042</v>
      </c>
      <c r="B92" s="527" t="s">
        <v>1199</v>
      </c>
      <c r="C92" s="134">
        <v>104</v>
      </c>
      <c r="D92" s="528" t="s">
        <v>180</v>
      </c>
      <c r="E92" s="135"/>
      <c r="F92" s="527" t="s">
        <v>1212</v>
      </c>
      <c r="G92" s="527" t="s">
        <v>1387</v>
      </c>
      <c r="H92" s="529">
        <v>2</v>
      </c>
      <c r="I92" s="530">
        <v>155</v>
      </c>
      <c r="J92" s="630" t="s">
        <v>1161</v>
      </c>
      <c r="K92" s="531"/>
      <c r="L92" s="532">
        <f t="shared" si="7"/>
        <v>0</v>
      </c>
      <c r="M92" s="532">
        <f t="shared" si="8"/>
        <v>0</v>
      </c>
      <c r="N92" s="532">
        <f t="shared" si="9"/>
        <v>0</v>
      </c>
    </row>
    <row r="93" spans="1:14">
      <c r="A93" s="3" t="str">
        <f t="shared" si="10"/>
        <v>1042</v>
      </c>
      <c r="B93" s="527" t="s">
        <v>1199</v>
      </c>
      <c r="C93" s="134">
        <v>104</v>
      </c>
      <c r="D93" s="528" t="s">
        <v>180</v>
      </c>
      <c r="E93" s="135"/>
      <c r="F93" s="527" t="s">
        <v>1215</v>
      </c>
      <c r="G93" s="527" t="s">
        <v>1388</v>
      </c>
      <c r="H93" s="529">
        <v>2</v>
      </c>
      <c r="I93" s="530">
        <v>155</v>
      </c>
      <c r="J93" s="630" t="s">
        <v>1164</v>
      </c>
      <c r="K93" s="531"/>
      <c r="L93" s="532">
        <f t="shared" si="7"/>
        <v>0</v>
      </c>
      <c r="M93" s="532">
        <f t="shared" si="8"/>
        <v>0</v>
      </c>
      <c r="N93" s="532">
        <f t="shared" si="9"/>
        <v>0</v>
      </c>
    </row>
    <row r="94" spans="1:14">
      <c r="A94" s="3" t="str">
        <f t="shared" si="10"/>
        <v>1042</v>
      </c>
      <c r="B94" s="527" t="s">
        <v>1199</v>
      </c>
      <c r="C94" s="134">
        <v>104</v>
      </c>
      <c r="D94" s="528" t="s">
        <v>180</v>
      </c>
      <c r="E94" s="135"/>
      <c r="F94" s="527" t="s">
        <v>1212</v>
      </c>
      <c r="G94" s="527" t="s">
        <v>1387</v>
      </c>
      <c r="H94" s="529">
        <v>2</v>
      </c>
      <c r="I94" s="530">
        <v>155</v>
      </c>
      <c r="J94" s="630" t="s">
        <v>1161</v>
      </c>
      <c r="K94" s="531"/>
      <c r="L94" s="532">
        <f t="shared" si="7"/>
        <v>0</v>
      </c>
      <c r="M94" s="532">
        <f t="shared" si="8"/>
        <v>0</v>
      </c>
      <c r="N94" s="532">
        <f t="shared" si="9"/>
        <v>0</v>
      </c>
    </row>
    <row r="95" spans="1:14">
      <c r="A95" s="3" t="str">
        <f t="shared" si="10"/>
        <v>1042</v>
      </c>
      <c r="B95" s="527" t="s">
        <v>1199</v>
      </c>
      <c r="C95" s="134">
        <v>104</v>
      </c>
      <c r="D95" s="528" t="s">
        <v>180</v>
      </c>
      <c r="E95" s="135"/>
      <c r="F95" s="527" t="s">
        <v>1215</v>
      </c>
      <c r="G95" s="527" t="s">
        <v>1388</v>
      </c>
      <c r="H95" s="529">
        <v>2</v>
      </c>
      <c r="I95" s="530">
        <v>155</v>
      </c>
      <c r="J95" s="630" t="s">
        <v>1164</v>
      </c>
      <c r="K95" s="531"/>
      <c r="L95" s="532">
        <f t="shared" si="7"/>
        <v>0</v>
      </c>
      <c r="M95" s="532">
        <f t="shared" si="8"/>
        <v>0</v>
      </c>
      <c r="N95" s="532">
        <f t="shared" si="9"/>
        <v>0</v>
      </c>
    </row>
    <row r="96" spans="1:14">
      <c r="A96" s="3" t="str">
        <f t="shared" si="10"/>
        <v>10426</v>
      </c>
      <c r="B96" s="527" t="s">
        <v>1199</v>
      </c>
      <c r="C96" s="134">
        <v>104</v>
      </c>
      <c r="D96" s="528" t="s">
        <v>180</v>
      </c>
      <c r="E96" s="135"/>
      <c r="F96" s="527" t="s">
        <v>1162</v>
      </c>
      <c r="G96" s="527" t="s">
        <v>1308</v>
      </c>
      <c r="H96" s="529">
        <v>26</v>
      </c>
      <c r="I96" s="530">
        <v>60</v>
      </c>
      <c r="J96" s="630" t="s">
        <v>1161</v>
      </c>
      <c r="K96" s="531" t="s">
        <v>1309</v>
      </c>
      <c r="L96" s="532">
        <f t="shared" si="7"/>
        <v>0</v>
      </c>
      <c r="M96" s="532">
        <f t="shared" si="8"/>
        <v>0</v>
      </c>
      <c r="N96" s="532">
        <f t="shared" si="9"/>
        <v>0</v>
      </c>
    </row>
    <row r="97" spans="1:14">
      <c r="A97" s="3" t="str">
        <f t="shared" si="10"/>
        <v>1052</v>
      </c>
      <c r="B97" s="527" t="s">
        <v>1206</v>
      </c>
      <c r="C97" s="134">
        <v>105</v>
      </c>
      <c r="D97" s="528" t="s">
        <v>180</v>
      </c>
      <c r="E97" s="135" t="s">
        <v>366</v>
      </c>
      <c r="F97" s="527" t="s">
        <v>1163</v>
      </c>
      <c r="G97" s="527" t="s">
        <v>1207</v>
      </c>
      <c r="H97" s="529">
        <v>2</v>
      </c>
      <c r="I97" s="530">
        <v>93.67</v>
      </c>
      <c r="J97" s="630" t="s">
        <v>1164</v>
      </c>
      <c r="K97" s="531"/>
      <c r="L97" s="532">
        <f t="shared" si="7"/>
        <v>0</v>
      </c>
      <c r="M97" s="532">
        <f t="shared" si="8"/>
        <v>0</v>
      </c>
      <c r="N97" s="532">
        <f t="shared" si="9"/>
        <v>0</v>
      </c>
    </row>
    <row r="98" spans="1:14">
      <c r="A98" s="3" t="str">
        <f t="shared" si="10"/>
        <v>1052</v>
      </c>
      <c r="B98" s="527" t="s">
        <v>1206</v>
      </c>
      <c r="C98" s="134">
        <v>105</v>
      </c>
      <c r="D98" s="528" t="s">
        <v>180</v>
      </c>
      <c r="E98" s="135" t="s">
        <v>366</v>
      </c>
      <c r="F98" s="527" t="s">
        <v>1160</v>
      </c>
      <c r="G98" s="527" t="s">
        <v>1208</v>
      </c>
      <c r="H98" s="529">
        <v>2</v>
      </c>
      <c r="I98" s="530">
        <v>93.67</v>
      </c>
      <c r="J98" s="630" t="s">
        <v>1161</v>
      </c>
      <c r="K98" s="531"/>
      <c r="L98" s="532">
        <f t="shared" si="7"/>
        <v>0</v>
      </c>
      <c r="M98" s="532">
        <f t="shared" si="8"/>
        <v>0</v>
      </c>
      <c r="N98" s="532">
        <f t="shared" si="9"/>
        <v>0</v>
      </c>
    </row>
    <row r="99" spans="1:14">
      <c r="B99" s="527" t="s">
        <v>1206</v>
      </c>
      <c r="C99" s="134">
        <v>105</v>
      </c>
      <c r="D99" s="528" t="s">
        <v>180</v>
      </c>
      <c r="E99" s="135"/>
      <c r="F99" s="527" t="s">
        <v>1175</v>
      </c>
      <c r="G99" s="527" t="s">
        <v>1934</v>
      </c>
      <c r="H99" s="529">
        <v>2</v>
      </c>
      <c r="I99" s="530">
        <v>1.92</v>
      </c>
      <c r="J99" s="630" t="s">
        <v>1161</v>
      </c>
      <c r="K99" s="531"/>
      <c r="L99" s="532">
        <f t="shared" si="7"/>
        <v>0</v>
      </c>
      <c r="M99" s="532">
        <f t="shared" si="8"/>
        <v>0</v>
      </c>
      <c r="N99" s="532">
        <f t="shared" si="9"/>
        <v>0</v>
      </c>
    </row>
    <row r="100" spans="1:14">
      <c r="B100" s="527" t="s">
        <v>1206</v>
      </c>
      <c r="C100" s="134">
        <v>105</v>
      </c>
      <c r="D100" s="528" t="s">
        <v>180</v>
      </c>
      <c r="E100" s="135"/>
      <c r="F100" s="527" t="s">
        <v>1177</v>
      </c>
      <c r="G100" s="527" t="s">
        <v>1934</v>
      </c>
      <c r="H100" s="529">
        <v>2</v>
      </c>
      <c r="I100" s="530">
        <v>1.92</v>
      </c>
      <c r="J100" s="630" t="s">
        <v>1161</v>
      </c>
      <c r="K100" s="531"/>
      <c r="L100" s="532">
        <f t="shared" si="7"/>
        <v>0</v>
      </c>
      <c r="M100" s="532">
        <f t="shared" si="8"/>
        <v>0</v>
      </c>
      <c r="N100" s="532">
        <f t="shared" si="9"/>
        <v>0</v>
      </c>
    </row>
    <row r="101" spans="1:14">
      <c r="A101" s="3" t="str">
        <f t="shared" ref="A101:A108" si="11">CONCATENATE(C101,H101)</f>
        <v>1052</v>
      </c>
      <c r="B101" s="527" t="s">
        <v>1206</v>
      </c>
      <c r="C101" s="134">
        <v>105</v>
      </c>
      <c r="D101" s="528" t="s">
        <v>180</v>
      </c>
      <c r="E101" s="135" t="s">
        <v>174</v>
      </c>
      <c r="F101" s="527" t="s">
        <v>1172</v>
      </c>
      <c r="G101" s="527" t="s">
        <v>1935</v>
      </c>
      <c r="H101" s="529">
        <v>2</v>
      </c>
      <c r="I101" s="530">
        <v>6</v>
      </c>
      <c r="J101" s="630" t="s">
        <v>1161</v>
      </c>
      <c r="K101" s="531"/>
      <c r="L101" s="532">
        <f t="shared" si="7"/>
        <v>0</v>
      </c>
      <c r="M101" s="532">
        <f t="shared" si="8"/>
        <v>0</v>
      </c>
      <c r="N101" s="532">
        <f t="shared" si="9"/>
        <v>0</v>
      </c>
    </row>
    <row r="102" spans="1:14">
      <c r="A102" s="3" t="str">
        <f t="shared" si="11"/>
        <v>1052</v>
      </c>
      <c r="B102" s="527" t="s">
        <v>1206</v>
      </c>
      <c r="C102" s="134">
        <v>105</v>
      </c>
      <c r="D102" s="528" t="s">
        <v>180</v>
      </c>
      <c r="E102" s="135" t="s">
        <v>174</v>
      </c>
      <c r="F102" s="527" t="s">
        <v>1174</v>
      </c>
      <c r="G102" s="527" t="s">
        <v>1935</v>
      </c>
      <c r="H102" s="529">
        <v>2</v>
      </c>
      <c r="I102" s="530">
        <v>6</v>
      </c>
      <c r="J102" s="630" t="s">
        <v>1164</v>
      </c>
      <c r="K102" s="531"/>
      <c r="L102" s="532">
        <f t="shared" si="7"/>
        <v>0</v>
      </c>
      <c r="M102" s="532">
        <f t="shared" si="8"/>
        <v>0</v>
      </c>
      <c r="N102" s="532">
        <f t="shared" si="9"/>
        <v>0</v>
      </c>
    </row>
    <row r="103" spans="1:14">
      <c r="A103" s="3" t="str">
        <f t="shared" si="11"/>
        <v>1052</v>
      </c>
      <c r="B103" s="527" t="s">
        <v>1206</v>
      </c>
      <c r="C103" s="134">
        <v>105</v>
      </c>
      <c r="D103" s="528" t="s">
        <v>180</v>
      </c>
      <c r="E103" s="135" t="s">
        <v>362</v>
      </c>
      <c r="F103" s="527" t="s">
        <v>1163</v>
      </c>
      <c r="G103" s="527" t="s">
        <v>1207</v>
      </c>
      <c r="H103" s="529">
        <v>2</v>
      </c>
      <c r="I103" s="530">
        <v>82.34</v>
      </c>
      <c r="J103" s="630" t="s">
        <v>1164</v>
      </c>
      <c r="K103" s="531"/>
      <c r="L103" s="532">
        <f t="shared" si="7"/>
        <v>0</v>
      </c>
      <c r="M103" s="532">
        <f t="shared" si="8"/>
        <v>0</v>
      </c>
      <c r="N103" s="532">
        <f t="shared" si="9"/>
        <v>0</v>
      </c>
    </row>
    <row r="104" spans="1:14">
      <c r="A104" s="3" t="str">
        <f t="shared" si="11"/>
        <v>1052</v>
      </c>
      <c r="B104" s="527" t="s">
        <v>1206</v>
      </c>
      <c r="C104" s="134">
        <v>105</v>
      </c>
      <c r="D104" s="528" t="s">
        <v>180</v>
      </c>
      <c r="E104" s="135" t="s">
        <v>362</v>
      </c>
      <c r="F104" s="527" t="s">
        <v>1160</v>
      </c>
      <c r="G104" s="527" t="s">
        <v>1208</v>
      </c>
      <c r="H104" s="529">
        <v>2</v>
      </c>
      <c r="I104" s="530">
        <v>82.34</v>
      </c>
      <c r="J104" s="630" t="s">
        <v>1161</v>
      </c>
      <c r="K104" s="531"/>
      <c r="L104" s="532">
        <f t="shared" si="7"/>
        <v>0</v>
      </c>
      <c r="M104" s="532">
        <f t="shared" si="8"/>
        <v>0</v>
      </c>
      <c r="N104" s="532">
        <f t="shared" si="9"/>
        <v>0</v>
      </c>
    </row>
    <row r="105" spans="1:14">
      <c r="A105" s="3" t="str">
        <f t="shared" si="11"/>
        <v>1052</v>
      </c>
      <c r="B105" s="527" t="s">
        <v>1206</v>
      </c>
      <c r="C105" s="134">
        <v>105</v>
      </c>
      <c r="D105" s="528" t="s">
        <v>180</v>
      </c>
      <c r="E105" s="135" t="s">
        <v>376</v>
      </c>
      <c r="F105" s="527" t="s">
        <v>1163</v>
      </c>
      <c r="G105" s="527" t="s">
        <v>1207</v>
      </c>
      <c r="H105" s="529">
        <v>2</v>
      </c>
      <c r="I105" s="530">
        <v>50.41</v>
      </c>
      <c r="J105" s="630" t="s">
        <v>1164</v>
      </c>
      <c r="K105" s="531"/>
      <c r="L105" s="532">
        <f t="shared" si="7"/>
        <v>0</v>
      </c>
      <c r="M105" s="532">
        <f t="shared" si="8"/>
        <v>0</v>
      </c>
      <c r="N105" s="532">
        <f t="shared" si="9"/>
        <v>0</v>
      </c>
    </row>
    <row r="106" spans="1:14">
      <c r="A106" s="3" t="str">
        <f t="shared" si="11"/>
        <v>1052</v>
      </c>
      <c r="B106" s="527" t="s">
        <v>1206</v>
      </c>
      <c r="C106" s="134">
        <v>105</v>
      </c>
      <c r="D106" s="528" t="s">
        <v>180</v>
      </c>
      <c r="E106" s="135" t="s">
        <v>376</v>
      </c>
      <c r="F106" s="527" t="s">
        <v>1160</v>
      </c>
      <c r="G106" s="527" t="s">
        <v>1208</v>
      </c>
      <c r="H106" s="529">
        <v>2</v>
      </c>
      <c r="I106" s="530">
        <v>50.41</v>
      </c>
      <c r="J106" s="630" t="s">
        <v>1161</v>
      </c>
      <c r="K106" s="531"/>
      <c r="L106" s="532">
        <f t="shared" si="7"/>
        <v>0</v>
      </c>
      <c r="M106" s="532">
        <f t="shared" si="8"/>
        <v>0</v>
      </c>
      <c r="N106" s="532">
        <f t="shared" si="9"/>
        <v>0</v>
      </c>
    </row>
    <row r="107" spans="1:14">
      <c r="A107" s="3" t="str">
        <f t="shared" si="11"/>
        <v>1052</v>
      </c>
      <c r="B107" s="527" t="s">
        <v>1206</v>
      </c>
      <c r="C107" s="134">
        <v>105</v>
      </c>
      <c r="D107" s="528" t="s">
        <v>180</v>
      </c>
      <c r="E107" s="135" t="s">
        <v>732</v>
      </c>
      <c r="F107" s="527" t="s">
        <v>1163</v>
      </c>
      <c r="G107" s="527" t="s">
        <v>1207</v>
      </c>
      <c r="H107" s="529">
        <v>2</v>
      </c>
      <c r="I107" s="530">
        <v>50.41</v>
      </c>
      <c r="J107" s="630" t="s">
        <v>1164</v>
      </c>
      <c r="K107" s="531"/>
      <c r="L107" s="532">
        <f t="shared" si="7"/>
        <v>0</v>
      </c>
      <c r="M107" s="532">
        <f t="shared" si="8"/>
        <v>0</v>
      </c>
      <c r="N107" s="532">
        <f t="shared" si="9"/>
        <v>0</v>
      </c>
    </row>
    <row r="108" spans="1:14">
      <c r="A108" s="3" t="str">
        <f t="shared" si="11"/>
        <v>1052</v>
      </c>
      <c r="B108" s="527" t="s">
        <v>1206</v>
      </c>
      <c r="C108" s="134">
        <v>105</v>
      </c>
      <c r="D108" s="528" t="s">
        <v>180</v>
      </c>
      <c r="E108" s="135" t="s">
        <v>732</v>
      </c>
      <c r="F108" s="527" t="s">
        <v>1160</v>
      </c>
      <c r="G108" s="527" t="s">
        <v>1208</v>
      </c>
      <c r="H108" s="529">
        <v>2</v>
      </c>
      <c r="I108" s="530">
        <v>50.41</v>
      </c>
      <c r="J108" s="630" t="s">
        <v>1161</v>
      </c>
      <c r="K108" s="531"/>
      <c r="L108" s="532">
        <f t="shared" si="7"/>
        <v>0</v>
      </c>
      <c r="M108" s="532">
        <f t="shared" si="8"/>
        <v>0</v>
      </c>
      <c r="N108" s="532">
        <f t="shared" si="9"/>
        <v>0</v>
      </c>
    </row>
    <row r="109" spans="1:14">
      <c r="B109" s="527" t="s">
        <v>1206</v>
      </c>
      <c r="C109" s="134">
        <v>105</v>
      </c>
      <c r="D109" s="528" t="s">
        <v>180</v>
      </c>
      <c r="E109" s="135" t="s">
        <v>1936</v>
      </c>
      <c r="F109" s="527" t="s">
        <v>1165</v>
      </c>
      <c r="G109" s="527" t="s">
        <v>1937</v>
      </c>
      <c r="H109" s="529">
        <v>2</v>
      </c>
      <c r="I109" s="530">
        <v>40</v>
      </c>
      <c r="J109" s="630" t="s">
        <v>1161</v>
      </c>
      <c r="K109" s="531"/>
      <c r="L109" s="532">
        <f t="shared" si="7"/>
        <v>0</v>
      </c>
      <c r="M109" s="532">
        <f t="shared" si="8"/>
        <v>0</v>
      </c>
      <c r="N109" s="532">
        <f t="shared" si="9"/>
        <v>0</v>
      </c>
    </row>
    <row r="110" spans="1:14">
      <c r="A110" s="3" t="str">
        <f>CONCATENATE(C110,H110)</f>
        <v>1052</v>
      </c>
      <c r="B110" s="527" t="s">
        <v>1206</v>
      </c>
      <c r="C110" s="134">
        <v>105</v>
      </c>
      <c r="D110" s="528" t="s">
        <v>180</v>
      </c>
      <c r="E110" s="135" t="s">
        <v>2058</v>
      </c>
      <c r="F110" s="527" t="s">
        <v>1172</v>
      </c>
      <c r="G110" s="527" t="s">
        <v>1173</v>
      </c>
      <c r="H110" s="529">
        <v>2</v>
      </c>
      <c r="I110" s="530">
        <v>5.86</v>
      </c>
      <c r="J110" s="630" t="s">
        <v>1161</v>
      </c>
      <c r="K110" s="531"/>
      <c r="L110" s="532">
        <f t="shared" si="7"/>
        <v>0</v>
      </c>
      <c r="M110" s="532">
        <f t="shared" si="8"/>
        <v>0</v>
      </c>
      <c r="N110" s="532">
        <f t="shared" ref="N110:N113" si="12">(M110*H110)+(L110*H110)</f>
        <v>0</v>
      </c>
    </row>
    <row r="111" spans="1:14">
      <c r="A111" s="3" t="str">
        <f>CONCATENATE(C111,H111)</f>
        <v>1052</v>
      </c>
      <c r="B111" s="527" t="s">
        <v>1206</v>
      </c>
      <c r="C111" s="134">
        <v>105</v>
      </c>
      <c r="D111" s="528" t="s">
        <v>180</v>
      </c>
      <c r="E111" s="135" t="s">
        <v>2058</v>
      </c>
      <c r="F111" s="527" t="s">
        <v>1174</v>
      </c>
      <c r="G111" s="527" t="s">
        <v>1173</v>
      </c>
      <c r="H111" s="529">
        <v>2</v>
      </c>
      <c r="I111" s="530">
        <v>5.86</v>
      </c>
      <c r="J111" s="630" t="s">
        <v>1164</v>
      </c>
      <c r="K111" s="531"/>
      <c r="L111" s="532">
        <f t="shared" si="7"/>
        <v>0</v>
      </c>
      <c r="M111" s="532">
        <f t="shared" si="8"/>
        <v>0</v>
      </c>
      <c r="N111" s="532">
        <f t="shared" si="12"/>
        <v>0</v>
      </c>
    </row>
    <row r="112" spans="1:14">
      <c r="B112" s="527" t="s">
        <v>1206</v>
      </c>
      <c r="C112" s="134">
        <v>105</v>
      </c>
      <c r="D112" s="528" t="s">
        <v>180</v>
      </c>
      <c r="E112" s="135" t="s">
        <v>2058</v>
      </c>
      <c r="F112" s="527" t="s">
        <v>1175</v>
      </c>
      <c r="G112" s="527" t="s">
        <v>1938</v>
      </c>
      <c r="H112" s="529">
        <v>2</v>
      </c>
      <c r="I112" s="530">
        <v>1.92</v>
      </c>
      <c r="J112" s="630" t="s">
        <v>1161</v>
      </c>
      <c r="K112" s="531"/>
      <c r="L112" s="532">
        <f t="shared" si="7"/>
        <v>0</v>
      </c>
      <c r="M112" s="532">
        <f t="shared" si="8"/>
        <v>0</v>
      </c>
      <c r="N112" s="532">
        <f t="shared" si="12"/>
        <v>0</v>
      </c>
    </row>
    <row r="113" spans="1:14">
      <c r="B113" s="527" t="s">
        <v>1206</v>
      </c>
      <c r="C113" s="134">
        <v>105</v>
      </c>
      <c r="D113" s="528" t="s">
        <v>180</v>
      </c>
      <c r="E113" s="135" t="s">
        <v>2058</v>
      </c>
      <c r="F113" s="527" t="s">
        <v>1177</v>
      </c>
      <c r="G113" s="527" t="s">
        <v>1938</v>
      </c>
      <c r="H113" s="529">
        <v>2</v>
      </c>
      <c r="I113" s="530">
        <v>1.92</v>
      </c>
      <c r="J113" s="630" t="s">
        <v>1161</v>
      </c>
      <c r="K113" s="531"/>
      <c r="L113" s="532">
        <f t="shared" si="7"/>
        <v>0</v>
      </c>
      <c r="M113" s="532">
        <f t="shared" si="8"/>
        <v>0</v>
      </c>
      <c r="N113" s="532">
        <f t="shared" si="12"/>
        <v>0</v>
      </c>
    </row>
    <row r="114" spans="1:14">
      <c r="A114" s="3" t="str">
        <f>CONCATENATE(C114,H114)</f>
        <v>1052</v>
      </c>
      <c r="B114" s="527" t="s">
        <v>1206</v>
      </c>
      <c r="C114" s="134">
        <v>105</v>
      </c>
      <c r="D114" s="528" t="s">
        <v>180</v>
      </c>
      <c r="E114" s="135" t="s">
        <v>1209</v>
      </c>
      <c r="F114" s="527" t="s">
        <v>1172</v>
      </c>
      <c r="G114" s="527" t="s">
        <v>1173</v>
      </c>
      <c r="H114" s="529">
        <v>2</v>
      </c>
      <c r="I114" s="530">
        <v>5.86</v>
      </c>
      <c r="J114" s="630" t="s">
        <v>1161</v>
      </c>
      <c r="K114" s="531"/>
      <c r="L114" s="532">
        <f t="shared" si="7"/>
        <v>0</v>
      </c>
      <c r="M114" s="532">
        <f t="shared" si="8"/>
        <v>0</v>
      </c>
      <c r="N114" s="532">
        <f t="shared" si="9"/>
        <v>0</v>
      </c>
    </row>
    <row r="115" spans="1:14">
      <c r="A115" s="3" t="str">
        <f>CONCATENATE(C115,H115)</f>
        <v>1052</v>
      </c>
      <c r="B115" s="527" t="s">
        <v>1206</v>
      </c>
      <c r="C115" s="134">
        <v>105</v>
      </c>
      <c r="D115" s="528" t="s">
        <v>180</v>
      </c>
      <c r="E115" s="135" t="s">
        <v>1209</v>
      </c>
      <c r="F115" s="527" t="s">
        <v>1174</v>
      </c>
      <c r="G115" s="527" t="s">
        <v>1173</v>
      </c>
      <c r="H115" s="529">
        <v>2</v>
      </c>
      <c r="I115" s="530">
        <v>5.86</v>
      </c>
      <c r="J115" s="630" t="s">
        <v>1164</v>
      </c>
      <c r="K115" s="531"/>
      <c r="L115" s="532">
        <f t="shared" si="7"/>
        <v>0</v>
      </c>
      <c r="M115" s="532">
        <f t="shared" si="8"/>
        <v>0</v>
      </c>
      <c r="N115" s="532">
        <f t="shared" si="9"/>
        <v>0</v>
      </c>
    </row>
    <row r="116" spans="1:14">
      <c r="B116" s="527" t="s">
        <v>1206</v>
      </c>
      <c r="C116" s="134">
        <v>105</v>
      </c>
      <c r="D116" s="528" t="s">
        <v>180</v>
      </c>
      <c r="E116" s="135" t="s">
        <v>1209</v>
      </c>
      <c r="F116" s="527" t="s">
        <v>1175</v>
      </c>
      <c r="G116" s="527" t="s">
        <v>1938</v>
      </c>
      <c r="H116" s="529">
        <v>2</v>
      </c>
      <c r="I116" s="530">
        <v>1.92</v>
      </c>
      <c r="J116" s="630" t="s">
        <v>1161</v>
      </c>
      <c r="K116" s="531"/>
      <c r="L116" s="532">
        <f t="shared" si="7"/>
        <v>0</v>
      </c>
      <c r="M116" s="532">
        <f t="shared" si="8"/>
        <v>0</v>
      </c>
      <c r="N116" s="532">
        <f t="shared" si="9"/>
        <v>0</v>
      </c>
    </row>
    <row r="117" spans="1:14">
      <c r="B117" s="527" t="s">
        <v>1206</v>
      </c>
      <c r="C117" s="134">
        <v>105</v>
      </c>
      <c r="D117" s="528" t="s">
        <v>180</v>
      </c>
      <c r="E117" s="135" t="s">
        <v>1209</v>
      </c>
      <c r="F117" s="527" t="s">
        <v>1177</v>
      </c>
      <c r="G117" s="527" t="s">
        <v>1938</v>
      </c>
      <c r="H117" s="529">
        <v>2</v>
      </c>
      <c r="I117" s="530">
        <v>1.92</v>
      </c>
      <c r="J117" s="630" t="s">
        <v>1161</v>
      </c>
      <c r="K117" s="531"/>
      <c r="L117" s="532">
        <f t="shared" si="7"/>
        <v>0</v>
      </c>
      <c r="M117" s="532">
        <f t="shared" si="8"/>
        <v>0</v>
      </c>
      <c r="N117" s="532">
        <f t="shared" si="9"/>
        <v>0</v>
      </c>
    </row>
    <row r="118" spans="1:14">
      <c r="A118" s="3" t="str">
        <f t="shared" ref="A118:A132" si="13">CONCATENATE(C118,H118)</f>
        <v>10526</v>
      </c>
      <c r="B118" s="527" t="s">
        <v>1206</v>
      </c>
      <c r="C118" s="134">
        <v>105</v>
      </c>
      <c r="D118" s="528" t="s">
        <v>180</v>
      </c>
      <c r="E118" s="135"/>
      <c r="F118" s="527" t="s">
        <v>1162</v>
      </c>
      <c r="G118" s="527" t="s">
        <v>1308</v>
      </c>
      <c r="H118" s="529">
        <v>26</v>
      </c>
      <c r="I118" s="530">
        <f>44.71</f>
        <v>44.71</v>
      </c>
      <c r="J118" s="630" t="s">
        <v>1161</v>
      </c>
      <c r="K118" s="531" t="s">
        <v>1309</v>
      </c>
      <c r="L118" s="532">
        <f t="shared" si="7"/>
        <v>0</v>
      </c>
      <c r="M118" s="532">
        <f t="shared" si="8"/>
        <v>0</v>
      </c>
      <c r="N118" s="532">
        <f t="shared" si="9"/>
        <v>0</v>
      </c>
    </row>
    <row r="119" spans="1:14">
      <c r="A119" s="3" t="str">
        <f t="shared" si="13"/>
        <v>1072</v>
      </c>
      <c r="B119" s="527" t="s">
        <v>288</v>
      </c>
      <c r="C119" s="134">
        <v>107</v>
      </c>
      <c r="D119" s="528" t="s">
        <v>22</v>
      </c>
      <c r="E119" s="533" t="s">
        <v>63</v>
      </c>
      <c r="F119" s="527" t="s">
        <v>1162</v>
      </c>
      <c r="G119" s="527" t="s">
        <v>1210</v>
      </c>
      <c r="H119" s="529">
        <v>2</v>
      </c>
      <c r="I119" s="530">
        <f>6*2*2</f>
        <v>24</v>
      </c>
      <c r="J119" s="630" t="s">
        <v>1164</v>
      </c>
      <c r="K119" s="531"/>
      <c r="L119" s="532">
        <f t="shared" si="7"/>
        <v>0</v>
      </c>
      <c r="M119" s="532">
        <f t="shared" si="8"/>
        <v>0</v>
      </c>
      <c r="N119" s="532">
        <f t="shared" si="9"/>
        <v>0</v>
      </c>
    </row>
    <row r="120" spans="1:14">
      <c r="A120" s="3" t="str">
        <f t="shared" si="13"/>
        <v>1072</v>
      </c>
      <c r="B120" s="527" t="s">
        <v>288</v>
      </c>
      <c r="C120" s="134">
        <v>107</v>
      </c>
      <c r="D120" s="528" t="s">
        <v>22</v>
      </c>
      <c r="E120" s="533" t="s">
        <v>63</v>
      </c>
      <c r="F120" s="527" t="s">
        <v>1162</v>
      </c>
      <c r="G120" s="527" t="s">
        <v>1211</v>
      </c>
      <c r="H120" s="529">
        <v>2</v>
      </c>
      <c r="I120" s="530">
        <f>6*2*2</f>
        <v>24</v>
      </c>
      <c r="J120" s="630" t="s">
        <v>1164</v>
      </c>
      <c r="K120" s="531"/>
      <c r="L120" s="532">
        <f t="shared" si="7"/>
        <v>0</v>
      </c>
      <c r="M120" s="532">
        <f t="shared" si="8"/>
        <v>0</v>
      </c>
      <c r="N120" s="532">
        <f t="shared" si="9"/>
        <v>0</v>
      </c>
    </row>
    <row r="121" spans="1:14">
      <c r="A121" s="3" t="str">
        <f t="shared" si="13"/>
        <v>1072</v>
      </c>
      <c r="B121" s="527" t="s">
        <v>288</v>
      </c>
      <c r="C121" s="134">
        <v>107</v>
      </c>
      <c r="D121" s="528" t="s">
        <v>22</v>
      </c>
      <c r="E121" s="533" t="s">
        <v>15</v>
      </c>
      <c r="F121" s="527" t="s">
        <v>1212</v>
      </c>
      <c r="G121" s="527" t="s">
        <v>1213</v>
      </c>
      <c r="H121" s="529">
        <v>2</v>
      </c>
      <c r="I121" s="530">
        <f>(2*(12*3.5+4*2))*2*50%</f>
        <v>100</v>
      </c>
      <c r="J121" s="630" t="s">
        <v>1164</v>
      </c>
      <c r="K121" s="531" t="s">
        <v>1214</v>
      </c>
      <c r="L121" s="532">
        <f t="shared" si="7"/>
        <v>0</v>
      </c>
      <c r="M121" s="532">
        <f t="shared" si="8"/>
        <v>0</v>
      </c>
      <c r="N121" s="532">
        <f t="shared" si="9"/>
        <v>0</v>
      </c>
    </row>
    <row r="122" spans="1:14">
      <c r="A122" s="3" t="str">
        <f t="shared" si="13"/>
        <v>1072</v>
      </c>
      <c r="B122" s="527" t="s">
        <v>288</v>
      </c>
      <c r="C122" s="134">
        <v>107</v>
      </c>
      <c r="D122" s="528" t="s">
        <v>22</v>
      </c>
      <c r="E122" s="533" t="s">
        <v>15</v>
      </c>
      <c r="F122" s="527" t="s">
        <v>1215</v>
      </c>
      <c r="G122" s="527" t="s">
        <v>1213</v>
      </c>
      <c r="H122" s="529">
        <v>2</v>
      </c>
      <c r="I122" s="530">
        <f>(2*(12*3.5+4*2))*2*50%</f>
        <v>100</v>
      </c>
      <c r="J122" s="630" t="s">
        <v>1164</v>
      </c>
      <c r="K122" s="531" t="s">
        <v>1214</v>
      </c>
      <c r="L122" s="532">
        <f t="shared" si="7"/>
        <v>0</v>
      </c>
      <c r="M122" s="532">
        <f t="shared" si="8"/>
        <v>0</v>
      </c>
      <c r="N122" s="532">
        <f t="shared" si="9"/>
        <v>0</v>
      </c>
    </row>
    <row r="123" spans="1:14">
      <c r="A123" s="3" t="str">
        <f t="shared" si="13"/>
        <v>1072</v>
      </c>
      <c r="B123" s="527" t="s">
        <v>288</v>
      </c>
      <c r="C123" s="134">
        <v>107</v>
      </c>
      <c r="D123" s="528" t="s">
        <v>22</v>
      </c>
      <c r="E123" s="533" t="s">
        <v>197</v>
      </c>
      <c r="F123" s="527" t="s">
        <v>1212</v>
      </c>
      <c r="G123" s="527" t="s">
        <v>1213</v>
      </c>
      <c r="H123" s="529">
        <v>2</v>
      </c>
      <c r="I123" s="530">
        <f>(2*(12*3.5+4*2))*2*50%</f>
        <v>100</v>
      </c>
      <c r="J123" s="630" t="s">
        <v>1164</v>
      </c>
      <c r="K123" s="531" t="s">
        <v>1214</v>
      </c>
      <c r="L123" s="532">
        <f t="shared" si="7"/>
        <v>0</v>
      </c>
      <c r="M123" s="532">
        <f t="shared" si="8"/>
        <v>0</v>
      </c>
      <c r="N123" s="532">
        <f t="shared" si="9"/>
        <v>0</v>
      </c>
    </row>
    <row r="124" spans="1:14">
      <c r="A124" s="3" t="str">
        <f t="shared" si="13"/>
        <v>1072</v>
      </c>
      <c r="B124" s="527" t="s">
        <v>288</v>
      </c>
      <c r="C124" s="134">
        <v>107</v>
      </c>
      <c r="D124" s="528" t="s">
        <v>22</v>
      </c>
      <c r="E124" s="533" t="s">
        <v>197</v>
      </c>
      <c r="F124" s="527" t="s">
        <v>1215</v>
      </c>
      <c r="G124" s="527" t="s">
        <v>1213</v>
      </c>
      <c r="H124" s="529">
        <v>2</v>
      </c>
      <c r="I124" s="530">
        <f>(2*(12*3.5+4*2))*2*50%</f>
        <v>100</v>
      </c>
      <c r="J124" s="630" t="s">
        <v>1164</v>
      </c>
      <c r="K124" s="531" t="s">
        <v>1214</v>
      </c>
      <c r="L124" s="532">
        <f t="shared" si="7"/>
        <v>0</v>
      </c>
      <c r="M124" s="532">
        <f t="shared" si="8"/>
        <v>0</v>
      </c>
      <c r="N124" s="532">
        <f t="shared" si="9"/>
        <v>0</v>
      </c>
    </row>
    <row r="125" spans="1:14">
      <c r="A125" s="3" t="str">
        <f t="shared" si="13"/>
        <v>1072</v>
      </c>
      <c r="B125" s="527" t="s">
        <v>288</v>
      </c>
      <c r="C125" s="134">
        <v>107</v>
      </c>
      <c r="D125" s="528" t="s">
        <v>22</v>
      </c>
      <c r="E125" s="533" t="s">
        <v>14</v>
      </c>
      <c r="F125" s="527" t="s">
        <v>1172</v>
      </c>
      <c r="G125" s="527" t="s">
        <v>1216</v>
      </c>
      <c r="H125" s="529">
        <v>2</v>
      </c>
      <c r="I125" s="530">
        <v>20.22</v>
      </c>
      <c r="J125" s="630" t="s">
        <v>1161</v>
      </c>
      <c r="K125" s="531"/>
      <c r="L125" s="532">
        <f t="shared" si="7"/>
        <v>0</v>
      </c>
      <c r="M125" s="532">
        <f t="shared" si="8"/>
        <v>0</v>
      </c>
      <c r="N125" s="532">
        <f t="shared" si="9"/>
        <v>0</v>
      </c>
    </row>
    <row r="126" spans="1:14">
      <c r="A126" s="3" t="str">
        <f t="shared" si="13"/>
        <v>1072</v>
      </c>
      <c r="B126" s="527" t="s">
        <v>288</v>
      </c>
      <c r="C126" s="134">
        <v>107</v>
      </c>
      <c r="D126" s="528" t="s">
        <v>22</v>
      </c>
      <c r="E126" s="533" t="s">
        <v>14</v>
      </c>
      <c r="F126" s="527" t="s">
        <v>1174</v>
      </c>
      <c r="G126" s="527" t="s">
        <v>1216</v>
      </c>
      <c r="H126" s="529">
        <v>2</v>
      </c>
      <c r="I126" s="530">
        <v>20.22</v>
      </c>
      <c r="J126" s="630" t="s">
        <v>1164</v>
      </c>
      <c r="K126" s="531"/>
      <c r="L126" s="532">
        <f t="shared" si="7"/>
        <v>0</v>
      </c>
      <c r="M126" s="532">
        <f t="shared" si="8"/>
        <v>0</v>
      </c>
      <c r="N126" s="532">
        <f t="shared" si="9"/>
        <v>0</v>
      </c>
    </row>
    <row r="127" spans="1:14">
      <c r="A127" s="3" t="str">
        <f t="shared" si="13"/>
        <v>1072</v>
      </c>
      <c r="B127" s="527" t="s">
        <v>288</v>
      </c>
      <c r="C127" s="134">
        <v>107</v>
      </c>
      <c r="D127" s="528" t="s">
        <v>22</v>
      </c>
      <c r="E127" s="533" t="s">
        <v>14</v>
      </c>
      <c r="F127" s="527" t="s">
        <v>1175</v>
      </c>
      <c r="G127" s="527" t="s">
        <v>1217</v>
      </c>
      <c r="H127" s="529">
        <v>2</v>
      </c>
      <c r="I127" s="530">
        <v>1.92</v>
      </c>
      <c r="J127" s="630" t="s">
        <v>1161</v>
      </c>
      <c r="K127" s="531"/>
      <c r="L127" s="532">
        <f t="shared" si="7"/>
        <v>0</v>
      </c>
      <c r="M127" s="532">
        <f t="shared" si="8"/>
        <v>0</v>
      </c>
      <c r="N127" s="532">
        <f t="shared" si="9"/>
        <v>0</v>
      </c>
    </row>
    <row r="128" spans="1:14">
      <c r="A128" s="3" t="str">
        <f t="shared" si="13"/>
        <v>1072</v>
      </c>
      <c r="B128" s="527" t="s">
        <v>288</v>
      </c>
      <c r="C128" s="134">
        <v>107</v>
      </c>
      <c r="D128" s="528" t="s">
        <v>22</v>
      </c>
      <c r="E128" s="533" t="s">
        <v>14</v>
      </c>
      <c r="F128" s="527" t="s">
        <v>1175</v>
      </c>
      <c r="G128" s="527" t="s">
        <v>1217</v>
      </c>
      <c r="H128" s="529">
        <v>2</v>
      </c>
      <c r="I128" s="530">
        <v>1.92</v>
      </c>
      <c r="J128" s="630" t="s">
        <v>1161</v>
      </c>
      <c r="K128" s="531"/>
      <c r="L128" s="532">
        <f t="shared" si="7"/>
        <v>0</v>
      </c>
      <c r="M128" s="532">
        <f t="shared" si="8"/>
        <v>0</v>
      </c>
      <c r="N128" s="532">
        <f t="shared" si="9"/>
        <v>0</v>
      </c>
    </row>
    <row r="129" spans="1:14">
      <c r="A129" s="3" t="str">
        <f t="shared" si="13"/>
        <v>1072</v>
      </c>
      <c r="B129" s="527" t="s">
        <v>288</v>
      </c>
      <c r="C129" s="134">
        <v>107</v>
      </c>
      <c r="D129" s="528" t="s">
        <v>22</v>
      </c>
      <c r="E129" s="533" t="s">
        <v>66</v>
      </c>
      <c r="F129" s="527" t="s">
        <v>1172</v>
      </c>
      <c r="G129" s="527" t="s">
        <v>1216</v>
      </c>
      <c r="H129" s="529">
        <v>2</v>
      </c>
      <c r="I129" s="530">
        <v>20.22</v>
      </c>
      <c r="J129" s="630" t="s">
        <v>1161</v>
      </c>
      <c r="K129" s="531"/>
      <c r="L129" s="532">
        <f t="shared" si="7"/>
        <v>0</v>
      </c>
      <c r="M129" s="532">
        <f t="shared" si="8"/>
        <v>0</v>
      </c>
      <c r="N129" s="532">
        <f t="shared" si="9"/>
        <v>0</v>
      </c>
    </row>
    <row r="130" spans="1:14">
      <c r="A130" s="3" t="str">
        <f t="shared" si="13"/>
        <v>1072</v>
      </c>
      <c r="B130" s="527" t="s">
        <v>288</v>
      </c>
      <c r="C130" s="134">
        <v>107</v>
      </c>
      <c r="D130" s="528" t="s">
        <v>22</v>
      </c>
      <c r="E130" s="533" t="s">
        <v>66</v>
      </c>
      <c r="F130" s="527" t="s">
        <v>1174</v>
      </c>
      <c r="G130" s="527" t="s">
        <v>1216</v>
      </c>
      <c r="H130" s="529">
        <v>2</v>
      </c>
      <c r="I130" s="530">
        <v>20.22</v>
      </c>
      <c r="J130" s="630" t="s">
        <v>1164</v>
      </c>
      <c r="K130" s="531"/>
      <c r="L130" s="532">
        <f t="shared" si="7"/>
        <v>0</v>
      </c>
      <c r="M130" s="532">
        <f t="shared" si="8"/>
        <v>0</v>
      </c>
      <c r="N130" s="532">
        <f t="shared" si="9"/>
        <v>0</v>
      </c>
    </row>
    <row r="131" spans="1:14">
      <c r="A131" s="3" t="str">
        <f t="shared" si="13"/>
        <v>1072</v>
      </c>
      <c r="B131" s="527" t="s">
        <v>288</v>
      </c>
      <c r="C131" s="134">
        <v>107</v>
      </c>
      <c r="D131" s="528" t="s">
        <v>22</v>
      </c>
      <c r="E131" s="533" t="s">
        <v>66</v>
      </c>
      <c r="F131" s="527" t="s">
        <v>1175</v>
      </c>
      <c r="G131" s="527" t="s">
        <v>1217</v>
      </c>
      <c r="H131" s="529">
        <v>2</v>
      </c>
      <c r="I131" s="530">
        <v>1.92</v>
      </c>
      <c r="J131" s="630" t="s">
        <v>1161</v>
      </c>
      <c r="K131" s="531"/>
      <c r="L131" s="532">
        <f t="shared" si="7"/>
        <v>0</v>
      </c>
      <c r="M131" s="532">
        <f t="shared" si="8"/>
        <v>0</v>
      </c>
      <c r="N131" s="532">
        <f t="shared" si="9"/>
        <v>0</v>
      </c>
    </row>
    <row r="132" spans="1:14">
      <c r="A132" s="3" t="str">
        <f t="shared" si="13"/>
        <v>1072</v>
      </c>
      <c r="B132" s="527" t="s">
        <v>288</v>
      </c>
      <c r="C132" s="134">
        <v>107</v>
      </c>
      <c r="D132" s="528" t="s">
        <v>22</v>
      </c>
      <c r="E132" s="533" t="s">
        <v>66</v>
      </c>
      <c r="F132" s="527" t="s">
        <v>1177</v>
      </c>
      <c r="G132" s="527" t="s">
        <v>1217</v>
      </c>
      <c r="H132" s="529">
        <v>2</v>
      </c>
      <c r="I132" s="530">
        <v>1.92</v>
      </c>
      <c r="J132" s="630" t="s">
        <v>1161</v>
      </c>
      <c r="K132" s="531"/>
      <c r="L132" s="532">
        <f t="shared" si="7"/>
        <v>0</v>
      </c>
      <c r="M132" s="532">
        <f t="shared" si="8"/>
        <v>0</v>
      </c>
      <c r="N132" s="532">
        <f t="shared" si="9"/>
        <v>0</v>
      </c>
    </row>
    <row r="133" spans="1:14">
      <c r="B133" s="527" t="s">
        <v>288</v>
      </c>
      <c r="C133" s="134">
        <v>107</v>
      </c>
      <c r="D133" s="528" t="s">
        <v>22</v>
      </c>
      <c r="E133" s="135"/>
      <c r="F133" s="527" t="s">
        <v>1163</v>
      </c>
      <c r="G133" s="527" t="s">
        <v>1939</v>
      </c>
      <c r="H133" s="529">
        <v>2</v>
      </c>
      <c r="I133" s="530">
        <v>8.75</v>
      </c>
      <c r="J133" s="630" t="s">
        <v>1164</v>
      </c>
      <c r="K133" s="531"/>
      <c r="L133" s="532">
        <f t="shared" si="7"/>
        <v>0</v>
      </c>
      <c r="M133" s="532">
        <f t="shared" si="8"/>
        <v>0</v>
      </c>
      <c r="N133" s="532">
        <f t="shared" si="9"/>
        <v>0</v>
      </c>
    </row>
    <row r="134" spans="1:14">
      <c r="B134" s="527" t="s">
        <v>288</v>
      </c>
      <c r="C134" s="134">
        <v>107</v>
      </c>
      <c r="D134" s="528" t="s">
        <v>22</v>
      </c>
      <c r="E134" s="135"/>
      <c r="F134" s="527" t="s">
        <v>1160</v>
      </c>
      <c r="G134" s="527" t="s">
        <v>1940</v>
      </c>
      <c r="H134" s="529">
        <v>2</v>
      </c>
      <c r="I134" s="530">
        <v>8.75</v>
      </c>
      <c r="J134" s="630" t="s">
        <v>1164</v>
      </c>
      <c r="K134" s="531"/>
      <c r="L134" s="532">
        <f t="shared" si="7"/>
        <v>0</v>
      </c>
      <c r="M134" s="532">
        <f t="shared" si="8"/>
        <v>0</v>
      </c>
      <c r="N134" s="532">
        <f t="shared" si="9"/>
        <v>0</v>
      </c>
    </row>
    <row r="135" spans="1:14">
      <c r="B135" s="527" t="s">
        <v>288</v>
      </c>
      <c r="C135" s="134">
        <v>107</v>
      </c>
      <c r="D135" s="528" t="s">
        <v>22</v>
      </c>
      <c r="E135" s="135"/>
      <c r="F135" s="527" t="s">
        <v>1163</v>
      </c>
      <c r="G135" s="527" t="s">
        <v>1941</v>
      </c>
      <c r="H135" s="529">
        <v>2</v>
      </c>
      <c r="I135" s="530">
        <v>8.75</v>
      </c>
      <c r="J135" s="630" t="s">
        <v>1164</v>
      </c>
      <c r="K135" s="531"/>
      <c r="L135" s="532">
        <f t="shared" si="7"/>
        <v>0</v>
      </c>
      <c r="M135" s="532">
        <f t="shared" si="8"/>
        <v>0</v>
      </c>
      <c r="N135" s="532">
        <f t="shared" si="9"/>
        <v>0</v>
      </c>
    </row>
    <row r="136" spans="1:14">
      <c r="B136" s="527" t="s">
        <v>288</v>
      </c>
      <c r="C136" s="134">
        <v>107</v>
      </c>
      <c r="D136" s="528" t="s">
        <v>22</v>
      </c>
      <c r="E136" s="135"/>
      <c r="F136" s="527" t="s">
        <v>1160</v>
      </c>
      <c r="G136" s="527" t="s">
        <v>1942</v>
      </c>
      <c r="H136" s="529">
        <v>2</v>
      </c>
      <c r="I136" s="530">
        <v>8.75</v>
      </c>
      <c r="J136" s="630" t="s">
        <v>1164</v>
      </c>
      <c r="K136" s="531"/>
      <c r="L136" s="532">
        <f t="shared" si="7"/>
        <v>0</v>
      </c>
      <c r="M136" s="532">
        <f t="shared" si="8"/>
        <v>0</v>
      </c>
      <c r="N136" s="532">
        <f t="shared" si="9"/>
        <v>0</v>
      </c>
    </row>
    <row r="137" spans="1:14">
      <c r="A137" s="3" t="str">
        <f>CONCATENATE(C137,H137)</f>
        <v>10726</v>
      </c>
      <c r="B137" s="527" t="s">
        <v>288</v>
      </c>
      <c r="C137" s="134">
        <v>107</v>
      </c>
      <c r="D137" s="528" t="s">
        <v>22</v>
      </c>
      <c r="E137" s="135"/>
      <c r="F137" s="527" t="s">
        <v>1162</v>
      </c>
      <c r="G137" s="527" t="s">
        <v>1308</v>
      </c>
      <c r="H137" s="529">
        <v>26</v>
      </c>
      <c r="I137" s="530">
        <v>22</v>
      </c>
      <c r="J137" s="630" t="s">
        <v>1161</v>
      </c>
      <c r="K137" s="531" t="s">
        <v>1309</v>
      </c>
      <c r="L137" s="532">
        <f t="shared" si="7"/>
        <v>0</v>
      </c>
      <c r="M137" s="532">
        <f t="shared" si="8"/>
        <v>0</v>
      </c>
      <c r="N137" s="532">
        <f t="shared" si="9"/>
        <v>0</v>
      </c>
    </row>
    <row r="138" spans="1:14">
      <c r="A138" s="3" t="str">
        <f>CONCATENATE(C138,H138)</f>
        <v>1082</v>
      </c>
      <c r="B138" s="527" t="s">
        <v>1218</v>
      </c>
      <c r="C138" s="134">
        <v>108</v>
      </c>
      <c r="D138" s="528" t="s">
        <v>22</v>
      </c>
      <c r="E138" s="135"/>
      <c r="F138" s="534" t="s">
        <v>1172</v>
      </c>
      <c r="G138" s="527" t="s">
        <v>1943</v>
      </c>
      <c r="H138" s="529">
        <v>2</v>
      </c>
      <c r="I138" s="530">
        <v>4.6100000000000003</v>
      </c>
      <c r="J138" s="630" t="s">
        <v>1161</v>
      </c>
      <c r="K138" s="531"/>
      <c r="L138" s="532">
        <f t="shared" si="7"/>
        <v>0</v>
      </c>
      <c r="M138" s="532">
        <f t="shared" si="8"/>
        <v>0</v>
      </c>
      <c r="N138" s="532">
        <f t="shared" si="9"/>
        <v>0</v>
      </c>
    </row>
    <row r="139" spans="1:14">
      <c r="B139" s="527" t="s">
        <v>1218</v>
      </c>
      <c r="C139" s="134">
        <v>108</v>
      </c>
      <c r="D139" s="528" t="s">
        <v>22</v>
      </c>
      <c r="E139" s="135"/>
      <c r="F139" s="534" t="s">
        <v>1174</v>
      </c>
      <c r="G139" s="527" t="s">
        <v>1944</v>
      </c>
      <c r="H139" s="529">
        <v>2</v>
      </c>
      <c r="I139" s="530">
        <v>4.6100000000000003</v>
      </c>
      <c r="J139" s="630" t="s">
        <v>1164</v>
      </c>
      <c r="K139" s="531"/>
      <c r="L139" s="532">
        <f t="shared" si="7"/>
        <v>0</v>
      </c>
      <c r="M139" s="532">
        <f t="shared" si="8"/>
        <v>0</v>
      </c>
      <c r="N139" s="532">
        <f t="shared" si="9"/>
        <v>0</v>
      </c>
    </row>
    <row r="140" spans="1:14">
      <c r="B140" s="527" t="s">
        <v>1218</v>
      </c>
      <c r="C140" s="134">
        <v>108</v>
      </c>
      <c r="D140" s="528" t="s">
        <v>22</v>
      </c>
      <c r="E140" s="135"/>
      <c r="F140" s="527" t="s">
        <v>1175</v>
      </c>
      <c r="G140" s="527" t="s">
        <v>1945</v>
      </c>
      <c r="H140" s="529">
        <v>2</v>
      </c>
      <c r="I140" s="530">
        <v>1.92</v>
      </c>
      <c r="J140" s="630" t="s">
        <v>1161</v>
      </c>
      <c r="K140" s="531"/>
      <c r="L140" s="532">
        <f t="shared" si="7"/>
        <v>0</v>
      </c>
      <c r="M140" s="532">
        <f t="shared" si="8"/>
        <v>0</v>
      </c>
      <c r="N140" s="532">
        <f t="shared" si="9"/>
        <v>0</v>
      </c>
    </row>
    <row r="141" spans="1:14">
      <c r="B141" s="527" t="s">
        <v>1218</v>
      </c>
      <c r="C141" s="134">
        <v>108</v>
      </c>
      <c r="D141" s="528" t="s">
        <v>22</v>
      </c>
      <c r="E141" s="135"/>
      <c r="F141" s="527" t="s">
        <v>1175</v>
      </c>
      <c r="G141" s="527" t="s">
        <v>1945</v>
      </c>
      <c r="H141" s="529">
        <v>2</v>
      </c>
      <c r="I141" s="530">
        <v>1.92</v>
      </c>
      <c r="J141" s="630" t="s">
        <v>1161</v>
      </c>
      <c r="K141" s="531"/>
      <c r="L141" s="532">
        <f t="shared" ref="L141:L204" si="14">IF(J141="ja",0,VLOOKUP(F141,Glassoort2,2,0))*I141</f>
        <v>0</v>
      </c>
      <c r="M141" s="532">
        <f t="shared" ref="M141:M204" si="15">IF(J141="ja",VLOOKUP(F141,Glassoort2,3,0))*I141</f>
        <v>0</v>
      </c>
      <c r="N141" s="532">
        <f t="shared" si="9"/>
        <v>0</v>
      </c>
    </row>
    <row r="142" spans="1:14">
      <c r="B142" s="527" t="s">
        <v>1218</v>
      </c>
      <c r="C142" s="134">
        <v>108</v>
      </c>
      <c r="D142" s="528" t="s">
        <v>22</v>
      </c>
      <c r="E142" s="135"/>
      <c r="F142" s="527" t="s">
        <v>1172</v>
      </c>
      <c r="G142" s="527" t="s">
        <v>1946</v>
      </c>
      <c r="H142" s="529">
        <v>2</v>
      </c>
      <c r="I142" s="530">
        <v>17.760000000000002</v>
      </c>
      <c r="J142" s="630" t="s">
        <v>1161</v>
      </c>
      <c r="K142" s="531"/>
      <c r="L142" s="532">
        <f t="shared" si="14"/>
        <v>0</v>
      </c>
      <c r="M142" s="532">
        <f t="shared" si="15"/>
        <v>0</v>
      </c>
      <c r="N142" s="532">
        <f t="shared" si="9"/>
        <v>0</v>
      </c>
    </row>
    <row r="143" spans="1:14">
      <c r="B143" s="527" t="s">
        <v>1218</v>
      </c>
      <c r="C143" s="134">
        <v>108</v>
      </c>
      <c r="D143" s="528" t="s">
        <v>22</v>
      </c>
      <c r="E143" s="135"/>
      <c r="F143" s="527" t="s">
        <v>1174</v>
      </c>
      <c r="G143" s="527" t="s">
        <v>1947</v>
      </c>
      <c r="H143" s="529">
        <v>2</v>
      </c>
      <c r="I143" s="530">
        <v>17.760000000000002</v>
      </c>
      <c r="J143" s="630" t="s">
        <v>1164</v>
      </c>
      <c r="K143" s="531"/>
      <c r="L143" s="532">
        <f t="shared" si="14"/>
        <v>0</v>
      </c>
      <c r="M143" s="532">
        <f t="shared" si="15"/>
        <v>0</v>
      </c>
      <c r="N143" s="532">
        <f t="shared" si="9"/>
        <v>0</v>
      </c>
    </row>
    <row r="144" spans="1:14">
      <c r="B144" s="527" t="s">
        <v>1218</v>
      </c>
      <c r="C144" s="134">
        <v>108</v>
      </c>
      <c r="D144" s="528" t="s">
        <v>22</v>
      </c>
      <c r="E144" s="135"/>
      <c r="F144" s="527" t="s">
        <v>1175</v>
      </c>
      <c r="G144" s="527" t="s">
        <v>1948</v>
      </c>
      <c r="H144" s="529">
        <v>2</v>
      </c>
      <c r="I144" s="530">
        <v>1.92</v>
      </c>
      <c r="J144" s="630" t="s">
        <v>1161</v>
      </c>
      <c r="K144" s="531"/>
      <c r="L144" s="532">
        <f t="shared" si="14"/>
        <v>0</v>
      </c>
      <c r="M144" s="532">
        <f t="shared" si="15"/>
        <v>0</v>
      </c>
      <c r="N144" s="532">
        <f t="shared" si="9"/>
        <v>0</v>
      </c>
    </row>
    <row r="145" spans="2:14">
      <c r="B145" s="527" t="s">
        <v>1218</v>
      </c>
      <c r="C145" s="134">
        <v>108</v>
      </c>
      <c r="D145" s="528" t="s">
        <v>22</v>
      </c>
      <c r="E145" s="135"/>
      <c r="F145" s="527" t="s">
        <v>1175</v>
      </c>
      <c r="G145" s="527" t="s">
        <v>1948</v>
      </c>
      <c r="H145" s="529">
        <v>2</v>
      </c>
      <c r="I145" s="530">
        <v>1.92</v>
      </c>
      <c r="J145" s="630" t="s">
        <v>1161</v>
      </c>
      <c r="K145" s="531"/>
      <c r="L145" s="532">
        <f t="shared" si="14"/>
        <v>0</v>
      </c>
      <c r="M145" s="532">
        <f t="shared" si="15"/>
        <v>0</v>
      </c>
      <c r="N145" s="532">
        <f t="shared" si="9"/>
        <v>0</v>
      </c>
    </row>
    <row r="146" spans="2:14">
      <c r="B146" s="527" t="s">
        <v>1218</v>
      </c>
      <c r="C146" s="134">
        <v>108</v>
      </c>
      <c r="D146" s="528" t="s">
        <v>22</v>
      </c>
      <c r="E146" s="135"/>
      <c r="F146" s="527" t="s">
        <v>1172</v>
      </c>
      <c r="G146" s="527" t="s">
        <v>1949</v>
      </c>
      <c r="H146" s="529">
        <v>2</v>
      </c>
      <c r="I146" s="530">
        <v>17.760000000000002</v>
      </c>
      <c r="J146" s="630" t="s">
        <v>1161</v>
      </c>
      <c r="K146" s="531"/>
      <c r="L146" s="532">
        <f t="shared" si="14"/>
        <v>0</v>
      </c>
      <c r="M146" s="532">
        <f t="shared" si="15"/>
        <v>0</v>
      </c>
      <c r="N146" s="532">
        <f t="shared" ref="N146:N209" si="16">(M146*H146)+(L146*H146)</f>
        <v>0</v>
      </c>
    </row>
    <row r="147" spans="2:14">
      <c r="B147" s="527" t="s">
        <v>1218</v>
      </c>
      <c r="C147" s="134">
        <v>108</v>
      </c>
      <c r="D147" s="528" t="s">
        <v>22</v>
      </c>
      <c r="E147" s="135"/>
      <c r="F147" s="527" t="s">
        <v>1174</v>
      </c>
      <c r="G147" s="527" t="s">
        <v>1950</v>
      </c>
      <c r="H147" s="529">
        <v>2</v>
      </c>
      <c r="I147" s="530">
        <v>17.760000000000002</v>
      </c>
      <c r="J147" s="630" t="s">
        <v>1164</v>
      </c>
      <c r="K147" s="531"/>
      <c r="L147" s="532">
        <f t="shared" si="14"/>
        <v>0</v>
      </c>
      <c r="M147" s="532">
        <f t="shared" si="15"/>
        <v>0</v>
      </c>
      <c r="N147" s="532">
        <f t="shared" si="16"/>
        <v>0</v>
      </c>
    </row>
    <row r="148" spans="2:14">
      <c r="B148" s="527" t="s">
        <v>1218</v>
      </c>
      <c r="C148" s="134">
        <v>108</v>
      </c>
      <c r="D148" s="528" t="s">
        <v>22</v>
      </c>
      <c r="E148" s="135"/>
      <c r="F148" s="527" t="s">
        <v>1175</v>
      </c>
      <c r="G148" s="527" t="s">
        <v>1951</v>
      </c>
      <c r="H148" s="529">
        <v>2</v>
      </c>
      <c r="I148" s="530">
        <v>1.92</v>
      </c>
      <c r="J148" s="630" t="s">
        <v>1161</v>
      </c>
      <c r="K148" s="531"/>
      <c r="L148" s="532">
        <f t="shared" si="14"/>
        <v>0</v>
      </c>
      <c r="M148" s="532">
        <f t="shared" si="15"/>
        <v>0</v>
      </c>
      <c r="N148" s="532">
        <f t="shared" si="16"/>
        <v>0</v>
      </c>
    </row>
    <row r="149" spans="2:14">
      <c r="B149" s="527" t="s">
        <v>1218</v>
      </c>
      <c r="C149" s="134">
        <v>108</v>
      </c>
      <c r="D149" s="528" t="s">
        <v>22</v>
      </c>
      <c r="E149" s="135"/>
      <c r="F149" s="527" t="s">
        <v>1175</v>
      </c>
      <c r="G149" s="527" t="s">
        <v>1951</v>
      </c>
      <c r="H149" s="529">
        <v>2</v>
      </c>
      <c r="I149" s="530">
        <v>1.92</v>
      </c>
      <c r="J149" s="630" t="s">
        <v>1161</v>
      </c>
      <c r="K149" s="531"/>
      <c r="L149" s="532">
        <f t="shared" si="14"/>
        <v>0</v>
      </c>
      <c r="M149" s="532">
        <f t="shared" si="15"/>
        <v>0</v>
      </c>
      <c r="N149" s="532">
        <f t="shared" si="16"/>
        <v>0</v>
      </c>
    </row>
    <row r="150" spans="2:14">
      <c r="B150" s="527" t="s">
        <v>1218</v>
      </c>
      <c r="C150" s="134">
        <v>108</v>
      </c>
      <c r="D150" s="528" t="s">
        <v>22</v>
      </c>
      <c r="E150" s="135"/>
      <c r="F150" s="527" t="s">
        <v>1163</v>
      </c>
      <c r="G150" s="527" t="s">
        <v>1952</v>
      </c>
      <c r="H150" s="529">
        <v>2</v>
      </c>
      <c r="I150" s="530">
        <v>38.07</v>
      </c>
      <c r="J150" s="630" t="s">
        <v>1164</v>
      </c>
      <c r="K150" s="531"/>
      <c r="L150" s="532">
        <f t="shared" si="14"/>
        <v>0</v>
      </c>
      <c r="M150" s="532">
        <f t="shared" si="15"/>
        <v>0</v>
      </c>
      <c r="N150" s="532">
        <f t="shared" si="16"/>
        <v>0</v>
      </c>
    </row>
    <row r="151" spans="2:14">
      <c r="B151" s="527" t="s">
        <v>1218</v>
      </c>
      <c r="C151" s="134">
        <v>108</v>
      </c>
      <c r="D151" s="528" t="s">
        <v>22</v>
      </c>
      <c r="E151" s="135"/>
      <c r="F151" s="527" t="s">
        <v>1160</v>
      </c>
      <c r="G151" s="527" t="s">
        <v>1953</v>
      </c>
      <c r="H151" s="529">
        <v>2</v>
      </c>
      <c r="I151" s="530">
        <v>38.07</v>
      </c>
      <c r="J151" s="630" t="s">
        <v>1164</v>
      </c>
      <c r="K151" s="531"/>
      <c r="L151" s="532">
        <f t="shared" si="14"/>
        <v>0</v>
      </c>
      <c r="M151" s="532">
        <f t="shared" si="15"/>
        <v>0</v>
      </c>
      <c r="N151" s="532">
        <f t="shared" si="16"/>
        <v>0</v>
      </c>
    </row>
    <row r="152" spans="2:14">
      <c r="B152" s="527" t="s">
        <v>1218</v>
      </c>
      <c r="C152" s="134">
        <v>108</v>
      </c>
      <c r="D152" s="528" t="s">
        <v>22</v>
      </c>
      <c r="E152" s="135"/>
      <c r="F152" s="527" t="s">
        <v>1163</v>
      </c>
      <c r="G152" s="527" t="s">
        <v>1954</v>
      </c>
      <c r="H152" s="529">
        <v>2</v>
      </c>
      <c r="I152" s="530">
        <v>29.26</v>
      </c>
      <c r="J152" s="630" t="s">
        <v>1164</v>
      </c>
      <c r="K152" s="531"/>
      <c r="L152" s="532">
        <f t="shared" si="14"/>
        <v>0</v>
      </c>
      <c r="M152" s="532">
        <f t="shared" si="15"/>
        <v>0</v>
      </c>
      <c r="N152" s="532">
        <f t="shared" si="16"/>
        <v>0</v>
      </c>
    </row>
    <row r="153" spans="2:14">
      <c r="B153" s="527" t="s">
        <v>1218</v>
      </c>
      <c r="C153" s="134">
        <v>108</v>
      </c>
      <c r="D153" s="528" t="s">
        <v>22</v>
      </c>
      <c r="E153" s="135"/>
      <c r="F153" s="527" t="s">
        <v>1160</v>
      </c>
      <c r="G153" s="527" t="s">
        <v>1955</v>
      </c>
      <c r="H153" s="529">
        <v>2</v>
      </c>
      <c r="I153" s="530">
        <v>29.26</v>
      </c>
      <c r="J153" s="630" t="s">
        <v>1164</v>
      </c>
      <c r="K153" s="531"/>
      <c r="L153" s="532">
        <f t="shared" si="14"/>
        <v>0</v>
      </c>
      <c r="M153" s="532">
        <f t="shared" si="15"/>
        <v>0</v>
      </c>
      <c r="N153" s="532">
        <f t="shared" si="16"/>
        <v>0</v>
      </c>
    </row>
    <row r="154" spans="2:14">
      <c r="B154" s="527" t="s">
        <v>1218</v>
      </c>
      <c r="C154" s="134">
        <v>108</v>
      </c>
      <c r="D154" s="528" t="s">
        <v>22</v>
      </c>
      <c r="E154" s="135"/>
      <c r="F154" s="527" t="s">
        <v>1163</v>
      </c>
      <c r="G154" s="527" t="s">
        <v>1956</v>
      </c>
      <c r="H154" s="529">
        <v>2</v>
      </c>
      <c r="I154" s="530">
        <v>23.63</v>
      </c>
      <c r="J154" s="630" t="s">
        <v>1161</v>
      </c>
      <c r="K154" s="531"/>
      <c r="L154" s="532">
        <f t="shared" si="14"/>
        <v>0</v>
      </c>
      <c r="M154" s="532">
        <f t="shared" si="15"/>
        <v>0</v>
      </c>
      <c r="N154" s="532">
        <f t="shared" si="16"/>
        <v>0</v>
      </c>
    </row>
    <row r="155" spans="2:14">
      <c r="B155" s="527" t="s">
        <v>1218</v>
      </c>
      <c r="C155" s="134">
        <v>108</v>
      </c>
      <c r="D155" s="528" t="s">
        <v>22</v>
      </c>
      <c r="E155" s="135"/>
      <c r="F155" s="527" t="s">
        <v>1160</v>
      </c>
      <c r="G155" s="527" t="s">
        <v>1957</v>
      </c>
      <c r="H155" s="529">
        <v>2</v>
      </c>
      <c r="I155" s="530">
        <v>23.63</v>
      </c>
      <c r="J155" s="630" t="s">
        <v>1164</v>
      </c>
      <c r="K155" s="531"/>
      <c r="L155" s="532">
        <f t="shared" si="14"/>
        <v>0</v>
      </c>
      <c r="M155" s="532">
        <f t="shared" si="15"/>
        <v>0</v>
      </c>
      <c r="N155" s="532">
        <f t="shared" si="16"/>
        <v>0</v>
      </c>
    </row>
    <row r="156" spans="2:14">
      <c r="B156" s="527" t="s">
        <v>1218</v>
      </c>
      <c r="C156" s="134">
        <v>108</v>
      </c>
      <c r="D156" s="528" t="s">
        <v>22</v>
      </c>
      <c r="E156" s="135"/>
      <c r="F156" s="527" t="s">
        <v>1163</v>
      </c>
      <c r="G156" s="527" t="s">
        <v>1958</v>
      </c>
      <c r="H156" s="529">
        <v>2</v>
      </c>
      <c r="I156" s="530">
        <v>20.74</v>
      </c>
      <c r="J156" s="630" t="s">
        <v>1161</v>
      </c>
      <c r="K156" s="531"/>
      <c r="L156" s="532">
        <f t="shared" si="14"/>
        <v>0</v>
      </c>
      <c r="M156" s="532">
        <f t="shared" si="15"/>
        <v>0</v>
      </c>
      <c r="N156" s="532">
        <f t="shared" si="16"/>
        <v>0</v>
      </c>
    </row>
    <row r="157" spans="2:14">
      <c r="B157" s="527" t="s">
        <v>1218</v>
      </c>
      <c r="C157" s="134">
        <v>108</v>
      </c>
      <c r="D157" s="528" t="s">
        <v>22</v>
      </c>
      <c r="E157" s="135"/>
      <c r="F157" s="527" t="s">
        <v>1163</v>
      </c>
      <c r="G157" s="527" t="s">
        <v>1958</v>
      </c>
      <c r="H157" s="529">
        <v>2</v>
      </c>
      <c r="I157" s="530">
        <v>20.74</v>
      </c>
      <c r="J157" s="630" t="s">
        <v>1164</v>
      </c>
      <c r="K157" s="531"/>
      <c r="L157" s="532">
        <f t="shared" si="14"/>
        <v>0</v>
      </c>
      <c r="M157" s="532">
        <f t="shared" si="15"/>
        <v>0</v>
      </c>
      <c r="N157" s="532">
        <f t="shared" si="16"/>
        <v>0</v>
      </c>
    </row>
    <row r="158" spans="2:14">
      <c r="B158" s="527" t="s">
        <v>1218</v>
      </c>
      <c r="C158" s="134">
        <v>108</v>
      </c>
      <c r="D158" s="528" t="s">
        <v>22</v>
      </c>
      <c r="E158" s="135"/>
      <c r="F158" s="527" t="s">
        <v>1163</v>
      </c>
      <c r="G158" s="527" t="s">
        <v>1959</v>
      </c>
      <c r="H158" s="529">
        <v>2</v>
      </c>
      <c r="I158" s="530">
        <v>10.36</v>
      </c>
      <c r="J158" s="630" t="s">
        <v>1161</v>
      </c>
      <c r="K158" s="531"/>
      <c r="L158" s="532">
        <f t="shared" si="14"/>
        <v>0</v>
      </c>
      <c r="M158" s="532">
        <f t="shared" si="15"/>
        <v>0</v>
      </c>
      <c r="N158" s="532">
        <f t="shared" si="16"/>
        <v>0</v>
      </c>
    </row>
    <row r="159" spans="2:14">
      <c r="B159" s="527" t="s">
        <v>1218</v>
      </c>
      <c r="C159" s="134">
        <v>108</v>
      </c>
      <c r="D159" s="528" t="s">
        <v>22</v>
      </c>
      <c r="E159" s="135"/>
      <c r="F159" s="527" t="s">
        <v>1160</v>
      </c>
      <c r="G159" s="527" t="s">
        <v>1960</v>
      </c>
      <c r="H159" s="529">
        <v>2</v>
      </c>
      <c r="I159" s="530">
        <v>10.36</v>
      </c>
      <c r="J159" s="630" t="s">
        <v>1161</v>
      </c>
      <c r="K159" s="531"/>
      <c r="L159" s="532">
        <f t="shared" si="14"/>
        <v>0</v>
      </c>
      <c r="M159" s="532">
        <f t="shared" si="15"/>
        <v>0</v>
      </c>
      <c r="N159" s="532">
        <f t="shared" si="16"/>
        <v>0</v>
      </c>
    </row>
    <row r="160" spans="2:14">
      <c r="B160" s="527" t="s">
        <v>1218</v>
      </c>
      <c r="C160" s="134">
        <v>108</v>
      </c>
      <c r="D160" s="528" t="s">
        <v>22</v>
      </c>
      <c r="E160" s="135"/>
      <c r="F160" s="527" t="s">
        <v>1163</v>
      </c>
      <c r="G160" s="527" t="s">
        <v>1961</v>
      </c>
      <c r="H160" s="529">
        <v>2</v>
      </c>
      <c r="I160" s="530">
        <v>7.32</v>
      </c>
      <c r="J160" s="630" t="s">
        <v>1161</v>
      </c>
      <c r="K160" s="531"/>
      <c r="L160" s="532">
        <f t="shared" si="14"/>
        <v>0</v>
      </c>
      <c r="M160" s="532">
        <f t="shared" si="15"/>
        <v>0</v>
      </c>
      <c r="N160" s="532">
        <f t="shared" si="16"/>
        <v>0</v>
      </c>
    </row>
    <row r="161" spans="1:14">
      <c r="B161" s="527" t="s">
        <v>1218</v>
      </c>
      <c r="C161" s="134">
        <v>108</v>
      </c>
      <c r="D161" s="528" t="s">
        <v>22</v>
      </c>
      <c r="E161" s="135"/>
      <c r="F161" s="527" t="s">
        <v>1160</v>
      </c>
      <c r="G161" s="527" t="s">
        <v>1962</v>
      </c>
      <c r="H161" s="529">
        <v>2</v>
      </c>
      <c r="I161" s="530">
        <v>7.32</v>
      </c>
      <c r="J161" s="630" t="s">
        <v>1164</v>
      </c>
      <c r="K161" s="531"/>
      <c r="L161" s="532">
        <f t="shared" si="14"/>
        <v>0</v>
      </c>
      <c r="M161" s="532">
        <f t="shared" si="15"/>
        <v>0</v>
      </c>
      <c r="N161" s="532">
        <f t="shared" si="16"/>
        <v>0</v>
      </c>
    </row>
    <row r="162" spans="1:14">
      <c r="B162" s="527" t="s">
        <v>1218</v>
      </c>
      <c r="C162" s="134">
        <v>108</v>
      </c>
      <c r="D162" s="528" t="s">
        <v>22</v>
      </c>
      <c r="E162" s="135"/>
      <c r="F162" s="527" t="s">
        <v>1162</v>
      </c>
      <c r="G162" s="527" t="s">
        <v>1963</v>
      </c>
      <c r="H162" s="529">
        <v>12</v>
      </c>
      <c r="I162" s="530">
        <v>10.8</v>
      </c>
      <c r="J162" s="630" t="s">
        <v>1161</v>
      </c>
      <c r="K162" s="531"/>
      <c r="L162" s="532">
        <f t="shared" si="14"/>
        <v>0</v>
      </c>
      <c r="M162" s="532">
        <f t="shared" si="15"/>
        <v>0</v>
      </c>
      <c r="N162" s="532">
        <f t="shared" si="16"/>
        <v>0</v>
      </c>
    </row>
    <row r="163" spans="1:14">
      <c r="B163" s="527" t="s">
        <v>1218</v>
      </c>
      <c r="C163" s="134">
        <v>108</v>
      </c>
      <c r="D163" s="528" t="s">
        <v>22</v>
      </c>
      <c r="E163" s="135"/>
      <c r="F163" s="527" t="s">
        <v>1162</v>
      </c>
      <c r="G163" s="527" t="s">
        <v>1964</v>
      </c>
      <c r="H163" s="529">
        <v>12</v>
      </c>
      <c r="I163" s="530">
        <f>2*12</f>
        <v>24</v>
      </c>
      <c r="J163" s="630" t="s">
        <v>1161</v>
      </c>
      <c r="K163" s="531"/>
      <c r="L163" s="532">
        <f t="shared" si="14"/>
        <v>0</v>
      </c>
      <c r="M163" s="532">
        <f t="shared" si="15"/>
        <v>0</v>
      </c>
      <c r="N163" s="532">
        <f t="shared" si="16"/>
        <v>0</v>
      </c>
    </row>
    <row r="164" spans="1:14">
      <c r="B164" s="527" t="s">
        <v>1218</v>
      </c>
      <c r="C164" s="134">
        <v>108</v>
      </c>
      <c r="D164" s="528" t="s">
        <v>22</v>
      </c>
      <c r="E164" s="135"/>
      <c r="F164" s="527" t="s">
        <v>1212</v>
      </c>
      <c r="G164" s="527" t="s">
        <v>1965</v>
      </c>
      <c r="H164" s="529">
        <v>2</v>
      </c>
      <c r="I164" s="530">
        <v>24</v>
      </c>
      <c r="J164" s="630" t="s">
        <v>1161</v>
      </c>
      <c r="K164" s="531"/>
      <c r="L164" s="532">
        <f t="shared" si="14"/>
        <v>0</v>
      </c>
      <c r="M164" s="532">
        <f t="shared" si="15"/>
        <v>0</v>
      </c>
      <c r="N164" s="532">
        <f t="shared" si="16"/>
        <v>0</v>
      </c>
    </row>
    <row r="165" spans="1:14">
      <c r="B165" s="527" t="s">
        <v>1218</v>
      </c>
      <c r="C165" s="134">
        <v>108</v>
      </c>
      <c r="D165" s="528" t="s">
        <v>22</v>
      </c>
      <c r="E165" s="135"/>
      <c r="F165" s="527" t="s">
        <v>1212</v>
      </c>
      <c r="G165" s="527" t="s">
        <v>1966</v>
      </c>
      <c r="H165" s="529">
        <v>2</v>
      </c>
      <c r="I165" s="530">
        <v>24</v>
      </c>
      <c r="J165" s="630" t="s">
        <v>1161</v>
      </c>
      <c r="K165" s="531"/>
      <c r="L165" s="532">
        <f t="shared" si="14"/>
        <v>0</v>
      </c>
      <c r="M165" s="532">
        <f t="shared" si="15"/>
        <v>0</v>
      </c>
      <c r="N165" s="532">
        <f t="shared" si="16"/>
        <v>0</v>
      </c>
    </row>
    <row r="166" spans="1:14">
      <c r="B166" s="527" t="s">
        <v>1218</v>
      </c>
      <c r="C166" s="134">
        <v>108</v>
      </c>
      <c r="D166" s="528" t="s">
        <v>22</v>
      </c>
      <c r="E166" s="135"/>
      <c r="F166" s="527" t="s">
        <v>1163</v>
      </c>
      <c r="G166" s="527" t="s">
        <v>1273</v>
      </c>
      <c r="H166" s="529">
        <v>2</v>
      </c>
      <c r="I166" s="530">
        <v>37.200000000000003</v>
      </c>
      <c r="J166" s="630" t="s">
        <v>1164</v>
      </c>
      <c r="K166" s="531"/>
      <c r="L166" s="532">
        <f t="shared" si="14"/>
        <v>0</v>
      </c>
      <c r="M166" s="532">
        <f t="shared" si="15"/>
        <v>0</v>
      </c>
      <c r="N166" s="532">
        <f t="shared" si="16"/>
        <v>0</v>
      </c>
    </row>
    <row r="167" spans="1:14">
      <c r="B167" s="527" t="s">
        <v>1218</v>
      </c>
      <c r="C167" s="134">
        <v>108</v>
      </c>
      <c r="D167" s="528" t="s">
        <v>22</v>
      </c>
      <c r="E167" s="135"/>
      <c r="F167" s="527" t="s">
        <v>1160</v>
      </c>
      <c r="G167" s="527" t="s">
        <v>1273</v>
      </c>
      <c r="H167" s="529">
        <v>2</v>
      </c>
      <c r="I167" s="530">
        <v>37.200000000000003</v>
      </c>
      <c r="J167" s="630" t="s">
        <v>1164</v>
      </c>
      <c r="K167" s="531"/>
      <c r="L167" s="532">
        <f t="shared" si="14"/>
        <v>0</v>
      </c>
      <c r="M167" s="532">
        <f t="shared" si="15"/>
        <v>0</v>
      </c>
      <c r="N167" s="532">
        <f t="shared" si="16"/>
        <v>0</v>
      </c>
    </row>
    <row r="168" spans="1:14">
      <c r="B168" s="527" t="s">
        <v>1218</v>
      </c>
      <c r="C168" s="134">
        <v>108</v>
      </c>
      <c r="D168" s="528" t="s">
        <v>22</v>
      </c>
      <c r="E168" s="135"/>
      <c r="F168" s="527" t="s">
        <v>1163</v>
      </c>
      <c r="G168" s="527" t="s">
        <v>1246</v>
      </c>
      <c r="H168" s="529">
        <v>2</v>
      </c>
      <c r="I168" s="530">
        <v>8.19</v>
      </c>
      <c r="J168" s="630" t="s">
        <v>1164</v>
      </c>
      <c r="K168" s="531"/>
      <c r="L168" s="532">
        <f t="shared" si="14"/>
        <v>0</v>
      </c>
      <c r="M168" s="532">
        <f t="shared" si="15"/>
        <v>0</v>
      </c>
      <c r="N168" s="532">
        <f t="shared" si="16"/>
        <v>0</v>
      </c>
    </row>
    <row r="169" spans="1:14">
      <c r="B169" s="527" t="s">
        <v>1218</v>
      </c>
      <c r="C169" s="134">
        <v>108</v>
      </c>
      <c r="D169" s="528" t="s">
        <v>22</v>
      </c>
      <c r="E169" s="135"/>
      <c r="F169" s="527" t="s">
        <v>1160</v>
      </c>
      <c r="G169" s="527" t="s">
        <v>1246</v>
      </c>
      <c r="H169" s="529">
        <v>2</v>
      </c>
      <c r="I169" s="530">
        <v>8.19</v>
      </c>
      <c r="J169" s="630" t="s">
        <v>1164</v>
      </c>
      <c r="K169" s="531"/>
      <c r="L169" s="532">
        <f t="shared" si="14"/>
        <v>0</v>
      </c>
      <c r="M169" s="532">
        <f t="shared" si="15"/>
        <v>0</v>
      </c>
      <c r="N169" s="532">
        <f t="shared" si="16"/>
        <v>0</v>
      </c>
    </row>
    <row r="170" spans="1:14">
      <c r="B170" s="527" t="s">
        <v>1218</v>
      </c>
      <c r="C170" s="134">
        <v>108</v>
      </c>
      <c r="D170" s="528" t="s">
        <v>22</v>
      </c>
      <c r="E170" s="135"/>
      <c r="F170" s="527" t="s">
        <v>1163</v>
      </c>
      <c r="G170" s="527" t="s">
        <v>1252</v>
      </c>
      <c r="H170" s="529">
        <v>2</v>
      </c>
      <c r="I170" s="530">
        <v>37.200000000000003</v>
      </c>
      <c r="J170" s="630" t="s">
        <v>1164</v>
      </c>
      <c r="K170" s="531"/>
      <c r="L170" s="532">
        <f t="shared" si="14"/>
        <v>0</v>
      </c>
      <c r="M170" s="532">
        <f t="shared" si="15"/>
        <v>0</v>
      </c>
      <c r="N170" s="532">
        <f t="shared" si="16"/>
        <v>0</v>
      </c>
    </row>
    <row r="171" spans="1:14">
      <c r="B171" s="527" t="s">
        <v>1218</v>
      </c>
      <c r="C171" s="134">
        <v>108</v>
      </c>
      <c r="D171" s="528" t="s">
        <v>22</v>
      </c>
      <c r="E171" s="135"/>
      <c r="F171" s="527" t="s">
        <v>1160</v>
      </c>
      <c r="G171" s="527" t="s">
        <v>1252</v>
      </c>
      <c r="H171" s="529">
        <v>2</v>
      </c>
      <c r="I171" s="530">
        <v>37.200000000000003</v>
      </c>
      <c r="J171" s="630" t="s">
        <v>1164</v>
      </c>
      <c r="K171" s="531"/>
      <c r="L171" s="532">
        <f t="shared" si="14"/>
        <v>0</v>
      </c>
      <c r="M171" s="532">
        <f t="shared" si="15"/>
        <v>0</v>
      </c>
      <c r="N171" s="532">
        <f t="shared" si="16"/>
        <v>0</v>
      </c>
    </row>
    <row r="172" spans="1:14">
      <c r="B172" s="527" t="s">
        <v>1218</v>
      </c>
      <c r="C172" s="134">
        <v>108</v>
      </c>
      <c r="D172" s="528" t="s">
        <v>22</v>
      </c>
      <c r="E172" s="135"/>
      <c r="F172" s="527" t="s">
        <v>1163</v>
      </c>
      <c r="G172" s="527" t="s">
        <v>1251</v>
      </c>
      <c r="H172" s="529">
        <v>2</v>
      </c>
      <c r="I172" s="530">
        <v>8.19</v>
      </c>
      <c r="J172" s="630" t="s">
        <v>1164</v>
      </c>
      <c r="K172" s="531"/>
      <c r="L172" s="532">
        <f t="shared" si="14"/>
        <v>0</v>
      </c>
      <c r="M172" s="532">
        <f t="shared" si="15"/>
        <v>0</v>
      </c>
      <c r="N172" s="532">
        <f t="shared" si="16"/>
        <v>0</v>
      </c>
    </row>
    <row r="173" spans="1:14">
      <c r="B173" s="527" t="s">
        <v>1218</v>
      </c>
      <c r="C173" s="134">
        <v>108</v>
      </c>
      <c r="D173" s="528" t="s">
        <v>22</v>
      </c>
      <c r="E173" s="135"/>
      <c r="F173" s="527" t="s">
        <v>1160</v>
      </c>
      <c r="G173" s="527" t="s">
        <v>1251</v>
      </c>
      <c r="H173" s="529">
        <v>2</v>
      </c>
      <c r="I173" s="530">
        <v>8.19</v>
      </c>
      <c r="J173" s="630" t="s">
        <v>1164</v>
      </c>
      <c r="K173" s="531"/>
      <c r="L173" s="532">
        <f t="shared" si="14"/>
        <v>0</v>
      </c>
      <c r="M173" s="532">
        <f t="shared" si="15"/>
        <v>0</v>
      </c>
      <c r="N173" s="532">
        <f t="shared" si="16"/>
        <v>0</v>
      </c>
    </row>
    <row r="174" spans="1:14">
      <c r="A174" s="3" t="str">
        <f t="shared" ref="A174:A205" si="17">CONCATENATE(C174,H174)</f>
        <v>10826</v>
      </c>
      <c r="B174" s="527" t="s">
        <v>1218</v>
      </c>
      <c r="C174" s="134">
        <v>108</v>
      </c>
      <c r="D174" s="528" t="s">
        <v>22</v>
      </c>
      <c r="E174" s="135"/>
      <c r="F174" s="527" t="s">
        <v>1162</v>
      </c>
      <c r="G174" s="527" t="s">
        <v>1308</v>
      </c>
      <c r="H174" s="529">
        <v>26</v>
      </c>
      <c r="I174" s="530">
        <v>5</v>
      </c>
      <c r="J174" s="630" t="s">
        <v>1161</v>
      </c>
      <c r="K174" s="531" t="s">
        <v>1309</v>
      </c>
      <c r="L174" s="532">
        <f t="shared" si="14"/>
        <v>0</v>
      </c>
      <c r="M174" s="532">
        <f t="shared" si="15"/>
        <v>0</v>
      </c>
      <c r="N174" s="532">
        <f t="shared" si="16"/>
        <v>0</v>
      </c>
    </row>
    <row r="175" spans="1:14">
      <c r="A175" s="3" t="str">
        <f t="shared" si="17"/>
        <v>10926</v>
      </c>
      <c r="B175" s="527" t="s">
        <v>851</v>
      </c>
      <c r="C175" s="134">
        <v>109</v>
      </c>
      <c r="D175" s="528" t="s">
        <v>22</v>
      </c>
      <c r="E175" s="135"/>
      <c r="F175" s="527" t="s">
        <v>1162</v>
      </c>
      <c r="G175" s="527" t="s">
        <v>1308</v>
      </c>
      <c r="H175" s="529">
        <v>26</v>
      </c>
      <c r="I175" s="530">
        <f>1.7</f>
        <v>1.7</v>
      </c>
      <c r="J175" s="630" t="s">
        <v>1161</v>
      </c>
      <c r="K175" s="531" t="s">
        <v>1309</v>
      </c>
      <c r="L175" s="532">
        <f t="shared" si="14"/>
        <v>0</v>
      </c>
      <c r="M175" s="532">
        <f t="shared" si="15"/>
        <v>0</v>
      </c>
      <c r="N175" s="532">
        <f t="shared" si="16"/>
        <v>0</v>
      </c>
    </row>
    <row r="176" spans="1:14">
      <c r="A176" s="3" t="str">
        <f t="shared" si="17"/>
        <v>1102</v>
      </c>
      <c r="B176" s="527" t="s">
        <v>1219</v>
      </c>
      <c r="C176" s="134">
        <v>110</v>
      </c>
      <c r="D176" s="528" t="s">
        <v>22</v>
      </c>
      <c r="E176" s="533" t="s">
        <v>223</v>
      </c>
      <c r="F176" s="527" t="s">
        <v>1160</v>
      </c>
      <c r="G176" s="527" t="s">
        <v>1220</v>
      </c>
      <c r="H176" s="529">
        <v>2</v>
      </c>
      <c r="I176" s="530">
        <f>+(9.2+3.1+1.7+1.7+2.5+6.6)*3.15-2</f>
        <v>76.11999999999999</v>
      </c>
      <c r="J176" s="630" t="s">
        <v>1164</v>
      </c>
      <c r="K176" s="531"/>
      <c r="L176" s="532">
        <f t="shared" si="14"/>
        <v>0</v>
      </c>
      <c r="M176" s="532">
        <f t="shared" si="15"/>
        <v>0</v>
      </c>
      <c r="N176" s="532">
        <f t="shared" si="16"/>
        <v>0</v>
      </c>
    </row>
    <row r="177" spans="1:14">
      <c r="A177" s="3" t="str">
        <f t="shared" si="17"/>
        <v>1102</v>
      </c>
      <c r="B177" s="527" t="s">
        <v>1219</v>
      </c>
      <c r="C177" s="134">
        <v>110</v>
      </c>
      <c r="D177" s="528" t="s">
        <v>22</v>
      </c>
      <c r="E177" s="533" t="s">
        <v>223</v>
      </c>
      <c r="F177" s="527" t="s">
        <v>1163</v>
      </c>
      <c r="G177" s="527" t="s">
        <v>1220</v>
      </c>
      <c r="H177" s="529">
        <v>2</v>
      </c>
      <c r="I177" s="530">
        <f>+(9.2+3.1+1.7+1.7+2.5+6.6)*3.15-2</f>
        <v>76.11999999999999</v>
      </c>
      <c r="J177" s="630" t="s">
        <v>1164</v>
      </c>
      <c r="K177" s="531"/>
      <c r="L177" s="532">
        <f t="shared" si="14"/>
        <v>0</v>
      </c>
      <c r="M177" s="532">
        <f t="shared" si="15"/>
        <v>0</v>
      </c>
      <c r="N177" s="532">
        <f t="shared" si="16"/>
        <v>0</v>
      </c>
    </row>
    <row r="178" spans="1:14">
      <c r="A178" s="3" t="str">
        <f t="shared" si="17"/>
        <v>1102</v>
      </c>
      <c r="B178" s="527" t="s">
        <v>1219</v>
      </c>
      <c r="C178" s="134">
        <v>110</v>
      </c>
      <c r="D178" s="528" t="s">
        <v>22</v>
      </c>
      <c r="E178" s="533" t="s">
        <v>223</v>
      </c>
      <c r="F178" s="527" t="s">
        <v>1221</v>
      </c>
      <c r="G178" s="527" t="s">
        <v>1222</v>
      </c>
      <c r="H178" s="529">
        <v>2</v>
      </c>
      <c r="I178" s="530">
        <f>6.6*5</f>
        <v>33</v>
      </c>
      <c r="J178" s="630" t="s">
        <v>1164</v>
      </c>
      <c r="K178" s="531" t="s">
        <v>1223</v>
      </c>
      <c r="L178" s="532">
        <f t="shared" si="14"/>
        <v>0</v>
      </c>
      <c r="M178" s="532">
        <f t="shared" si="15"/>
        <v>0</v>
      </c>
      <c r="N178" s="532">
        <f t="shared" si="16"/>
        <v>0</v>
      </c>
    </row>
    <row r="179" spans="1:14">
      <c r="A179" s="3" t="str">
        <f t="shared" si="17"/>
        <v>1102</v>
      </c>
      <c r="B179" s="527" t="s">
        <v>1219</v>
      </c>
      <c r="C179" s="134">
        <v>110</v>
      </c>
      <c r="D179" s="528" t="s">
        <v>22</v>
      </c>
      <c r="E179" s="533" t="s">
        <v>223</v>
      </c>
      <c r="F179" s="527" t="s">
        <v>1221</v>
      </c>
      <c r="G179" s="527" t="s">
        <v>1224</v>
      </c>
      <c r="H179" s="529">
        <v>2</v>
      </c>
      <c r="I179" s="530">
        <f>6.6*3.1</f>
        <v>20.46</v>
      </c>
      <c r="J179" s="630" t="s">
        <v>1164</v>
      </c>
      <c r="K179" s="531" t="s">
        <v>1223</v>
      </c>
      <c r="L179" s="532">
        <f t="shared" si="14"/>
        <v>0</v>
      </c>
      <c r="M179" s="532">
        <f t="shared" si="15"/>
        <v>0</v>
      </c>
      <c r="N179" s="532">
        <f t="shared" si="16"/>
        <v>0</v>
      </c>
    </row>
    <row r="180" spans="1:14">
      <c r="A180" s="3" t="str">
        <f t="shared" si="17"/>
        <v>1102</v>
      </c>
      <c r="B180" s="527" t="s">
        <v>1219</v>
      </c>
      <c r="C180" s="134">
        <v>110</v>
      </c>
      <c r="D180" s="528" t="s">
        <v>22</v>
      </c>
      <c r="E180" s="533" t="s">
        <v>223</v>
      </c>
      <c r="F180" s="527" t="s">
        <v>1160</v>
      </c>
      <c r="G180" s="527" t="s">
        <v>1225</v>
      </c>
      <c r="H180" s="529">
        <v>2</v>
      </c>
      <c r="I180" s="530">
        <f>6*3.1*2</f>
        <v>37.200000000000003</v>
      </c>
      <c r="J180" s="630" t="s">
        <v>1164</v>
      </c>
      <c r="K180" s="531"/>
      <c r="L180" s="532">
        <f t="shared" si="14"/>
        <v>0</v>
      </c>
      <c r="M180" s="532">
        <f t="shared" si="15"/>
        <v>0</v>
      </c>
      <c r="N180" s="532">
        <f t="shared" si="16"/>
        <v>0</v>
      </c>
    </row>
    <row r="181" spans="1:14">
      <c r="A181" s="3" t="str">
        <f t="shared" si="17"/>
        <v>1102</v>
      </c>
      <c r="B181" s="527" t="s">
        <v>1219</v>
      </c>
      <c r="C181" s="134">
        <v>110</v>
      </c>
      <c r="D181" s="528" t="s">
        <v>22</v>
      </c>
      <c r="E181" s="533" t="s">
        <v>223</v>
      </c>
      <c r="F181" s="527" t="s">
        <v>1163</v>
      </c>
      <c r="G181" s="527" t="s">
        <v>1225</v>
      </c>
      <c r="H181" s="529">
        <v>2</v>
      </c>
      <c r="I181" s="530">
        <f>6*3.1*2</f>
        <v>37.200000000000003</v>
      </c>
      <c r="J181" s="630" t="s">
        <v>1164</v>
      </c>
      <c r="K181" s="531"/>
      <c r="L181" s="532">
        <f t="shared" si="14"/>
        <v>0</v>
      </c>
      <c r="M181" s="532">
        <f t="shared" si="15"/>
        <v>0</v>
      </c>
      <c r="N181" s="532">
        <f t="shared" si="16"/>
        <v>0</v>
      </c>
    </row>
    <row r="182" spans="1:14">
      <c r="A182" s="3" t="str">
        <f t="shared" si="17"/>
        <v>1102</v>
      </c>
      <c r="B182" s="527" t="s">
        <v>1219</v>
      </c>
      <c r="C182" s="134">
        <v>110</v>
      </c>
      <c r="D182" s="528" t="s">
        <v>22</v>
      </c>
      <c r="E182" s="533" t="s">
        <v>223</v>
      </c>
      <c r="F182" s="527" t="s">
        <v>1160</v>
      </c>
      <c r="G182" s="527" t="s">
        <v>1226</v>
      </c>
      <c r="H182" s="529">
        <v>2</v>
      </c>
      <c r="I182" s="530">
        <f>1.95*2.1*2</f>
        <v>8.19</v>
      </c>
      <c r="J182" s="630" t="s">
        <v>1164</v>
      </c>
      <c r="K182" s="531"/>
      <c r="L182" s="532">
        <f t="shared" si="14"/>
        <v>0</v>
      </c>
      <c r="M182" s="532">
        <f t="shared" si="15"/>
        <v>0</v>
      </c>
      <c r="N182" s="532">
        <f t="shared" si="16"/>
        <v>0</v>
      </c>
    </row>
    <row r="183" spans="1:14">
      <c r="A183" s="3" t="str">
        <f t="shared" si="17"/>
        <v>1102</v>
      </c>
      <c r="B183" s="527" t="s">
        <v>1219</v>
      </c>
      <c r="C183" s="134">
        <v>110</v>
      </c>
      <c r="D183" s="528" t="s">
        <v>22</v>
      </c>
      <c r="E183" s="533" t="s">
        <v>223</v>
      </c>
      <c r="F183" s="527" t="s">
        <v>1163</v>
      </c>
      <c r="G183" s="527" t="s">
        <v>1226</v>
      </c>
      <c r="H183" s="529">
        <v>2</v>
      </c>
      <c r="I183" s="530">
        <f>1.95*2.1*2</f>
        <v>8.19</v>
      </c>
      <c r="J183" s="630" t="s">
        <v>1164</v>
      </c>
      <c r="K183" s="531"/>
      <c r="L183" s="532">
        <f t="shared" si="14"/>
        <v>0</v>
      </c>
      <c r="M183" s="532">
        <f t="shared" si="15"/>
        <v>0</v>
      </c>
      <c r="N183" s="532">
        <f t="shared" si="16"/>
        <v>0</v>
      </c>
    </row>
    <row r="184" spans="1:14">
      <c r="A184" s="3" t="str">
        <f t="shared" si="17"/>
        <v>1102</v>
      </c>
      <c r="B184" s="527" t="s">
        <v>1219</v>
      </c>
      <c r="C184" s="134">
        <v>110</v>
      </c>
      <c r="D184" s="528" t="s">
        <v>22</v>
      </c>
      <c r="E184" s="533" t="s">
        <v>223</v>
      </c>
      <c r="F184" s="527" t="s">
        <v>1171</v>
      </c>
      <c r="G184" s="527" t="s">
        <v>1227</v>
      </c>
      <c r="H184" s="529">
        <v>2</v>
      </c>
      <c r="I184" s="530">
        <f>+(1.35+0.65)*12</f>
        <v>24</v>
      </c>
      <c r="J184" s="630" t="s">
        <v>1164</v>
      </c>
      <c r="K184" s="531" t="s">
        <v>1228</v>
      </c>
      <c r="L184" s="532">
        <f t="shared" si="14"/>
        <v>0</v>
      </c>
      <c r="M184" s="532">
        <f t="shared" si="15"/>
        <v>0</v>
      </c>
      <c r="N184" s="532">
        <f t="shared" si="16"/>
        <v>0</v>
      </c>
    </row>
    <row r="185" spans="1:14">
      <c r="A185" s="3" t="str">
        <f t="shared" si="17"/>
        <v>1102</v>
      </c>
      <c r="B185" s="527" t="s">
        <v>1219</v>
      </c>
      <c r="C185" s="134">
        <v>110</v>
      </c>
      <c r="D185" s="528" t="s">
        <v>22</v>
      </c>
      <c r="E185" s="533" t="s">
        <v>223</v>
      </c>
      <c r="F185" s="527" t="s">
        <v>1169</v>
      </c>
      <c r="G185" s="527" t="s">
        <v>1227</v>
      </c>
      <c r="H185" s="529">
        <v>2</v>
      </c>
      <c r="I185" s="530">
        <f>+(1.35+0.65)*12</f>
        <v>24</v>
      </c>
      <c r="J185" s="630" t="s">
        <v>1164</v>
      </c>
      <c r="K185" s="531" t="s">
        <v>1228</v>
      </c>
      <c r="L185" s="532">
        <f t="shared" si="14"/>
        <v>0</v>
      </c>
      <c r="M185" s="532">
        <f t="shared" si="15"/>
        <v>0</v>
      </c>
      <c r="N185" s="532">
        <f t="shared" si="16"/>
        <v>0</v>
      </c>
    </row>
    <row r="186" spans="1:14">
      <c r="A186" s="3" t="str">
        <f t="shared" si="17"/>
        <v>1102</v>
      </c>
      <c r="B186" s="527" t="s">
        <v>1219</v>
      </c>
      <c r="C186" s="134">
        <v>110</v>
      </c>
      <c r="D186" s="528" t="s">
        <v>22</v>
      </c>
      <c r="E186" s="533" t="s">
        <v>223</v>
      </c>
      <c r="F186" s="527" t="s">
        <v>1172</v>
      </c>
      <c r="G186" s="527" t="s">
        <v>1216</v>
      </c>
      <c r="H186" s="529">
        <v>2</v>
      </c>
      <c r="I186" s="530">
        <v>7.45</v>
      </c>
      <c r="J186" s="630" t="s">
        <v>1161</v>
      </c>
      <c r="K186" s="531" t="s">
        <v>1967</v>
      </c>
      <c r="L186" s="532">
        <f t="shared" si="14"/>
        <v>0</v>
      </c>
      <c r="M186" s="532">
        <f t="shared" si="15"/>
        <v>0</v>
      </c>
      <c r="N186" s="532">
        <f t="shared" si="16"/>
        <v>0</v>
      </c>
    </row>
    <row r="187" spans="1:14">
      <c r="A187" s="3" t="str">
        <f t="shared" si="17"/>
        <v>1102</v>
      </c>
      <c r="B187" s="527" t="s">
        <v>1219</v>
      </c>
      <c r="C187" s="134">
        <v>110</v>
      </c>
      <c r="D187" s="528" t="s">
        <v>22</v>
      </c>
      <c r="E187" s="533" t="s">
        <v>223</v>
      </c>
      <c r="F187" s="527" t="s">
        <v>1174</v>
      </c>
      <c r="G187" s="527" t="s">
        <v>1216</v>
      </c>
      <c r="H187" s="529">
        <v>2</v>
      </c>
      <c r="I187" s="530">
        <v>7.45</v>
      </c>
      <c r="J187" s="630" t="s">
        <v>1164</v>
      </c>
      <c r="K187" s="531" t="s">
        <v>1967</v>
      </c>
      <c r="L187" s="532">
        <f t="shared" si="14"/>
        <v>0</v>
      </c>
      <c r="M187" s="532">
        <f t="shared" si="15"/>
        <v>0</v>
      </c>
      <c r="N187" s="532">
        <f t="shared" si="16"/>
        <v>0</v>
      </c>
    </row>
    <row r="188" spans="1:14">
      <c r="A188" s="3" t="str">
        <f t="shared" si="17"/>
        <v>1102</v>
      </c>
      <c r="B188" s="527" t="s">
        <v>1219</v>
      </c>
      <c r="C188" s="134">
        <v>110</v>
      </c>
      <c r="D188" s="528" t="s">
        <v>22</v>
      </c>
      <c r="E188" s="533" t="s">
        <v>236</v>
      </c>
      <c r="F188" s="527" t="s">
        <v>1212</v>
      </c>
      <c r="G188" s="527" t="s">
        <v>1229</v>
      </c>
      <c r="H188" s="529">
        <v>2</v>
      </c>
      <c r="I188" s="530">
        <v>2</v>
      </c>
      <c r="J188" s="630" t="s">
        <v>1161</v>
      </c>
      <c r="K188" s="531"/>
      <c r="L188" s="532">
        <f t="shared" si="14"/>
        <v>0</v>
      </c>
      <c r="M188" s="532">
        <f t="shared" si="15"/>
        <v>0</v>
      </c>
      <c r="N188" s="532">
        <f t="shared" si="16"/>
        <v>0</v>
      </c>
    </row>
    <row r="189" spans="1:14">
      <c r="A189" s="3" t="str">
        <f t="shared" si="17"/>
        <v>1102</v>
      </c>
      <c r="B189" s="527" t="s">
        <v>1219</v>
      </c>
      <c r="C189" s="134">
        <v>110</v>
      </c>
      <c r="D189" s="528" t="s">
        <v>22</v>
      </c>
      <c r="E189" s="533" t="s">
        <v>236</v>
      </c>
      <c r="F189" s="527" t="s">
        <v>1215</v>
      </c>
      <c r="G189" s="527" t="s">
        <v>1229</v>
      </c>
      <c r="H189" s="529">
        <v>2</v>
      </c>
      <c r="I189" s="530">
        <v>2</v>
      </c>
      <c r="J189" s="630" t="s">
        <v>1164</v>
      </c>
      <c r="K189" s="531"/>
      <c r="L189" s="532">
        <f t="shared" si="14"/>
        <v>0</v>
      </c>
      <c r="M189" s="532">
        <f t="shared" si="15"/>
        <v>0</v>
      </c>
      <c r="N189" s="532">
        <f t="shared" si="16"/>
        <v>0</v>
      </c>
    </row>
    <row r="190" spans="1:14">
      <c r="A190" s="3" t="str">
        <f t="shared" si="17"/>
        <v>1102</v>
      </c>
      <c r="B190" s="527" t="s">
        <v>1219</v>
      </c>
      <c r="C190" s="134">
        <v>110</v>
      </c>
      <c r="D190" s="528" t="s">
        <v>22</v>
      </c>
      <c r="E190" s="533" t="s">
        <v>63</v>
      </c>
      <c r="F190" s="527" t="s">
        <v>1160</v>
      </c>
      <c r="G190" s="527" t="s">
        <v>1230</v>
      </c>
      <c r="H190" s="529">
        <v>2</v>
      </c>
      <c r="I190" s="530">
        <f>+(1.6+2+4.2+9.7)*3.15-2</f>
        <v>53.125</v>
      </c>
      <c r="J190" s="630" t="s">
        <v>1164</v>
      </c>
      <c r="K190" s="531"/>
      <c r="L190" s="532">
        <f t="shared" si="14"/>
        <v>0</v>
      </c>
      <c r="M190" s="532">
        <f t="shared" si="15"/>
        <v>0</v>
      </c>
      <c r="N190" s="532">
        <f t="shared" si="16"/>
        <v>0</v>
      </c>
    </row>
    <row r="191" spans="1:14">
      <c r="A191" s="3" t="str">
        <f t="shared" si="17"/>
        <v>1102</v>
      </c>
      <c r="B191" s="527" t="s">
        <v>1219</v>
      </c>
      <c r="C191" s="134">
        <v>110</v>
      </c>
      <c r="D191" s="528" t="s">
        <v>22</v>
      </c>
      <c r="E191" s="533" t="s">
        <v>63</v>
      </c>
      <c r="F191" s="527" t="s">
        <v>1163</v>
      </c>
      <c r="G191" s="527" t="s">
        <v>1230</v>
      </c>
      <c r="H191" s="529">
        <v>2</v>
      </c>
      <c r="I191" s="530">
        <f>+(1.6+2+4.2+9.7)*3.15-2</f>
        <v>53.125</v>
      </c>
      <c r="J191" s="630" t="s">
        <v>1164</v>
      </c>
      <c r="K191" s="531"/>
      <c r="L191" s="532">
        <f t="shared" si="14"/>
        <v>0</v>
      </c>
      <c r="M191" s="532">
        <f t="shared" si="15"/>
        <v>0</v>
      </c>
      <c r="N191" s="532">
        <f t="shared" si="16"/>
        <v>0</v>
      </c>
    </row>
    <row r="192" spans="1:14">
      <c r="A192" s="3" t="str">
        <f t="shared" si="17"/>
        <v>1102</v>
      </c>
      <c r="B192" s="527" t="s">
        <v>1219</v>
      </c>
      <c r="C192" s="134">
        <v>110</v>
      </c>
      <c r="D192" s="528" t="s">
        <v>22</v>
      </c>
      <c r="E192" s="533" t="s">
        <v>63</v>
      </c>
      <c r="F192" s="527" t="s">
        <v>1221</v>
      </c>
      <c r="G192" s="527" t="s">
        <v>1222</v>
      </c>
      <c r="H192" s="529">
        <v>2</v>
      </c>
      <c r="I192" s="530">
        <f>6.6*5</f>
        <v>33</v>
      </c>
      <c r="J192" s="630" t="s">
        <v>1164</v>
      </c>
      <c r="K192" s="531" t="s">
        <v>1223</v>
      </c>
      <c r="L192" s="532">
        <f t="shared" si="14"/>
        <v>0</v>
      </c>
      <c r="M192" s="532">
        <f t="shared" si="15"/>
        <v>0</v>
      </c>
      <c r="N192" s="532">
        <f t="shared" si="16"/>
        <v>0</v>
      </c>
    </row>
    <row r="193" spans="1:14">
      <c r="A193" s="3" t="str">
        <f t="shared" si="17"/>
        <v>1102</v>
      </c>
      <c r="B193" s="527" t="s">
        <v>1219</v>
      </c>
      <c r="C193" s="134">
        <v>110</v>
      </c>
      <c r="D193" s="528" t="s">
        <v>22</v>
      </c>
      <c r="E193" s="533" t="s">
        <v>63</v>
      </c>
      <c r="F193" s="527" t="s">
        <v>1221</v>
      </c>
      <c r="G193" s="527" t="s">
        <v>1224</v>
      </c>
      <c r="H193" s="529">
        <v>2</v>
      </c>
      <c r="I193" s="530">
        <f>6.6*3.1</f>
        <v>20.46</v>
      </c>
      <c r="J193" s="630" t="s">
        <v>1164</v>
      </c>
      <c r="K193" s="531" t="s">
        <v>1223</v>
      </c>
      <c r="L193" s="532">
        <f t="shared" si="14"/>
        <v>0</v>
      </c>
      <c r="M193" s="532">
        <f t="shared" si="15"/>
        <v>0</v>
      </c>
      <c r="N193" s="532">
        <f t="shared" si="16"/>
        <v>0</v>
      </c>
    </row>
    <row r="194" spans="1:14">
      <c r="A194" s="3" t="str">
        <f t="shared" si="17"/>
        <v>1102</v>
      </c>
      <c r="B194" s="527" t="s">
        <v>1219</v>
      </c>
      <c r="C194" s="134">
        <v>110</v>
      </c>
      <c r="D194" s="528" t="s">
        <v>22</v>
      </c>
      <c r="E194" s="533" t="s">
        <v>63</v>
      </c>
      <c r="F194" s="527" t="s">
        <v>1160</v>
      </c>
      <c r="G194" s="527" t="s">
        <v>1231</v>
      </c>
      <c r="H194" s="529">
        <v>2</v>
      </c>
      <c r="I194" s="530">
        <f>6*3.1*2</f>
        <v>37.200000000000003</v>
      </c>
      <c r="J194" s="630" t="s">
        <v>1164</v>
      </c>
      <c r="K194" s="531"/>
      <c r="L194" s="532">
        <f t="shared" si="14"/>
        <v>0</v>
      </c>
      <c r="M194" s="532">
        <f t="shared" si="15"/>
        <v>0</v>
      </c>
      <c r="N194" s="532">
        <f t="shared" si="16"/>
        <v>0</v>
      </c>
    </row>
    <row r="195" spans="1:14">
      <c r="A195" s="3" t="str">
        <f t="shared" si="17"/>
        <v>1102</v>
      </c>
      <c r="B195" s="527" t="s">
        <v>1219</v>
      </c>
      <c r="C195" s="134">
        <v>110</v>
      </c>
      <c r="D195" s="528" t="s">
        <v>22</v>
      </c>
      <c r="E195" s="533" t="s">
        <v>63</v>
      </c>
      <c r="F195" s="527" t="s">
        <v>1163</v>
      </c>
      <c r="G195" s="527" t="s">
        <v>1231</v>
      </c>
      <c r="H195" s="529">
        <v>2</v>
      </c>
      <c r="I195" s="530">
        <f>6*3.1*2</f>
        <v>37.200000000000003</v>
      </c>
      <c r="J195" s="630" t="s">
        <v>1164</v>
      </c>
      <c r="K195" s="531"/>
      <c r="L195" s="532">
        <f t="shared" si="14"/>
        <v>0</v>
      </c>
      <c r="M195" s="532">
        <f t="shared" si="15"/>
        <v>0</v>
      </c>
      <c r="N195" s="532">
        <f t="shared" si="16"/>
        <v>0</v>
      </c>
    </row>
    <row r="196" spans="1:14">
      <c r="A196" s="3" t="str">
        <f t="shared" si="17"/>
        <v>1102</v>
      </c>
      <c r="B196" s="527" t="s">
        <v>1219</v>
      </c>
      <c r="C196" s="134">
        <v>110</v>
      </c>
      <c r="D196" s="528" t="s">
        <v>22</v>
      </c>
      <c r="E196" s="533" t="s">
        <v>63</v>
      </c>
      <c r="F196" s="527" t="s">
        <v>1160</v>
      </c>
      <c r="G196" s="527" t="s">
        <v>1232</v>
      </c>
      <c r="H196" s="529">
        <v>2</v>
      </c>
      <c r="I196" s="530">
        <f>1.95*2.1*2</f>
        <v>8.19</v>
      </c>
      <c r="J196" s="630" t="s">
        <v>1164</v>
      </c>
      <c r="K196" s="531"/>
      <c r="L196" s="532">
        <f t="shared" si="14"/>
        <v>0</v>
      </c>
      <c r="M196" s="532">
        <f t="shared" si="15"/>
        <v>0</v>
      </c>
      <c r="N196" s="532">
        <f t="shared" si="16"/>
        <v>0</v>
      </c>
    </row>
    <row r="197" spans="1:14">
      <c r="A197" s="3" t="str">
        <f t="shared" si="17"/>
        <v>1102</v>
      </c>
      <c r="B197" s="527" t="s">
        <v>1219</v>
      </c>
      <c r="C197" s="134">
        <v>110</v>
      </c>
      <c r="D197" s="528" t="s">
        <v>22</v>
      </c>
      <c r="E197" s="533" t="s">
        <v>63</v>
      </c>
      <c r="F197" s="527" t="s">
        <v>1163</v>
      </c>
      <c r="G197" s="527" t="s">
        <v>1232</v>
      </c>
      <c r="H197" s="529">
        <v>2</v>
      </c>
      <c r="I197" s="530">
        <f>1.95*2.1*2</f>
        <v>8.19</v>
      </c>
      <c r="J197" s="630" t="s">
        <v>1164</v>
      </c>
      <c r="K197" s="531"/>
      <c r="L197" s="532">
        <f t="shared" si="14"/>
        <v>0</v>
      </c>
      <c r="M197" s="532">
        <f t="shared" si="15"/>
        <v>0</v>
      </c>
      <c r="N197" s="532">
        <f t="shared" si="16"/>
        <v>0</v>
      </c>
    </row>
    <row r="198" spans="1:14">
      <c r="A198" s="3" t="str">
        <f t="shared" si="17"/>
        <v>1102</v>
      </c>
      <c r="B198" s="527" t="s">
        <v>1219</v>
      </c>
      <c r="C198" s="134">
        <v>110</v>
      </c>
      <c r="D198" s="528" t="s">
        <v>22</v>
      </c>
      <c r="E198" s="533" t="s">
        <v>63</v>
      </c>
      <c r="F198" s="527" t="s">
        <v>1171</v>
      </c>
      <c r="G198" s="527" t="s">
        <v>1233</v>
      </c>
      <c r="H198" s="529">
        <v>2</v>
      </c>
      <c r="I198" s="530">
        <f>+(1.35+0.65)*12</f>
        <v>24</v>
      </c>
      <c r="J198" s="630" t="s">
        <v>1164</v>
      </c>
      <c r="K198" s="531" t="s">
        <v>1228</v>
      </c>
      <c r="L198" s="532">
        <f t="shared" si="14"/>
        <v>0</v>
      </c>
      <c r="M198" s="532">
        <f t="shared" si="15"/>
        <v>0</v>
      </c>
      <c r="N198" s="532">
        <f t="shared" si="16"/>
        <v>0</v>
      </c>
    </row>
    <row r="199" spans="1:14">
      <c r="A199" s="3" t="str">
        <f t="shared" si="17"/>
        <v>1102</v>
      </c>
      <c r="B199" s="527" t="s">
        <v>1219</v>
      </c>
      <c r="C199" s="134">
        <v>110</v>
      </c>
      <c r="D199" s="528" t="s">
        <v>22</v>
      </c>
      <c r="E199" s="533" t="s">
        <v>63</v>
      </c>
      <c r="F199" s="527" t="s">
        <v>1169</v>
      </c>
      <c r="G199" s="527" t="s">
        <v>1233</v>
      </c>
      <c r="H199" s="529">
        <v>2</v>
      </c>
      <c r="I199" s="530">
        <f>+(1.35+0.65)*12</f>
        <v>24</v>
      </c>
      <c r="J199" s="630" t="s">
        <v>1164</v>
      </c>
      <c r="K199" s="531" t="s">
        <v>1228</v>
      </c>
      <c r="L199" s="532">
        <f t="shared" si="14"/>
        <v>0</v>
      </c>
      <c r="M199" s="532">
        <f t="shared" si="15"/>
        <v>0</v>
      </c>
      <c r="N199" s="532">
        <f t="shared" si="16"/>
        <v>0</v>
      </c>
    </row>
    <row r="200" spans="1:14">
      <c r="A200" s="3" t="str">
        <f t="shared" si="17"/>
        <v>1102</v>
      </c>
      <c r="B200" s="527" t="s">
        <v>1219</v>
      </c>
      <c r="C200" s="134">
        <v>110</v>
      </c>
      <c r="D200" s="528" t="s">
        <v>22</v>
      </c>
      <c r="E200" s="533" t="s">
        <v>63</v>
      </c>
      <c r="F200" s="527" t="s">
        <v>1172</v>
      </c>
      <c r="G200" s="527" t="s">
        <v>1216</v>
      </c>
      <c r="H200" s="529">
        <v>2</v>
      </c>
      <c r="I200" s="530">
        <v>11.85</v>
      </c>
      <c r="J200" s="630" t="s">
        <v>1161</v>
      </c>
      <c r="K200" s="531"/>
      <c r="L200" s="532">
        <f t="shared" si="14"/>
        <v>0</v>
      </c>
      <c r="M200" s="532">
        <f t="shared" si="15"/>
        <v>0</v>
      </c>
      <c r="N200" s="532">
        <f t="shared" si="16"/>
        <v>0</v>
      </c>
    </row>
    <row r="201" spans="1:14">
      <c r="A201" s="3" t="str">
        <f t="shared" si="17"/>
        <v>1102</v>
      </c>
      <c r="B201" s="527" t="s">
        <v>1219</v>
      </c>
      <c r="C201" s="134">
        <v>110</v>
      </c>
      <c r="D201" s="528" t="s">
        <v>22</v>
      </c>
      <c r="E201" s="533" t="s">
        <v>63</v>
      </c>
      <c r="F201" s="527" t="s">
        <v>1174</v>
      </c>
      <c r="G201" s="527" t="s">
        <v>1216</v>
      </c>
      <c r="H201" s="529">
        <v>2</v>
      </c>
      <c r="I201" s="530">
        <v>11.85</v>
      </c>
      <c r="J201" s="630" t="s">
        <v>1164</v>
      </c>
      <c r="K201" s="531"/>
      <c r="L201" s="532">
        <f t="shared" si="14"/>
        <v>0</v>
      </c>
      <c r="M201" s="532">
        <f t="shared" si="15"/>
        <v>0</v>
      </c>
      <c r="N201" s="532">
        <f t="shared" si="16"/>
        <v>0</v>
      </c>
    </row>
    <row r="202" spans="1:14">
      <c r="A202" s="3" t="str">
        <f t="shared" si="17"/>
        <v>1102</v>
      </c>
      <c r="B202" s="527" t="s">
        <v>1219</v>
      </c>
      <c r="C202" s="134">
        <v>110</v>
      </c>
      <c r="D202" s="528" t="s">
        <v>22</v>
      </c>
      <c r="E202" s="533" t="s">
        <v>63</v>
      </c>
      <c r="F202" s="527" t="s">
        <v>1175</v>
      </c>
      <c r="G202" s="527" t="s">
        <v>1217</v>
      </c>
      <c r="H202" s="529">
        <v>2</v>
      </c>
      <c r="I202" s="530">
        <v>1.92</v>
      </c>
      <c r="J202" s="630" t="s">
        <v>1161</v>
      </c>
      <c r="K202" s="531"/>
      <c r="L202" s="532">
        <f t="shared" si="14"/>
        <v>0</v>
      </c>
      <c r="M202" s="532">
        <f t="shared" si="15"/>
        <v>0</v>
      </c>
      <c r="N202" s="532">
        <f t="shared" si="16"/>
        <v>0</v>
      </c>
    </row>
    <row r="203" spans="1:14">
      <c r="A203" s="3" t="str">
        <f t="shared" si="17"/>
        <v>1102</v>
      </c>
      <c r="B203" s="527" t="s">
        <v>1219</v>
      </c>
      <c r="C203" s="134">
        <v>110</v>
      </c>
      <c r="D203" s="528" t="s">
        <v>22</v>
      </c>
      <c r="E203" s="533" t="s">
        <v>63</v>
      </c>
      <c r="F203" s="527" t="s">
        <v>1177</v>
      </c>
      <c r="G203" s="527" t="s">
        <v>1217</v>
      </c>
      <c r="H203" s="529">
        <v>2</v>
      </c>
      <c r="I203" s="530">
        <v>1.92</v>
      </c>
      <c r="J203" s="630" t="s">
        <v>1161</v>
      </c>
      <c r="K203" s="531"/>
      <c r="L203" s="532">
        <f t="shared" si="14"/>
        <v>0</v>
      </c>
      <c r="M203" s="532">
        <f t="shared" si="15"/>
        <v>0</v>
      </c>
      <c r="N203" s="532">
        <f t="shared" si="16"/>
        <v>0</v>
      </c>
    </row>
    <row r="204" spans="1:14">
      <c r="A204" s="3" t="str">
        <f t="shared" si="17"/>
        <v>11026</v>
      </c>
      <c r="B204" s="527" t="s">
        <v>1219</v>
      </c>
      <c r="C204" s="134">
        <v>110</v>
      </c>
      <c r="D204" s="528" t="s">
        <v>22</v>
      </c>
      <c r="E204" s="135"/>
      <c r="F204" s="527" t="s">
        <v>1162</v>
      </c>
      <c r="G204" s="527" t="s">
        <v>1308</v>
      </c>
      <c r="H204" s="529">
        <v>26</v>
      </c>
      <c r="I204" s="530">
        <v>28</v>
      </c>
      <c r="J204" s="630" t="s">
        <v>1161</v>
      </c>
      <c r="K204" s="531" t="s">
        <v>1309</v>
      </c>
      <c r="L204" s="532">
        <f t="shared" si="14"/>
        <v>0</v>
      </c>
      <c r="M204" s="532">
        <f t="shared" si="15"/>
        <v>0</v>
      </c>
      <c r="N204" s="532">
        <f t="shared" si="16"/>
        <v>0</v>
      </c>
    </row>
    <row r="205" spans="1:14">
      <c r="A205" s="3" t="str">
        <f t="shared" si="17"/>
        <v>11112</v>
      </c>
      <c r="B205" s="527" t="s">
        <v>852</v>
      </c>
      <c r="C205" s="134">
        <v>111</v>
      </c>
      <c r="D205" s="528" t="s">
        <v>22</v>
      </c>
      <c r="E205" s="533" t="s">
        <v>1234</v>
      </c>
      <c r="F205" s="527" t="s">
        <v>1162</v>
      </c>
      <c r="G205" s="527" t="s">
        <v>1235</v>
      </c>
      <c r="H205" s="529">
        <v>12</v>
      </c>
      <c r="I205" s="530">
        <v>197.4</v>
      </c>
      <c r="J205" s="630" t="s">
        <v>1161</v>
      </c>
      <c r="K205" s="531"/>
      <c r="L205" s="532">
        <f t="shared" ref="L205:L268" si="18">IF(J205="ja",0,VLOOKUP(F205,Glassoort2,2,0))*I205</f>
        <v>0</v>
      </c>
      <c r="M205" s="532">
        <f t="shared" ref="M205:M268" si="19">IF(J205="ja",VLOOKUP(F205,Glassoort2,3,0))*I205</f>
        <v>0</v>
      </c>
      <c r="N205" s="532">
        <f t="shared" si="16"/>
        <v>0</v>
      </c>
    </row>
    <row r="206" spans="1:14">
      <c r="A206" s="3" t="str">
        <f t="shared" ref="A206:A237" si="20">CONCATENATE(C206,H206)</f>
        <v>1112</v>
      </c>
      <c r="B206" s="527" t="s">
        <v>852</v>
      </c>
      <c r="C206" s="134">
        <v>111</v>
      </c>
      <c r="D206" s="528" t="s">
        <v>22</v>
      </c>
      <c r="E206" s="533" t="s">
        <v>1234</v>
      </c>
      <c r="F206" s="527" t="s">
        <v>1174</v>
      </c>
      <c r="G206" s="527" t="s">
        <v>1236</v>
      </c>
      <c r="H206" s="529">
        <v>2</v>
      </c>
      <c r="I206" s="530">
        <f>3.7*4.4</f>
        <v>16.28</v>
      </c>
      <c r="J206" s="630" t="s">
        <v>1164</v>
      </c>
      <c r="K206" s="531"/>
      <c r="L206" s="532">
        <f t="shared" si="18"/>
        <v>0</v>
      </c>
      <c r="M206" s="532">
        <f t="shared" si="19"/>
        <v>0</v>
      </c>
      <c r="N206" s="532">
        <f t="shared" si="16"/>
        <v>0</v>
      </c>
    </row>
    <row r="207" spans="1:14">
      <c r="A207" s="3" t="str">
        <f t="shared" si="20"/>
        <v>1112</v>
      </c>
      <c r="B207" s="527" t="s">
        <v>852</v>
      </c>
      <c r="C207" s="134">
        <v>111</v>
      </c>
      <c r="D207" s="528" t="s">
        <v>22</v>
      </c>
      <c r="E207" s="533" t="s">
        <v>1234</v>
      </c>
      <c r="F207" s="527" t="s">
        <v>1174</v>
      </c>
      <c r="G207" s="527" t="s">
        <v>1237</v>
      </c>
      <c r="H207" s="529">
        <v>2</v>
      </c>
      <c r="I207" s="530">
        <f>I208-I206</f>
        <v>85.93</v>
      </c>
      <c r="J207" s="630" t="s">
        <v>1164</v>
      </c>
      <c r="K207" s="531"/>
      <c r="L207" s="532">
        <f t="shared" si="18"/>
        <v>0</v>
      </c>
      <c r="M207" s="532">
        <f t="shared" si="19"/>
        <v>0</v>
      </c>
      <c r="N207" s="532">
        <f t="shared" si="16"/>
        <v>0</v>
      </c>
    </row>
    <row r="208" spans="1:14">
      <c r="A208" s="3" t="str">
        <f t="shared" si="20"/>
        <v>1112</v>
      </c>
      <c r="B208" s="527" t="s">
        <v>852</v>
      </c>
      <c r="C208" s="134">
        <v>111</v>
      </c>
      <c r="D208" s="528" t="s">
        <v>22</v>
      </c>
      <c r="E208" s="533" t="s">
        <v>1234</v>
      </c>
      <c r="F208" s="527" t="s">
        <v>1172</v>
      </c>
      <c r="G208" s="527" t="s">
        <v>1237</v>
      </c>
      <c r="H208" s="529">
        <v>2</v>
      </c>
      <c r="I208" s="530">
        <f>2.3*4.4+3.7*4.4+3.7*7.2+2.3*14.3+3.7*4.4</f>
        <v>102.21000000000001</v>
      </c>
      <c r="J208" s="630" t="s">
        <v>1161</v>
      </c>
      <c r="K208" s="531"/>
      <c r="L208" s="532">
        <f t="shared" si="18"/>
        <v>0</v>
      </c>
      <c r="M208" s="532">
        <f t="shared" si="19"/>
        <v>0</v>
      </c>
      <c r="N208" s="532">
        <f t="shared" si="16"/>
        <v>0</v>
      </c>
    </row>
    <row r="209" spans="1:14">
      <c r="A209" s="3" t="str">
        <f t="shared" si="20"/>
        <v>1112</v>
      </c>
      <c r="B209" s="527" t="s">
        <v>852</v>
      </c>
      <c r="C209" s="134">
        <v>111</v>
      </c>
      <c r="D209" s="528" t="s">
        <v>22</v>
      </c>
      <c r="E209" s="533" t="s">
        <v>1234</v>
      </c>
      <c r="F209" s="527" t="s">
        <v>1175</v>
      </c>
      <c r="G209" s="527" t="s">
        <v>1238</v>
      </c>
      <c r="H209" s="529">
        <v>2</v>
      </c>
      <c r="I209" s="530">
        <f>+(2.2+1.8)*2*2.1</f>
        <v>16.8</v>
      </c>
      <c r="J209" s="630" t="s">
        <v>1161</v>
      </c>
      <c r="K209" s="531"/>
      <c r="L209" s="532">
        <f t="shared" si="18"/>
        <v>0</v>
      </c>
      <c r="M209" s="532">
        <f t="shared" si="19"/>
        <v>0</v>
      </c>
      <c r="N209" s="532">
        <f t="shared" si="16"/>
        <v>0</v>
      </c>
    </row>
    <row r="210" spans="1:14">
      <c r="A210" s="3" t="str">
        <f t="shared" si="20"/>
        <v>1112</v>
      </c>
      <c r="B210" s="527" t="s">
        <v>852</v>
      </c>
      <c r="C210" s="134">
        <v>111</v>
      </c>
      <c r="D210" s="528" t="s">
        <v>22</v>
      </c>
      <c r="E210" s="533" t="s">
        <v>1234</v>
      </c>
      <c r="F210" s="527" t="s">
        <v>1177</v>
      </c>
      <c r="G210" s="527" t="s">
        <v>1238</v>
      </c>
      <c r="H210" s="529">
        <v>2</v>
      </c>
      <c r="I210" s="530">
        <f>+(2.2+1.8)*2*2.1</f>
        <v>16.8</v>
      </c>
      <c r="J210" s="630" t="s">
        <v>1161</v>
      </c>
      <c r="K210" s="531"/>
      <c r="L210" s="532">
        <f t="shared" si="18"/>
        <v>0</v>
      </c>
      <c r="M210" s="532">
        <f t="shared" si="19"/>
        <v>0</v>
      </c>
      <c r="N210" s="532">
        <f t="shared" ref="N210:N273" si="21">(M210*H210)+(L210*H210)</f>
        <v>0</v>
      </c>
    </row>
    <row r="211" spans="1:14">
      <c r="A211" s="3" t="str">
        <f t="shared" si="20"/>
        <v>1112</v>
      </c>
      <c r="B211" s="527" t="s">
        <v>852</v>
      </c>
      <c r="C211" s="134">
        <v>111</v>
      </c>
      <c r="D211" s="528" t="s">
        <v>22</v>
      </c>
      <c r="E211" s="533" t="s">
        <v>1234</v>
      </c>
      <c r="F211" s="527" t="s">
        <v>1163</v>
      </c>
      <c r="G211" s="527" t="s">
        <v>1239</v>
      </c>
      <c r="H211" s="529">
        <v>2</v>
      </c>
      <c r="I211" s="530">
        <f>3*0.9</f>
        <v>2.7</v>
      </c>
      <c r="J211" s="630" t="s">
        <v>1161</v>
      </c>
      <c r="K211" s="531"/>
      <c r="L211" s="532">
        <f t="shared" si="18"/>
        <v>0</v>
      </c>
      <c r="M211" s="532">
        <f t="shared" si="19"/>
        <v>0</v>
      </c>
      <c r="N211" s="532">
        <f t="shared" si="21"/>
        <v>0</v>
      </c>
    </row>
    <row r="212" spans="1:14">
      <c r="A212" s="3" t="str">
        <f t="shared" si="20"/>
        <v>1112</v>
      </c>
      <c r="B212" s="527" t="s">
        <v>852</v>
      </c>
      <c r="C212" s="134">
        <v>111</v>
      </c>
      <c r="D212" s="528" t="s">
        <v>22</v>
      </c>
      <c r="E212" s="533" t="s">
        <v>1234</v>
      </c>
      <c r="F212" s="527" t="s">
        <v>1160</v>
      </c>
      <c r="G212" s="527" t="s">
        <v>1239</v>
      </c>
      <c r="H212" s="529">
        <v>2</v>
      </c>
      <c r="I212" s="530">
        <f>3*0.9</f>
        <v>2.7</v>
      </c>
      <c r="J212" s="630" t="s">
        <v>1161</v>
      </c>
      <c r="K212" s="531"/>
      <c r="L212" s="532">
        <f t="shared" si="18"/>
        <v>0</v>
      </c>
      <c r="M212" s="532">
        <f t="shared" si="19"/>
        <v>0</v>
      </c>
      <c r="N212" s="532">
        <f t="shared" si="21"/>
        <v>0</v>
      </c>
    </row>
    <row r="213" spans="1:14">
      <c r="A213" s="3" t="str">
        <f t="shared" si="20"/>
        <v>1112</v>
      </c>
      <c r="B213" s="527" t="s">
        <v>852</v>
      </c>
      <c r="C213" s="134">
        <v>111</v>
      </c>
      <c r="D213" s="528" t="s">
        <v>22</v>
      </c>
      <c r="E213" s="533" t="s">
        <v>1234</v>
      </c>
      <c r="F213" s="527" t="s">
        <v>1163</v>
      </c>
      <c r="G213" s="527" t="s">
        <v>1240</v>
      </c>
      <c r="H213" s="529">
        <v>2</v>
      </c>
      <c r="I213" s="530">
        <f>3.3*1.2+4.65*1.2</f>
        <v>9.5399999999999991</v>
      </c>
      <c r="J213" s="630" t="s">
        <v>1161</v>
      </c>
      <c r="K213" s="531"/>
      <c r="L213" s="532">
        <f t="shared" si="18"/>
        <v>0</v>
      </c>
      <c r="M213" s="532">
        <f t="shared" si="19"/>
        <v>0</v>
      </c>
      <c r="N213" s="532">
        <f t="shared" si="21"/>
        <v>0</v>
      </c>
    </row>
    <row r="214" spans="1:14">
      <c r="A214" s="3" t="str">
        <f t="shared" si="20"/>
        <v>1112</v>
      </c>
      <c r="B214" s="527" t="s">
        <v>852</v>
      </c>
      <c r="C214" s="134">
        <v>111</v>
      </c>
      <c r="D214" s="528" t="s">
        <v>22</v>
      </c>
      <c r="E214" s="533" t="s">
        <v>1234</v>
      </c>
      <c r="F214" s="527" t="s">
        <v>1160</v>
      </c>
      <c r="G214" s="527" t="s">
        <v>1240</v>
      </c>
      <c r="H214" s="529">
        <v>2</v>
      </c>
      <c r="I214" s="530">
        <f>3.3*1.2+4.65*1.2</f>
        <v>9.5399999999999991</v>
      </c>
      <c r="J214" s="630" t="s">
        <v>1161</v>
      </c>
      <c r="K214" s="531"/>
      <c r="L214" s="532">
        <f t="shared" si="18"/>
        <v>0</v>
      </c>
      <c r="M214" s="532">
        <f t="shared" si="19"/>
        <v>0</v>
      </c>
      <c r="N214" s="532">
        <f t="shared" si="21"/>
        <v>0</v>
      </c>
    </row>
    <row r="215" spans="1:14">
      <c r="A215" s="3" t="str">
        <f t="shared" si="20"/>
        <v>11126</v>
      </c>
      <c r="B215" s="527" t="s">
        <v>852</v>
      </c>
      <c r="C215" s="134">
        <v>111</v>
      </c>
      <c r="D215" s="528" t="s">
        <v>22</v>
      </c>
      <c r="E215" s="135"/>
      <c r="F215" s="527" t="s">
        <v>1162</v>
      </c>
      <c r="G215" s="527" t="s">
        <v>1308</v>
      </c>
      <c r="H215" s="529">
        <v>26</v>
      </c>
      <c r="I215" s="530">
        <v>84</v>
      </c>
      <c r="J215" s="630" t="s">
        <v>1161</v>
      </c>
      <c r="K215" s="531" t="s">
        <v>1309</v>
      </c>
      <c r="L215" s="532">
        <f t="shared" si="18"/>
        <v>0</v>
      </c>
      <c r="M215" s="532">
        <f t="shared" si="19"/>
        <v>0</v>
      </c>
      <c r="N215" s="532">
        <f t="shared" si="21"/>
        <v>0</v>
      </c>
    </row>
    <row r="216" spans="1:14">
      <c r="A216" s="3" t="str">
        <f t="shared" si="20"/>
        <v>1122</v>
      </c>
      <c r="B216" s="527" t="s">
        <v>140</v>
      </c>
      <c r="C216" s="134">
        <v>112</v>
      </c>
      <c r="D216" s="528" t="s">
        <v>22</v>
      </c>
      <c r="E216" s="533" t="s">
        <v>223</v>
      </c>
      <c r="F216" s="527" t="s">
        <v>1160</v>
      </c>
      <c r="G216" s="527" t="s">
        <v>1220</v>
      </c>
      <c r="H216" s="529">
        <v>2</v>
      </c>
      <c r="I216" s="530">
        <f>(1.7+1.6+3+9.1)*3.15</f>
        <v>48.509999999999991</v>
      </c>
      <c r="J216" s="630" t="s">
        <v>1164</v>
      </c>
      <c r="K216" s="531"/>
      <c r="L216" s="532">
        <f t="shared" si="18"/>
        <v>0</v>
      </c>
      <c r="M216" s="532">
        <f t="shared" si="19"/>
        <v>0</v>
      </c>
      <c r="N216" s="532">
        <f t="shared" si="21"/>
        <v>0</v>
      </c>
    </row>
    <row r="217" spans="1:14">
      <c r="A217" s="3" t="str">
        <f t="shared" si="20"/>
        <v>1122</v>
      </c>
      <c r="B217" s="527" t="s">
        <v>140</v>
      </c>
      <c r="C217" s="134">
        <v>112</v>
      </c>
      <c r="D217" s="528" t="s">
        <v>22</v>
      </c>
      <c r="E217" s="533" t="s">
        <v>223</v>
      </c>
      <c r="F217" s="527" t="s">
        <v>1163</v>
      </c>
      <c r="G217" s="527" t="s">
        <v>1220</v>
      </c>
      <c r="H217" s="529">
        <v>2</v>
      </c>
      <c r="I217" s="530">
        <f>(1.7+1.6+3+9.1)*3.15</f>
        <v>48.509999999999991</v>
      </c>
      <c r="J217" s="630" t="s">
        <v>1161</v>
      </c>
      <c r="K217" s="531"/>
      <c r="L217" s="532">
        <f t="shared" si="18"/>
        <v>0</v>
      </c>
      <c r="M217" s="532">
        <f t="shared" si="19"/>
        <v>0</v>
      </c>
      <c r="N217" s="532">
        <f t="shared" si="21"/>
        <v>0</v>
      </c>
    </row>
    <row r="218" spans="1:14">
      <c r="A218" s="3" t="str">
        <f t="shared" si="20"/>
        <v>1122</v>
      </c>
      <c r="B218" s="527" t="s">
        <v>140</v>
      </c>
      <c r="C218" s="134">
        <v>112</v>
      </c>
      <c r="D218" s="528" t="s">
        <v>22</v>
      </c>
      <c r="E218" s="533" t="s">
        <v>1241</v>
      </c>
      <c r="F218" s="527" t="s">
        <v>1160</v>
      </c>
      <c r="G218" s="527" t="s">
        <v>1220</v>
      </c>
      <c r="H218" s="529">
        <v>2</v>
      </c>
      <c r="I218" s="530">
        <f>(2.6+6.6)*3.15-2+6*2.5</f>
        <v>41.98</v>
      </c>
      <c r="J218" s="630" t="s">
        <v>1164</v>
      </c>
      <c r="K218" s="531"/>
      <c r="L218" s="532">
        <f t="shared" si="18"/>
        <v>0</v>
      </c>
      <c r="M218" s="532">
        <f t="shared" si="19"/>
        <v>0</v>
      </c>
      <c r="N218" s="532">
        <f t="shared" si="21"/>
        <v>0</v>
      </c>
    </row>
    <row r="219" spans="1:14">
      <c r="A219" s="3" t="str">
        <f t="shared" si="20"/>
        <v>1122</v>
      </c>
      <c r="B219" s="527" t="s">
        <v>140</v>
      </c>
      <c r="C219" s="134">
        <v>112</v>
      </c>
      <c r="D219" s="528" t="s">
        <v>22</v>
      </c>
      <c r="E219" s="533" t="s">
        <v>1241</v>
      </c>
      <c r="F219" s="527" t="s">
        <v>1163</v>
      </c>
      <c r="G219" s="527" t="s">
        <v>1220</v>
      </c>
      <c r="H219" s="529">
        <v>2</v>
      </c>
      <c r="I219" s="530">
        <f>(2.6+6.6)*3.15-2+6*2.5</f>
        <v>41.98</v>
      </c>
      <c r="J219" s="630" t="s">
        <v>1161</v>
      </c>
      <c r="K219" s="531"/>
      <c r="L219" s="532">
        <f t="shared" si="18"/>
        <v>0</v>
      </c>
      <c r="M219" s="532">
        <f t="shared" si="19"/>
        <v>0</v>
      </c>
      <c r="N219" s="532">
        <f t="shared" si="21"/>
        <v>0</v>
      </c>
    </row>
    <row r="220" spans="1:14">
      <c r="A220" s="3" t="str">
        <f t="shared" si="20"/>
        <v>1122</v>
      </c>
      <c r="B220" s="527" t="s">
        <v>140</v>
      </c>
      <c r="C220" s="134">
        <v>112</v>
      </c>
      <c r="D220" s="528" t="s">
        <v>22</v>
      </c>
      <c r="E220" s="533" t="s">
        <v>223</v>
      </c>
      <c r="F220" s="527" t="s">
        <v>1221</v>
      </c>
      <c r="G220" s="527" t="s">
        <v>1222</v>
      </c>
      <c r="H220" s="529">
        <v>2</v>
      </c>
      <c r="I220" s="530">
        <f>6.6*5</f>
        <v>33</v>
      </c>
      <c r="J220" s="630" t="s">
        <v>1164</v>
      </c>
      <c r="K220" s="531" t="s">
        <v>1223</v>
      </c>
      <c r="L220" s="532">
        <f t="shared" si="18"/>
        <v>0</v>
      </c>
      <c r="M220" s="532">
        <f t="shared" si="19"/>
        <v>0</v>
      </c>
      <c r="N220" s="532">
        <f t="shared" si="21"/>
        <v>0</v>
      </c>
    </row>
    <row r="221" spans="1:14">
      <c r="A221" s="3" t="str">
        <f t="shared" si="20"/>
        <v>1122</v>
      </c>
      <c r="B221" s="527" t="s">
        <v>140</v>
      </c>
      <c r="C221" s="134">
        <v>112</v>
      </c>
      <c r="D221" s="528" t="s">
        <v>22</v>
      </c>
      <c r="E221" s="533" t="s">
        <v>223</v>
      </c>
      <c r="F221" s="527" t="s">
        <v>1221</v>
      </c>
      <c r="G221" s="527" t="s">
        <v>1224</v>
      </c>
      <c r="H221" s="529">
        <v>2</v>
      </c>
      <c r="I221" s="530">
        <f>6.6*3.2</f>
        <v>21.12</v>
      </c>
      <c r="J221" s="630" t="s">
        <v>1164</v>
      </c>
      <c r="K221" s="531" t="s">
        <v>1223</v>
      </c>
      <c r="L221" s="532">
        <f t="shared" si="18"/>
        <v>0</v>
      </c>
      <c r="M221" s="532">
        <f t="shared" si="19"/>
        <v>0</v>
      </c>
      <c r="N221" s="532">
        <f t="shared" si="21"/>
        <v>0</v>
      </c>
    </row>
    <row r="222" spans="1:14">
      <c r="A222" s="3" t="str">
        <f t="shared" si="20"/>
        <v>1122</v>
      </c>
      <c r="B222" s="527" t="s">
        <v>140</v>
      </c>
      <c r="C222" s="134">
        <v>112</v>
      </c>
      <c r="D222" s="528" t="s">
        <v>22</v>
      </c>
      <c r="E222" s="533" t="s">
        <v>223</v>
      </c>
      <c r="F222" s="527" t="s">
        <v>1160</v>
      </c>
      <c r="G222" s="527" t="s">
        <v>1225</v>
      </c>
      <c r="H222" s="529">
        <v>2</v>
      </c>
      <c r="I222" s="530">
        <f>6.2*3.1*2</f>
        <v>38.440000000000005</v>
      </c>
      <c r="J222" s="630" t="s">
        <v>1164</v>
      </c>
      <c r="K222" s="531"/>
      <c r="L222" s="532">
        <f t="shared" si="18"/>
        <v>0</v>
      </c>
      <c r="M222" s="532">
        <f t="shared" si="19"/>
        <v>0</v>
      </c>
      <c r="N222" s="532">
        <f t="shared" si="21"/>
        <v>0</v>
      </c>
    </row>
    <row r="223" spans="1:14">
      <c r="A223" s="3" t="str">
        <f t="shared" si="20"/>
        <v>1122</v>
      </c>
      <c r="B223" s="527" t="s">
        <v>140</v>
      </c>
      <c r="C223" s="134">
        <v>112</v>
      </c>
      <c r="D223" s="528" t="s">
        <v>22</v>
      </c>
      <c r="E223" s="533" t="s">
        <v>223</v>
      </c>
      <c r="F223" s="527" t="s">
        <v>1163</v>
      </c>
      <c r="G223" s="527" t="s">
        <v>1225</v>
      </c>
      <c r="H223" s="529">
        <v>2</v>
      </c>
      <c r="I223" s="530">
        <f>6.2*3.1*2</f>
        <v>38.440000000000005</v>
      </c>
      <c r="J223" s="630" t="s">
        <v>1161</v>
      </c>
      <c r="K223" s="531"/>
      <c r="L223" s="532">
        <f t="shared" si="18"/>
        <v>0</v>
      </c>
      <c r="M223" s="532">
        <f t="shared" si="19"/>
        <v>0</v>
      </c>
      <c r="N223" s="532">
        <f t="shared" si="21"/>
        <v>0</v>
      </c>
    </row>
    <row r="224" spans="1:14">
      <c r="A224" s="3" t="str">
        <f t="shared" si="20"/>
        <v>1122</v>
      </c>
      <c r="B224" s="527" t="s">
        <v>140</v>
      </c>
      <c r="C224" s="134">
        <v>112</v>
      </c>
      <c r="D224" s="528" t="s">
        <v>22</v>
      </c>
      <c r="E224" s="533" t="s">
        <v>223</v>
      </c>
      <c r="F224" s="527" t="s">
        <v>1160</v>
      </c>
      <c r="G224" s="527" t="s">
        <v>1226</v>
      </c>
      <c r="H224" s="529">
        <v>2</v>
      </c>
      <c r="I224" s="530">
        <f>1.95*2.15*2</f>
        <v>8.3849999999999998</v>
      </c>
      <c r="J224" s="630" t="s">
        <v>1164</v>
      </c>
      <c r="K224" s="531"/>
      <c r="L224" s="532">
        <f t="shared" si="18"/>
        <v>0</v>
      </c>
      <c r="M224" s="532">
        <f t="shared" si="19"/>
        <v>0</v>
      </c>
      <c r="N224" s="532">
        <f t="shared" si="21"/>
        <v>0</v>
      </c>
    </row>
    <row r="225" spans="1:14">
      <c r="A225" s="3" t="str">
        <f t="shared" si="20"/>
        <v>1122</v>
      </c>
      <c r="B225" s="527" t="s">
        <v>140</v>
      </c>
      <c r="C225" s="134">
        <v>112</v>
      </c>
      <c r="D225" s="528" t="s">
        <v>22</v>
      </c>
      <c r="E225" s="533" t="s">
        <v>223</v>
      </c>
      <c r="F225" s="527" t="s">
        <v>1163</v>
      </c>
      <c r="G225" s="527" t="s">
        <v>1226</v>
      </c>
      <c r="H225" s="529">
        <v>2</v>
      </c>
      <c r="I225" s="530">
        <f>1.95*2.15*2</f>
        <v>8.3849999999999998</v>
      </c>
      <c r="J225" s="630" t="s">
        <v>1161</v>
      </c>
      <c r="K225" s="531"/>
      <c r="L225" s="532">
        <f t="shared" si="18"/>
        <v>0</v>
      </c>
      <c r="M225" s="532">
        <f t="shared" si="19"/>
        <v>0</v>
      </c>
      <c r="N225" s="532">
        <f t="shared" si="21"/>
        <v>0</v>
      </c>
    </row>
    <row r="226" spans="1:14">
      <c r="A226" s="3" t="str">
        <f t="shared" si="20"/>
        <v>1122</v>
      </c>
      <c r="B226" s="527" t="s">
        <v>140</v>
      </c>
      <c r="C226" s="134">
        <v>112</v>
      </c>
      <c r="D226" s="528" t="s">
        <v>22</v>
      </c>
      <c r="E226" s="533" t="s">
        <v>223</v>
      </c>
      <c r="F226" s="527" t="s">
        <v>1171</v>
      </c>
      <c r="G226" s="527" t="s">
        <v>1227</v>
      </c>
      <c r="H226" s="529">
        <v>2</v>
      </c>
      <c r="I226" s="530">
        <f>+(1.35+0.65)*12</f>
        <v>24</v>
      </c>
      <c r="J226" s="630" t="s">
        <v>1164</v>
      </c>
      <c r="K226" s="531" t="s">
        <v>1228</v>
      </c>
      <c r="L226" s="532">
        <f t="shared" si="18"/>
        <v>0</v>
      </c>
      <c r="M226" s="532">
        <f t="shared" si="19"/>
        <v>0</v>
      </c>
      <c r="N226" s="532">
        <f t="shared" si="21"/>
        <v>0</v>
      </c>
    </row>
    <row r="227" spans="1:14">
      <c r="A227" s="3" t="str">
        <f t="shared" si="20"/>
        <v>1122</v>
      </c>
      <c r="B227" s="527" t="s">
        <v>140</v>
      </c>
      <c r="C227" s="134">
        <v>112</v>
      </c>
      <c r="D227" s="528" t="s">
        <v>22</v>
      </c>
      <c r="E227" s="533" t="s">
        <v>223</v>
      </c>
      <c r="F227" s="527" t="s">
        <v>1169</v>
      </c>
      <c r="G227" s="527" t="s">
        <v>1227</v>
      </c>
      <c r="H227" s="529">
        <v>2</v>
      </c>
      <c r="I227" s="530">
        <f>+(1.35+0.65)*12</f>
        <v>24</v>
      </c>
      <c r="J227" s="630" t="s">
        <v>1164</v>
      </c>
      <c r="K227" s="531" t="s">
        <v>1228</v>
      </c>
      <c r="L227" s="532">
        <f t="shared" si="18"/>
        <v>0</v>
      </c>
      <c r="M227" s="532">
        <f t="shared" si="19"/>
        <v>0</v>
      </c>
      <c r="N227" s="532">
        <f t="shared" si="21"/>
        <v>0</v>
      </c>
    </row>
    <row r="228" spans="1:14">
      <c r="A228" s="3" t="str">
        <f t="shared" si="20"/>
        <v>1122</v>
      </c>
      <c r="B228" s="527" t="s">
        <v>140</v>
      </c>
      <c r="C228" s="134">
        <v>112</v>
      </c>
      <c r="D228" s="528" t="s">
        <v>22</v>
      </c>
      <c r="E228" s="533" t="s">
        <v>223</v>
      </c>
      <c r="F228" s="527" t="s">
        <v>1172</v>
      </c>
      <c r="G228" s="527" t="s">
        <v>1216</v>
      </c>
      <c r="H228" s="529">
        <v>2</v>
      </c>
      <c r="I228" s="530">
        <v>7.45</v>
      </c>
      <c r="J228" s="630" t="s">
        <v>1161</v>
      </c>
      <c r="K228" s="531" t="s">
        <v>1967</v>
      </c>
      <c r="L228" s="532">
        <f t="shared" si="18"/>
        <v>0</v>
      </c>
      <c r="M228" s="532">
        <f t="shared" si="19"/>
        <v>0</v>
      </c>
      <c r="N228" s="532">
        <f t="shared" si="21"/>
        <v>0</v>
      </c>
    </row>
    <row r="229" spans="1:14">
      <c r="A229" s="3" t="str">
        <f t="shared" si="20"/>
        <v>1122</v>
      </c>
      <c r="B229" s="527" t="s">
        <v>140</v>
      </c>
      <c r="C229" s="134">
        <v>112</v>
      </c>
      <c r="D229" s="528" t="s">
        <v>22</v>
      </c>
      <c r="E229" s="533" t="s">
        <v>223</v>
      </c>
      <c r="F229" s="527" t="s">
        <v>1174</v>
      </c>
      <c r="G229" s="527" t="s">
        <v>1216</v>
      </c>
      <c r="H229" s="529">
        <v>2</v>
      </c>
      <c r="I229" s="530">
        <v>7.45</v>
      </c>
      <c r="J229" s="630" t="s">
        <v>1164</v>
      </c>
      <c r="K229" s="531" t="s">
        <v>1967</v>
      </c>
      <c r="L229" s="532">
        <f t="shared" si="18"/>
        <v>0</v>
      </c>
      <c r="M229" s="532">
        <f t="shared" si="19"/>
        <v>0</v>
      </c>
      <c r="N229" s="532">
        <f t="shared" si="21"/>
        <v>0</v>
      </c>
    </row>
    <row r="230" spans="1:14">
      <c r="A230" s="3" t="str">
        <f t="shared" si="20"/>
        <v>1122</v>
      </c>
      <c r="B230" s="527" t="s">
        <v>140</v>
      </c>
      <c r="C230" s="134">
        <v>112</v>
      </c>
      <c r="D230" s="528" t="s">
        <v>22</v>
      </c>
      <c r="E230" s="533" t="s">
        <v>236</v>
      </c>
      <c r="F230" s="527" t="s">
        <v>1212</v>
      </c>
      <c r="G230" s="527" t="s">
        <v>1229</v>
      </c>
      <c r="H230" s="529">
        <v>2</v>
      </c>
      <c r="I230" s="530">
        <v>2</v>
      </c>
      <c r="J230" s="630" t="s">
        <v>1161</v>
      </c>
      <c r="K230" s="531"/>
      <c r="L230" s="532">
        <f t="shared" si="18"/>
        <v>0</v>
      </c>
      <c r="M230" s="532">
        <f t="shared" si="19"/>
        <v>0</v>
      </c>
      <c r="N230" s="532">
        <f t="shared" si="21"/>
        <v>0</v>
      </c>
    </row>
    <row r="231" spans="1:14">
      <c r="A231" s="3" t="str">
        <f t="shared" si="20"/>
        <v>1122</v>
      </c>
      <c r="B231" s="527" t="s">
        <v>140</v>
      </c>
      <c r="C231" s="134">
        <v>112</v>
      </c>
      <c r="D231" s="528" t="s">
        <v>22</v>
      </c>
      <c r="E231" s="533" t="s">
        <v>236</v>
      </c>
      <c r="F231" s="527" t="s">
        <v>1215</v>
      </c>
      <c r="G231" s="527" t="s">
        <v>1229</v>
      </c>
      <c r="H231" s="529">
        <v>2</v>
      </c>
      <c r="I231" s="530">
        <v>2</v>
      </c>
      <c r="J231" s="630" t="s">
        <v>1164</v>
      </c>
      <c r="K231" s="531"/>
      <c r="L231" s="532">
        <f t="shared" si="18"/>
        <v>0</v>
      </c>
      <c r="M231" s="532">
        <f t="shared" si="19"/>
        <v>0</v>
      </c>
      <c r="N231" s="532">
        <f t="shared" si="21"/>
        <v>0</v>
      </c>
    </row>
    <row r="232" spans="1:14">
      <c r="A232" s="3" t="str">
        <f t="shared" si="20"/>
        <v>1122</v>
      </c>
      <c r="B232" s="527" t="s">
        <v>140</v>
      </c>
      <c r="C232" s="134">
        <v>112</v>
      </c>
      <c r="D232" s="528" t="s">
        <v>22</v>
      </c>
      <c r="E232" s="533" t="s">
        <v>63</v>
      </c>
      <c r="F232" s="527" t="s">
        <v>1160</v>
      </c>
      <c r="G232" s="527" t="s">
        <v>1230</v>
      </c>
      <c r="H232" s="529">
        <v>2</v>
      </c>
      <c r="I232" s="530">
        <f>+(1.6+2+4.3+8.3+1+1.5)*3.15-2</f>
        <v>56.905000000000008</v>
      </c>
      <c r="J232" s="630" t="s">
        <v>1164</v>
      </c>
      <c r="K232" s="531"/>
      <c r="L232" s="532">
        <f t="shared" si="18"/>
        <v>0</v>
      </c>
      <c r="M232" s="532">
        <f t="shared" si="19"/>
        <v>0</v>
      </c>
      <c r="N232" s="532">
        <f t="shared" si="21"/>
        <v>0</v>
      </c>
    </row>
    <row r="233" spans="1:14">
      <c r="A233" s="3" t="str">
        <f t="shared" si="20"/>
        <v>1122</v>
      </c>
      <c r="B233" s="527" t="s">
        <v>140</v>
      </c>
      <c r="C233" s="134">
        <v>112</v>
      </c>
      <c r="D233" s="528" t="s">
        <v>22</v>
      </c>
      <c r="E233" s="533" t="s">
        <v>63</v>
      </c>
      <c r="F233" s="527" t="s">
        <v>1163</v>
      </c>
      <c r="G233" s="527" t="s">
        <v>1230</v>
      </c>
      <c r="H233" s="529">
        <v>2</v>
      </c>
      <c r="I233" s="530">
        <f>+(1.6+2+4.3+8.3+1+1.5)*3.15-2</f>
        <v>56.905000000000008</v>
      </c>
      <c r="J233" s="630" t="s">
        <v>1161</v>
      </c>
      <c r="K233" s="531"/>
      <c r="L233" s="532">
        <f t="shared" si="18"/>
        <v>0</v>
      </c>
      <c r="M233" s="532">
        <f t="shared" si="19"/>
        <v>0</v>
      </c>
      <c r="N233" s="532">
        <f t="shared" si="21"/>
        <v>0</v>
      </c>
    </row>
    <row r="234" spans="1:14">
      <c r="A234" s="3" t="str">
        <f t="shared" si="20"/>
        <v>1122</v>
      </c>
      <c r="B234" s="527" t="s">
        <v>140</v>
      </c>
      <c r="C234" s="134">
        <v>112</v>
      </c>
      <c r="D234" s="528" t="s">
        <v>22</v>
      </c>
      <c r="E234" s="533" t="s">
        <v>1234</v>
      </c>
      <c r="F234" s="527" t="s">
        <v>1160</v>
      </c>
      <c r="G234" s="527" t="s">
        <v>1230</v>
      </c>
      <c r="H234" s="529">
        <v>2</v>
      </c>
      <c r="I234" s="530">
        <f>(2.75+4+2+4)*3.15+5*2.1</f>
        <v>50.662500000000001</v>
      </c>
      <c r="J234" s="630" t="s">
        <v>1164</v>
      </c>
      <c r="K234" s="531" t="s">
        <v>1242</v>
      </c>
      <c r="L234" s="532">
        <f t="shared" si="18"/>
        <v>0</v>
      </c>
      <c r="M234" s="532">
        <f t="shared" si="19"/>
        <v>0</v>
      </c>
      <c r="N234" s="532">
        <f t="shared" si="21"/>
        <v>0</v>
      </c>
    </row>
    <row r="235" spans="1:14">
      <c r="A235" s="3" t="str">
        <f t="shared" si="20"/>
        <v>1122</v>
      </c>
      <c r="B235" s="527" t="s">
        <v>140</v>
      </c>
      <c r="C235" s="134">
        <v>112</v>
      </c>
      <c r="D235" s="528" t="s">
        <v>22</v>
      </c>
      <c r="E235" s="533" t="s">
        <v>1234</v>
      </c>
      <c r="F235" s="527" t="s">
        <v>1163</v>
      </c>
      <c r="G235" s="527" t="s">
        <v>1230</v>
      </c>
      <c r="H235" s="529">
        <v>2</v>
      </c>
      <c r="I235" s="530">
        <f>(2.75+4+2+4)*3.15+5*2.1</f>
        <v>50.662500000000001</v>
      </c>
      <c r="J235" s="630" t="s">
        <v>1161</v>
      </c>
      <c r="K235" s="531" t="s">
        <v>1242</v>
      </c>
      <c r="L235" s="532">
        <f t="shared" si="18"/>
        <v>0</v>
      </c>
      <c r="M235" s="532">
        <f t="shared" si="19"/>
        <v>0</v>
      </c>
      <c r="N235" s="532">
        <f t="shared" si="21"/>
        <v>0</v>
      </c>
    </row>
    <row r="236" spans="1:14">
      <c r="A236" s="3" t="str">
        <f t="shared" si="20"/>
        <v>1122</v>
      </c>
      <c r="B236" s="527" t="s">
        <v>140</v>
      </c>
      <c r="C236" s="134">
        <v>112</v>
      </c>
      <c r="D236" s="528" t="s">
        <v>22</v>
      </c>
      <c r="E236" s="533" t="s">
        <v>63</v>
      </c>
      <c r="F236" s="527" t="s">
        <v>1221</v>
      </c>
      <c r="G236" s="527" t="s">
        <v>1222</v>
      </c>
      <c r="H236" s="529">
        <v>2</v>
      </c>
      <c r="I236" s="530">
        <f>6.6*5</f>
        <v>33</v>
      </c>
      <c r="J236" s="630" t="s">
        <v>1164</v>
      </c>
      <c r="K236" s="531" t="s">
        <v>1223</v>
      </c>
      <c r="L236" s="532">
        <f t="shared" si="18"/>
        <v>0</v>
      </c>
      <c r="M236" s="532">
        <f t="shared" si="19"/>
        <v>0</v>
      </c>
      <c r="N236" s="532">
        <f t="shared" si="21"/>
        <v>0</v>
      </c>
    </row>
    <row r="237" spans="1:14">
      <c r="A237" s="3" t="str">
        <f t="shared" si="20"/>
        <v>1122</v>
      </c>
      <c r="B237" s="527" t="s">
        <v>140</v>
      </c>
      <c r="C237" s="134">
        <v>112</v>
      </c>
      <c r="D237" s="528" t="s">
        <v>22</v>
      </c>
      <c r="E237" s="533" t="s">
        <v>63</v>
      </c>
      <c r="F237" s="527" t="s">
        <v>1221</v>
      </c>
      <c r="G237" s="527" t="s">
        <v>1224</v>
      </c>
      <c r="H237" s="529">
        <v>2</v>
      </c>
      <c r="I237" s="530">
        <f>6.6*3.1</f>
        <v>20.46</v>
      </c>
      <c r="J237" s="630" t="s">
        <v>1164</v>
      </c>
      <c r="K237" s="531" t="s">
        <v>1223</v>
      </c>
      <c r="L237" s="532">
        <f t="shared" si="18"/>
        <v>0</v>
      </c>
      <c r="M237" s="532">
        <f t="shared" si="19"/>
        <v>0</v>
      </c>
      <c r="N237" s="532">
        <f t="shared" si="21"/>
        <v>0</v>
      </c>
    </row>
    <row r="238" spans="1:14">
      <c r="A238" s="3" t="str">
        <f t="shared" ref="A238:A269" si="22">CONCATENATE(C238,H238)</f>
        <v>1122</v>
      </c>
      <c r="B238" s="527" t="s">
        <v>140</v>
      </c>
      <c r="C238" s="134">
        <v>112</v>
      </c>
      <c r="D238" s="528" t="s">
        <v>22</v>
      </c>
      <c r="E238" s="533" t="s">
        <v>63</v>
      </c>
      <c r="F238" s="527" t="s">
        <v>1160</v>
      </c>
      <c r="G238" s="527" t="s">
        <v>1231</v>
      </c>
      <c r="H238" s="529">
        <v>2</v>
      </c>
      <c r="I238" s="530">
        <f>6.2*3.1*2</f>
        <v>38.440000000000005</v>
      </c>
      <c r="J238" s="630" t="s">
        <v>1164</v>
      </c>
      <c r="K238" s="531"/>
      <c r="L238" s="532">
        <f t="shared" si="18"/>
        <v>0</v>
      </c>
      <c r="M238" s="532">
        <f t="shared" si="19"/>
        <v>0</v>
      </c>
      <c r="N238" s="532">
        <f t="shared" si="21"/>
        <v>0</v>
      </c>
    </row>
    <row r="239" spans="1:14">
      <c r="A239" s="3" t="str">
        <f t="shared" si="22"/>
        <v>1122</v>
      </c>
      <c r="B239" s="527" t="s">
        <v>140</v>
      </c>
      <c r="C239" s="134">
        <v>112</v>
      </c>
      <c r="D239" s="528" t="s">
        <v>22</v>
      </c>
      <c r="E239" s="533" t="s">
        <v>63</v>
      </c>
      <c r="F239" s="527" t="s">
        <v>1163</v>
      </c>
      <c r="G239" s="527" t="s">
        <v>1231</v>
      </c>
      <c r="H239" s="529">
        <v>2</v>
      </c>
      <c r="I239" s="530">
        <f>6.2*3.1*2</f>
        <v>38.440000000000005</v>
      </c>
      <c r="J239" s="630" t="s">
        <v>1161</v>
      </c>
      <c r="K239" s="531"/>
      <c r="L239" s="532">
        <f t="shared" si="18"/>
        <v>0</v>
      </c>
      <c r="M239" s="532">
        <f t="shared" si="19"/>
        <v>0</v>
      </c>
      <c r="N239" s="532">
        <f t="shared" si="21"/>
        <v>0</v>
      </c>
    </row>
    <row r="240" spans="1:14">
      <c r="A240" s="3" t="str">
        <f t="shared" si="22"/>
        <v>1122</v>
      </c>
      <c r="B240" s="527" t="s">
        <v>140</v>
      </c>
      <c r="C240" s="134">
        <v>112</v>
      </c>
      <c r="D240" s="528" t="s">
        <v>22</v>
      </c>
      <c r="E240" s="533" t="s">
        <v>63</v>
      </c>
      <c r="F240" s="527" t="s">
        <v>1160</v>
      </c>
      <c r="G240" s="527" t="s">
        <v>1232</v>
      </c>
      <c r="H240" s="529">
        <v>2</v>
      </c>
      <c r="I240" s="530">
        <f>1.95*2.1*2</f>
        <v>8.19</v>
      </c>
      <c r="J240" s="630" t="s">
        <v>1164</v>
      </c>
      <c r="K240" s="531"/>
      <c r="L240" s="532">
        <f t="shared" si="18"/>
        <v>0</v>
      </c>
      <c r="M240" s="532">
        <f t="shared" si="19"/>
        <v>0</v>
      </c>
      <c r="N240" s="532">
        <f t="shared" si="21"/>
        <v>0</v>
      </c>
    </row>
    <row r="241" spans="1:14">
      <c r="A241" s="3" t="str">
        <f t="shared" si="22"/>
        <v>1122</v>
      </c>
      <c r="B241" s="527" t="s">
        <v>140</v>
      </c>
      <c r="C241" s="134">
        <v>112</v>
      </c>
      <c r="D241" s="528" t="s">
        <v>22</v>
      </c>
      <c r="E241" s="533" t="s">
        <v>63</v>
      </c>
      <c r="F241" s="527" t="s">
        <v>1163</v>
      </c>
      <c r="G241" s="527" t="s">
        <v>1232</v>
      </c>
      <c r="H241" s="529">
        <v>2</v>
      </c>
      <c r="I241" s="530">
        <f>1.95*2.1*2</f>
        <v>8.19</v>
      </c>
      <c r="J241" s="630" t="s">
        <v>1161</v>
      </c>
      <c r="K241" s="531"/>
      <c r="L241" s="532">
        <f t="shared" si="18"/>
        <v>0</v>
      </c>
      <c r="M241" s="532">
        <f t="shared" si="19"/>
        <v>0</v>
      </c>
      <c r="N241" s="532">
        <f t="shared" si="21"/>
        <v>0</v>
      </c>
    </row>
    <row r="242" spans="1:14">
      <c r="A242" s="3" t="str">
        <f t="shared" si="22"/>
        <v>1122</v>
      </c>
      <c r="B242" s="527" t="s">
        <v>140</v>
      </c>
      <c r="C242" s="134">
        <v>112</v>
      </c>
      <c r="D242" s="528" t="s">
        <v>22</v>
      </c>
      <c r="E242" s="533" t="s">
        <v>63</v>
      </c>
      <c r="F242" s="527" t="s">
        <v>1171</v>
      </c>
      <c r="G242" s="527" t="s">
        <v>1233</v>
      </c>
      <c r="H242" s="529">
        <v>2</v>
      </c>
      <c r="I242" s="530">
        <f>+(1.35+0.65)*12</f>
        <v>24</v>
      </c>
      <c r="J242" s="630" t="s">
        <v>1164</v>
      </c>
      <c r="K242" s="531" t="s">
        <v>1228</v>
      </c>
      <c r="L242" s="532">
        <f t="shared" si="18"/>
        <v>0</v>
      </c>
      <c r="M242" s="532">
        <f t="shared" si="19"/>
        <v>0</v>
      </c>
      <c r="N242" s="532">
        <f t="shared" si="21"/>
        <v>0</v>
      </c>
    </row>
    <row r="243" spans="1:14">
      <c r="A243" s="3" t="str">
        <f t="shared" si="22"/>
        <v>1122</v>
      </c>
      <c r="B243" s="527" t="s">
        <v>140</v>
      </c>
      <c r="C243" s="134">
        <v>112</v>
      </c>
      <c r="D243" s="528" t="s">
        <v>22</v>
      </c>
      <c r="E243" s="533" t="s">
        <v>63</v>
      </c>
      <c r="F243" s="527" t="s">
        <v>1169</v>
      </c>
      <c r="G243" s="527" t="s">
        <v>1233</v>
      </c>
      <c r="H243" s="529">
        <v>2</v>
      </c>
      <c r="I243" s="530">
        <f>+(1.35+0.65)*12</f>
        <v>24</v>
      </c>
      <c r="J243" s="630" t="s">
        <v>1164</v>
      </c>
      <c r="K243" s="531" t="s">
        <v>1228</v>
      </c>
      <c r="L243" s="532">
        <f t="shared" si="18"/>
        <v>0</v>
      </c>
      <c r="M243" s="532">
        <f t="shared" si="19"/>
        <v>0</v>
      </c>
      <c r="N243" s="532">
        <f t="shared" si="21"/>
        <v>0</v>
      </c>
    </row>
    <row r="244" spans="1:14">
      <c r="A244" s="3" t="str">
        <f t="shared" si="22"/>
        <v>1122</v>
      </c>
      <c r="B244" s="527" t="s">
        <v>140</v>
      </c>
      <c r="C244" s="134">
        <v>112</v>
      </c>
      <c r="D244" s="528" t="s">
        <v>22</v>
      </c>
      <c r="E244" s="533" t="s">
        <v>63</v>
      </c>
      <c r="F244" s="527" t="s">
        <v>1172</v>
      </c>
      <c r="G244" s="527" t="s">
        <v>1216</v>
      </c>
      <c r="H244" s="529">
        <v>2</v>
      </c>
      <c r="I244" s="530">
        <v>11.85</v>
      </c>
      <c r="J244" s="630" t="s">
        <v>1161</v>
      </c>
      <c r="K244" s="531"/>
      <c r="L244" s="532">
        <f t="shared" si="18"/>
        <v>0</v>
      </c>
      <c r="M244" s="532">
        <f t="shared" si="19"/>
        <v>0</v>
      </c>
      <c r="N244" s="532">
        <f t="shared" si="21"/>
        <v>0</v>
      </c>
    </row>
    <row r="245" spans="1:14">
      <c r="A245" s="3" t="str">
        <f t="shared" si="22"/>
        <v>1122</v>
      </c>
      <c r="B245" s="527" t="s">
        <v>140</v>
      </c>
      <c r="C245" s="134">
        <v>112</v>
      </c>
      <c r="D245" s="528" t="s">
        <v>22</v>
      </c>
      <c r="E245" s="533" t="s">
        <v>63</v>
      </c>
      <c r="F245" s="527" t="s">
        <v>1174</v>
      </c>
      <c r="G245" s="527" t="s">
        <v>1216</v>
      </c>
      <c r="H245" s="529">
        <v>2</v>
      </c>
      <c r="I245" s="530">
        <v>11.85</v>
      </c>
      <c r="J245" s="630" t="s">
        <v>1164</v>
      </c>
      <c r="K245" s="531"/>
      <c r="L245" s="532">
        <f t="shared" si="18"/>
        <v>0</v>
      </c>
      <c r="M245" s="532">
        <f t="shared" si="19"/>
        <v>0</v>
      </c>
      <c r="N245" s="532">
        <f t="shared" si="21"/>
        <v>0</v>
      </c>
    </row>
    <row r="246" spans="1:14">
      <c r="A246" s="3" t="str">
        <f t="shared" si="22"/>
        <v>1122</v>
      </c>
      <c r="B246" s="527" t="s">
        <v>140</v>
      </c>
      <c r="C246" s="134">
        <v>112</v>
      </c>
      <c r="D246" s="528" t="s">
        <v>22</v>
      </c>
      <c r="E246" s="533" t="s">
        <v>63</v>
      </c>
      <c r="F246" s="527" t="s">
        <v>1175</v>
      </c>
      <c r="G246" s="527" t="s">
        <v>1217</v>
      </c>
      <c r="H246" s="529">
        <v>2</v>
      </c>
      <c r="I246" s="530">
        <v>1.92</v>
      </c>
      <c r="J246" s="630" t="s">
        <v>1161</v>
      </c>
      <c r="K246" s="531"/>
      <c r="L246" s="532">
        <f t="shared" si="18"/>
        <v>0</v>
      </c>
      <c r="M246" s="532">
        <f t="shared" si="19"/>
        <v>0</v>
      </c>
      <c r="N246" s="532">
        <f t="shared" si="21"/>
        <v>0</v>
      </c>
    </row>
    <row r="247" spans="1:14">
      <c r="A247" s="3" t="str">
        <f t="shared" si="22"/>
        <v>1122</v>
      </c>
      <c r="B247" s="527" t="s">
        <v>140</v>
      </c>
      <c r="C247" s="134">
        <v>112</v>
      </c>
      <c r="D247" s="528" t="s">
        <v>22</v>
      </c>
      <c r="E247" s="533" t="s">
        <v>63</v>
      </c>
      <c r="F247" s="527" t="s">
        <v>1177</v>
      </c>
      <c r="G247" s="527" t="s">
        <v>1217</v>
      </c>
      <c r="H247" s="529">
        <v>2</v>
      </c>
      <c r="I247" s="530">
        <v>1.92</v>
      </c>
      <c r="J247" s="630" t="s">
        <v>1161</v>
      </c>
      <c r="K247" s="531"/>
      <c r="L247" s="532">
        <f t="shared" si="18"/>
        <v>0</v>
      </c>
      <c r="M247" s="532">
        <f t="shared" si="19"/>
        <v>0</v>
      </c>
      <c r="N247" s="532">
        <f t="shared" si="21"/>
        <v>0</v>
      </c>
    </row>
    <row r="248" spans="1:14">
      <c r="A248" s="3" t="str">
        <f t="shared" si="22"/>
        <v>11226</v>
      </c>
      <c r="B248" s="527" t="s">
        <v>140</v>
      </c>
      <c r="C248" s="134">
        <v>112</v>
      </c>
      <c r="D248" s="528" t="s">
        <v>22</v>
      </c>
      <c r="E248" s="135"/>
      <c r="F248" s="527" t="s">
        <v>1162</v>
      </c>
      <c r="G248" s="527" t="s">
        <v>1308</v>
      </c>
      <c r="H248" s="529">
        <v>26</v>
      </c>
      <c r="I248" s="530">
        <v>28</v>
      </c>
      <c r="J248" s="630" t="s">
        <v>1161</v>
      </c>
      <c r="K248" s="531" t="s">
        <v>1309</v>
      </c>
      <c r="L248" s="532">
        <f t="shared" si="18"/>
        <v>0</v>
      </c>
      <c r="M248" s="532">
        <f t="shared" si="19"/>
        <v>0</v>
      </c>
      <c r="N248" s="532">
        <f t="shared" si="21"/>
        <v>0</v>
      </c>
    </row>
    <row r="249" spans="1:14">
      <c r="A249" s="3" t="str">
        <f t="shared" si="22"/>
        <v>1132</v>
      </c>
      <c r="B249" s="527" t="s">
        <v>853</v>
      </c>
      <c r="C249" s="134">
        <v>113</v>
      </c>
      <c r="D249" s="528" t="s">
        <v>22</v>
      </c>
      <c r="E249" s="533" t="s">
        <v>63</v>
      </c>
      <c r="F249" s="527" t="s">
        <v>1160</v>
      </c>
      <c r="G249" s="527" t="s">
        <v>1220</v>
      </c>
      <c r="H249" s="529">
        <v>2</v>
      </c>
      <c r="I249" s="530">
        <f>+(1.55+2+4.2+8.2+1+1.5)*3.1-2</f>
        <v>55.195</v>
      </c>
      <c r="J249" s="630" t="s">
        <v>1164</v>
      </c>
      <c r="K249" s="531"/>
      <c r="L249" s="532">
        <f t="shared" si="18"/>
        <v>0</v>
      </c>
      <c r="M249" s="532">
        <f t="shared" si="19"/>
        <v>0</v>
      </c>
      <c r="N249" s="532">
        <f t="shared" si="21"/>
        <v>0</v>
      </c>
    </row>
    <row r="250" spans="1:14">
      <c r="A250" s="3" t="str">
        <f t="shared" si="22"/>
        <v>1132</v>
      </c>
      <c r="B250" s="527" t="s">
        <v>853</v>
      </c>
      <c r="C250" s="134">
        <v>113</v>
      </c>
      <c r="D250" s="528" t="s">
        <v>22</v>
      </c>
      <c r="E250" s="533" t="s">
        <v>63</v>
      </c>
      <c r="F250" s="527" t="s">
        <v>1163</v>
      </c>
      <c r="G250" s="527" t="s">
        <v>1220</v>
      </c>
      <c r="H250" s="529">
        <v>2</v>
      </c>
      <c r="I250" s="530">
        <f>+(1.55+2+4.2+8.2+1+1.5)*3.1-2</f>
        <v>55.195</v>
      </c>
      <c r="J250" s="630" t="s">
        <v>1164</v>
      </c>
      <c r="K250" s="531"/>
      <c r="L250" s="532">
        <f t="shared" si="18"/>
        <v>0</v>
      </c>
      <c r="M250" s="532">
        <f t="shared" si="19"/>
        <v>0</v>
      </c>
      <c r="N250" s="532">
        <f t="shared" si="21"/>
        <v>0</v>
      </c>
    </row>
    <row r="251" spans="1:14">
      <c r="A251" s="3" t="str">
        <f t="shared" si="22"/>
        <v>1132</v>
      </c>
      <c r="B251" s="527" t="s">
        <v>853</v>
      </c>
      <c r="C251" s="134">
        <v>113</v>
      </c>
      <c r="D251" s="528" t="s">
        <v>22</v>
      </c>
      <c r="E251" s="533" t="s">
        <v>182</v>
      </c>
      <c r="F251" s="527" t="s">
        <v>1160</v>
      </c>
      <c r="G251" s="527" t="s">
        <v>1220</v>
      </c>
      <c r="H251" s="529">
        <v>2</v>
      </c>
      <c r="I251" s="530">
        <f>(4+2+4+2.8)*3.1+5*2.5</f>
        <v>52.180000000000007</v>
      </c>
      <c r="J251" s="630" t="s">
        <v>1164</v>
      </c>
      <c r="K251" s="531"/>
      <c r="L251" s="532">
        <f t="shared" si="18"/>
        <v>0</v>
      </c>
      <c r="M251" s="532">
        <f t="shared" si="19"/>
        <v>0</v>
      </c>
      <c r="N251" s="532">
        <f t="shared" si="21"/>
        <v>0</v>
      </c>
    </row>
    <row r="252" spans="1:14">
      <c r="A252" s="3" t="str">
        <f t="shared" si="22"/>
        <v>1132</v>
      </c>
      <c r="B252" s="527" t="s">
        <v>853</v>
      </c>
      <c r="C252" s="134">
        <v>113</v>
      </c>
      <c r="D252" s="528" t="s">
        <v>22</v>
      </c>
      <c r="E252" s="533" t="s">
        <v>182</v>
      </c>
      <c r="F252" s="527" t="s">
        <v>1163</v>
      </c>
      <c r="G252" s="527" t="s">
        <v>1220</v>
      </c>
      <c r="H252" s="529">
        <v>2</v>
      </c>
      <c r="I252" s="530">
        <f>(4+2+4+2.8)*3.1+5*2.5</f>
        <v>52.180000000000007</v>
      </c>
      <c r="J252" s="630" t="s">
        <v>1161</v>
      </c>
      <c r="K252" s="531"/>
      <c r="L252" s="532">
        <f t="shared" si="18"/>
        <v>0</v>
      </c>
      <c r="M252" s="532">
        <f t="shared" si="19"/>
        <v>0</v>
      </c>
      <c r="N252" s="532">
        <f t="shared" si="21"/>
        <v>0</v>
      </c>
    </row>
    <row r="253" spans="1:14">
      <c r="A253" s="3" t="str">
        <f t="shared" si="22"/>
        <v>1132</v>
      </c>
      <c r="B253" s="527" t="s">
        <v>853</v>
      </c>
      <c r="C253" s="134">
        <v>113</v>
      </c>
      <c r="D253" s="528" t="s">
        <v>22</v>
      </c>
      <c r="E253" s="533" t="s">
        <v>63</v>
      </c>
      <c r="F253" s="527" t="s">
        <v>1221</v>
      </c>
      <c r="G253" s="527" t="s">
        <v>1222</v>
      </c>
      <c r="H253" s="529">
        <v>2</v>
      </c>
      <c r="I253" s="530">
        <f>6.8*5</f>
        <v>34</v>
      </c>
      <c r="J253" s="630" t="s">
        <v>1164</v>
      </c>
      <c r="K253" s="531" t="s">
        <v>1223</v>
      </c>
      <c r="L253" s="532">
        <f t="shared" si="18"/>
        <v>0</v>
      </c>
      <c r="M253" s="532">
        <f t="shared" si="19"/>
        <v>0</v>
      </c>
      <c r="N253" s="532">
        <f t="shared" si="21"/>
        <v>0</v>
      </c>
    </row>
    <row r="254" spans="1:14">
      <c r="A254" s="3" t="str">
        <f t="shared" si="22"/>
        <v>1132</v>
      </c>
      <c r="B254" s="527" t="s">
        <v>853</v>
      </c>
      <c r="C254" s="134">
        <v>113</v>
      </c>
      <c r="D254" s="528" t="s">
        <v>22</v>
      </c>
      <c r="E254" s="533" t="s">
        <v>63</v>
      </c>
      <c r="F254" s="527" t="s">
        <v>1221</v>
      </c>
      <c r="G254" s="527" t="s">
        <v>1224</v>
      </c>
      <c r="H254" s="529">
        <v>2</v>
      </c>
      <c r="I254" s="530">
        <f>6.6*3.2</f>
        <v>21.12</v>
      </c>
      <c r="J254" s="630" t="s">
        <v>1164</v>
      </c>
      <c r="K254" s="531" t="s">
        <v>1223</v>
      </c>
      <c r="L254" s="532">
        <f t="shared" si="18"/>
        <v>0</v>
      </c>
      <c r="M254" s="532">
        <f t="shared" si="19"/>
        <v>0</v>
      </c>
      <c r="N254" s="532">
        <f t="shared" si="21"/>
        <v>0</v>
      </c>
    </row>
    <row r="255" spans="1:14">
      <c r="A255" s="3" t="str">
        <f t="shared" si="22"/>
        <v>1132</v>
      </c>
      <c r="B255" s="527" t="s">
        <v>853</v>
      </c>
      <c r="C255" s="134">
        <v>113</v>
      </c>
      <c r="D255" s="528" t="s">
        <v>22</v>
      </c>
      <c r="E255" s="533" t="s">
        <v>63</v>
      </c>
      <c r="F255" s="527" t="s">
        <v>1160</v>
      </c>
      <c r="G255" s="527" t="s">
        <v>1225</v>
      </c>
      <c r="H255" s="529">
        <v>2</v>
      </c>
      <c r="I255" s="530">
        <f>6.5*3.1*2</f>
        <v>40.300000000000004</v>
      </c>
      <c r="J255" s="630" t="s">
        <v>1164</v>
      </c>
      <c r="K255" s="531"/>
      <c r="L255" s="532">
        <f t="shared" si="18"/>
        <v>0</v>
      </c>
      <c r="M255" s="532">
        <f t="shared" si="19"/>
        <v>0</v>
      </c>
      <c r="N255" s="532">
        <f t="shared" si="21"/>
        <v>0</v>
      </c>
    </row>
    <row r="256" spans="1:14">
      <c r="A256" s="3" t="str">
        <f t="shared" si="22"/>
        <v>1132</v>
      </c>
      <c r="B256" s="527" t="s">
        <v>853</v>
      </c>
      <c r="C256" s="134">
        <v>113</v>
      </c>
      <c r="D256" s="528" t="s">
        <v>22</v>
      </c>
      <c r="E256" s="533" t="s">
        <v>63</v>
      </c>
      <c r="F256" s="527" t="s">
        <v>1163</v>
      </c>
      <c r="G256" s="527" t="s">
        <v>1225</v>
      </c>
      <c r="H256" s="529">
        <v>2</v>
      </c>
      <c r="I256" s="530">
        <f>6.5*3.1*2</f>
        <v>40.300000000000004</v>
      </c>
      <c r="J256" s="630" t="s">
        <v>1161</v>
      </c>
      <c r="K256" s="531"/>
      <c r="L256" s="532">
        <f t="shared" si="18"/>
        <v>0</v>
      </c>
      <c r="M256" s="532">
        <f t="shared" si="19"/>
        <v>0</v>
      </c>
      <c r="N256" s="532">
        <f t="shared" si="21"/>
        <v>0</v>
      </c>
    </row>
    <row r="257" spans="1:14">
      <c r="A257" s="3" t="str">
        <f t="shared" si="22"/>
        <v>1132</v>
      </c>
      <c r="B257" s="527" t="s">
        <v>853</v>
      </c>
      <c r="C257" s="134">
        <v>113</v>
      </c>
      <c r="D257" s="528" t="s">
        <v>22</v>
      </c>
      <c r="E257" s="533" t="s">
        <v>63</v>
      </c>
      <c r="F257" s="527" t="s">
        <v>1160</v>
      </c>
      <c r="G257" s="527" t="s">
        <v>1226</v>
      </c>
      <c r="H257" s="529">
        <v>2</v>
      </c>
      <c r="I257" s="530">
        <f>1.95*2.15*2</f>
        <v>8.3849999999999998</v>
      </c>
      <c r="J257" s="630" t="s">
        <v>1164</v>
      </c>
      <c r="K257" s="531"/>
      <c r="L257" s="532">
        <f t="shared" si="18"/>
        <v>0</v>
      </c>
      <c r="M257" s="532">
        <f t="shared" si="19"/>
        <v>0</v>
      </c>
      <c r="N257" s="532">
        <f t="shared" si="21"/>
        <v>0</v>
      </c>
    </row>
    <row r="258" spans="1:14">
      <c r="A258" s="3" t="str">
        <f t="shared" si="22"/>
        <v>1132</v>
      </c>
      <c r="B258" s="527" t="s">
        <v>853</v>
      </c>
      <c r="C258" s="134">
        <v>113</v>
      </c>
      <c r="D258" s="528" t="s">
        <v>22</v>
      </c>
      <c r="E258" s="533" t="s">
        <v>63</v>
      </c>
      <c r="F258" s="527" t="s">
        <v>1163</v>
      </c>
      <c r="G258" s="527" t="s">
        <v>1226</v>
      </c>
      <c r="H258" s="529">
        <v>2</v>
      </c>
      <c r="I258" s="530">
        <f>1.95*2.15*2</f>
        <v>8.3849999999999998</v>
      </c>
      <c r="J258" s="630" t="s">
        <v>1161</v>
      </c>
      <c r="K258" s="531"/>
      <c r="L258" s="532">
        <f t="shared" si="18"/>
        <v>0</v>
      </c>
      <c r="M258" s="532">
        <f t="shared" si="19"/>
        <v>0</v>
      </c>
      <c r="N258" s="532">
        <f t="shared" si="21"/>
        <v>0</v>
      </c>
    </row>
    <row r="259" spans="1:14">
      <c r="A259" s="3" t="str">
        <f t="shared" si="22"/>
        <v>1132</v>
      </c>
      <c r="B259" s="527" t="s">
        <v>853</v>
      </c>
      <c r="C259" s="134">
        <v>113</v>
      </c>
      <c r="D259" s="528" t="s">
        <v>22</v>
      </c>
      <c r="E259" s="533" t="s">
        <v>63</v>
      </c>
      <c r="F259" s="527" t="s">
        <v>1171</v>
      </c>
      <c r="G259" s="527" t="s">
        <v>1227</v>
      </c>
      <c r="H259" s="529">
        <v>2</v>
      </c>
      <c r="I259" s="530">
        <f>+(1.35+0.65)*12</f>
        <v>24</v>
      </c>
      <c r="J259" s="630" t="s">
        <v>1164</v>
      </c>
      <c r="K259" s="531" t="s">
        <v>1228</v>
      </c>
      <c r="L259" s="532">
        <f t="shared" si="18"/>
        <v>0</v>
      </c>
      <c r="M259" s="532">
        <f t="shared" si="19"/>
        <v>0</v>
      </c>
      <c r="N259" s="532">
        <f t="shared" si="21"/>
        <v>0</v>
      </c>
    </row>
    <row r="260" spans="1:14">
      <c r="A260" s="3" t="str">
        <f t="shared" si="22"/>
        <v>1132</v>
      </c>
      <c r="B260" s="527" t="s">
        <v>853</v>
      </c>
      <c r="C260" s="134">
        <v>113</v>
      </c>
      <c r="D260" s="528" t="s">
        <v>22</v>
      </c>
      <c r="E260" s="533" t="s">
        <v>63</v>
      </c>
      <c r="F260" s="527" t="s">
        <v>1169</v>
      </c>
      <c r="G260" s="527" t="s">
        <v>1227</v>
      </c>
      <c r="H260" s="529">
        <v>2</v>
      </c>
      <c r="I260" s="530">
        <f>+(1.35+0.65)*12</f>
        <v>24</v>
      </c>
      <c r="J260" s="630" t="s">
        <v>1164</v>
      </c>
      <c r="K260" s="531" t="s">
        <v>1228</v>
      </c>
      <c r="L260" s="532">
        <f t="shared" si="18"/>
        <v>0</v>
      </c>
      <c r="M260" s="532">
        <f t="shared" si="19"/>
        <v>0</v>
      </c>
      <c r="N260" s="532">
        <f t="shared" si="21"/>
        <v>0</v>
      </c>
    </row>
    <row r="261" spans="1:14">
      <c r="A261" s="3" t="str">
        <f t="shared" si="22"/>
        <v>1132</v>
      </c>
      <c r="B261" s="527" t="s">
        <v>853</v>
      </c>
      <c r="C261" s="134">
        <v>113</v>
      </c>
      <c r="D261" s="528" t="s">
        <v>22</v>
      </c>
      <c r="E261" s="533" t="s">
        <v>63</v>
      </c>
      <c r="F261" s="527" t="s">
        <v>1172</v>
      </c>
      <c r="G261" s="527" t="s">
        <v>1968</v>
      </c>
      <c r="H261" s="529">
        <v>2</v>
      </c>
      <c r="I261" s="530">
        <v>11.85</v>
      </c>
      <c r="J261" s="630" t="s">
        <v>1161</v>
      </c>
      <c r="K261" s="531"/>
      <c r="L261" s="532">
        <f t="shared" si="18"/>
        <v>0</v>
      </c>
      <c r="M261" s="532">
        <f t="shared" si="19"/>
        <v>0</v>
      </c>
      <c r="N261" s="532">
        <f t="shared" si="21"/>
        <v>0</v>
      </c>
    </row>
    <row r="262" spans="1:14">
      <c r="A262" s="3" t="str">
        <f t="shared" si="22"/>
        <v>1132</v>
      </c>
      <c r="B262" s="527" t="s">
        <v>853</v>
      </c>
      <c r="C262" s="134">
        <v>113</v>
      </c>
      <c r="D262" s="528" t="s">
        <v>22</v>
      </c>
      <c r="E262" s="533" t="s">
        <v>63</v>
      </c>
      <c r="F262" s="527" t="s">
        <v>1174</v>
      </c>
      <c r="G262" s="527" t="s">
        <v>1968</v>
      </c>
      <c r="H262" s="529">
        <v>2</v>
      </c>
      <c r="I262" s="530">
        <v>11.85</v>
      </c>
      <c r="J262" s="630" t="s">
        <v>1164</v>
      </c>
      <c r="K262" s="531"/>
      <c r="L262" s="532">
        <f t="shared" si="18"/>
        <v>0</v>
      </c>
      <c r="M262" s="532">
        <f t="shared" si="19"/>
        <v>0</v>
      </c>
      <c r="N262" s="532">
        <f t="shared" si="21"/>
        <v>0</v>
      </c>
    </row>
    <row r="263" spans="1:14">
      <c r="A263" s="3" t="str">
        <f t="shared" si="22"/>
        <v>1132</v>
      </c>
      <c r="B263" s="527" t="s">
        <v>853</v>
      </c>
      <c r="C263" s="134">
        <v>113</v>
      </c>
      <c r="D263" s="528" t="s">
        <v>22</v>
      </c>
      <c r="E263" s="533" t="s">
        <v>63</v>
      </c>
      <c r="F263" s="527" t="s">
        <v>1175</v>
      </c>
      <c r="G263" s="527" t="s">
        <v>1969</v>
      </c>
      <c r="H263" s="529">
        <v>2</v>
      </c>
      <c r="I263" s="530">
        <v>1.92</v>
      </c>
      <c r="J263" s="630" t="s">
        <v>1161</v>
      </c>
      <c r="K263" s="531"/>
      <c r="L263" s="532">
        <f t="shared" si="18"/>
        <v>0</v>
      </c>
      <c r="M263" s="532">
        <f t="shared" si="19"/>
        <v>0</v>
      </c>
      <c r="N263" s="532">
        <f t="shared" si="21"/>
        <v>0</v>
      </c>
    </row>
    <row r="264" spans="1:14">
      <c r="A264" s="3" t="str">
        <f t="shared" si="22"/>
        <v>1132</v>
      </c>
      <c r="B264" s="527" t="s">
        <v>853</v>
      </c>
      <c r="C264" s="134">
        <v>113</v>
      </c>
      <c r="D264" s="528" t="s">
        <v>22</v>
      </c>
      <c r="E264" s="533" t="s">
        <v>63</v>
      </c>
      <c r="F264" s="527" t="s">
        <v>1177</v>
      </c>
      <c r="G264" s="527" t="s">
        <v>1969</v>
      </c>
      <c r="H264" s="529">
        <v>2</v>
      </c>
      <c r="I264" s="530">
        <v>1.92</v>
      </c>
      <c r="J264" s="630" t="s">
        <v>1161</v>
      </c>
      <c r="K264" s="531"/>
      <c r="L264" s="532">
        <f t="shared" si="18"/>
        <v>0</v>
      </c>
      <c r="M264" s="532">
        <f t="shared" si="19"/>
        <v>0</v>
      </c>
      <c r="N264" s="532">
        <f t="shared" si="21"/>
        <v>0</v>
      </c>
    </row>
    <row r="265" spans="1:14">
      <c r="A265" s="3" t="str">
        <f t="shared" si="22"/>
        <v>1132</v>
      </c>
      <c r="B265" s="527" t="s">
        <v>853</v>
      </c>
      <c r="C265" s="134">
        <v>113</v>
      </c>
      <c r="D265" s="528" t="s">
        <v>22</v>
      </c>
      <c r="E265" s="533" t="s">
        <v>236</v>
      </c>
      <c r="F265" s="527" t="s">
        <v>1212</v>
      </c>
      <c r="G265" s="527" t="s">
        <v>1229</v>
      </c>
      <c r="H265" s="529">
        <v>2</v>
      </c>
      <c r="I265" s="530">
        <v>2</v>
      </c>
      <c r="J265" s="630" t="s">
        <v>1161</v>
      </c>
      <c r="K265" s="531"/>
      <c r="L265" s="532">
        <f t="shared" si="18"/>
        <v>0</v>
      </c>
      <c r="M265" s="532">
        <f t="shared" si="19"/>
        <v>0</v>
      </c>
      <c r="N265" s="532">
        <f t="shared" si="21"/>
        <v>0</v>
      </c>
    </row>
    <row r="266" spans="1:14">
      <c r="A266" s="3" t="str">
        <f t="shared" si="22"/>
        <v>1132</v>
      </c>
      <c r="B266" s="527" t="s">
        <v>853</v>
      </c>
      <c r="C266" s="134">
        <v>113</v>
      </c>
      <c r="D266" s="528" t="s">
        <v>22</v>
      </c>
      <c r="E266" s="533" t="s">
        <v>236</v>
      </c>
      <c r="F266" s="527" t="s">
        <v>1215</v>
      </c>
      <c r="G266" s="527" t="s">
        <v>1229</v>
      </c>
      <c r="H266" s="529">
        <v>2</v>
      </c>
      <c r="I266" s="530">
        <v>2</v>
      </c>
      <c r="J266" s="630" t="s">
        <v>1164</v>
      </c>
      <c r="K266" s="531"/>
      <c r="L266" s="532">
        <f t="shared" si="18"/>
        <v>0</v>
      </c>
      <c r="M266" s="532">
        <f t="shared" si="19"/>
        <v>0</v>
      </c>
      <c r="N266" s="532">
        <f t="shared" si="21"/>
        <v>0</v>
      </c>
    </row>
    <row r="267" spans="1:14">
      <c r="A267" s="3" t="str">
        <f t="shared" si="22"/>
        <v>1132</v>
      </c>
      <c r="B267" s="527" t="s">
        <v>853</v>
      </c>
      <c r="C267" s="134">
        <v>113</v>
      </c>
      <c r="D267" s="528" t="s">
        <v>22</v>
      </c>
      <c r="E267" s="533" t="s">
        <v>63</v>
      </c>
      <c r="F267" s="527" t="s">
        <v>1160</v>
      </c>
      <c r="G267" s="527" t="s">
        <v>1230</v>
      </c>
      <c r="H267" s="529">
        <v>2</v>
      </c>
      <c r="I267" s="530">
        <f>+(1.55+2+4.2+8.2+1+1.5)*3.1-2</f>
        <v>55.195</v>
      </c>
      <c r="J267" s="630" t="s">
        <v>1164</v>
      </c>
      <c r="K267" s="531"/>
      <c r="L267" s="532">
        <f t="shared" si="18"/>
        <v>0</v>
      </c>
      <c r="M267" s="532">
        <f t="shared" si="19"/>
        <v>0</v>
      </c>
      <c r="N267" s="532">
        <f t="shared" si="21"/>
        <v>0</v>
      </c>
    </row>
    <row r="268" spans="1:14">
      <c r="A268" s="3" t="str">
        <f t="shared" si="22"/>
        <v>1132</v>
      </c>
      <c r="B268" s="527" t="s">
        <v>853</v>
      </c>
      <c r="C268" s="134">
        <v>113</v>
      </c>
      <c r="D268" s="528" t="s">
        <v>22</v>
      </c>
      <c r="E268" s="533" t="s">
        <v>63</v>
      </c>
      <c r="F268" s="527" t="s">
        <v>1163</v>
      </c>
      <c r="G268" s="527" t="s">
        <v>1230</v>
      </c>
      <c r="H268" s="529">
        <v>2</v>
      </c>
      <c r="I268" s="530">
        <f>+(1.55+2+4.2+8.2+1+1.5)*3.1-2</f>
        <v>55.195</v>
      </c>
      <c r="J268" s="630" t="s">
        <v>1164</v>
      </c>
      <c r="K268" s="531"/>
      <c r="L268" s="532">
        <f t="shared" si="18"/>
        <v>0</v>
      </c>
      <c r="M268" s="532">
        <f t="shared" si="19"/>
        <v>0</v>
      </c>
      <c r="N268" s="532">
        <f t="shared" si="21"/>
        <v>0</v>
      </c>
    </row>
    <row r="269" spans="1:14">
      <c r="A269" s="3" t="str">
        <f t="shared" si="22"/>
        <v>1132</v>
      </c>
      <c r="B269" s="527" t="s">
        <v>853</v>
      </c>
      <c r="C269" s="134">
        <v>113</v>
      </c>
      <c r="D269" s="528" t="s">
        <v>22</v>
      </c>
      <c r="E269" s="533" t="s">
        <v>182</v>
      </c>
      <c r="F269" s="527" t="s">
        <v>1160</v>
      </c>
      <c r="G269" s="527" t="s">
        <v>1230</v>
      </c>
      <c r="H269" s="529">
        <v>2</v>
      </c>
      <c r="I269" s="530">
        <f>(4+2+4+2.8)*3.1+5*2.5</f>
        <v>52.180000000000007</v>
      </c>
      <c r="J269" s="630" t="s">
        <v>1164</v>
      </c>
      <c r="K269" s="531"/>
      <c r="L269" s="532">
        <f t="shared" ref="L269:L332" si="23">IF(J269="ja",0,VLOOKUP(F269,Glassoort2,2,0))*I269</f>
        <v>0</v>
      </c>
      <c r="M269" s="532">
        <f t="shared" ref="M269:M332" si="24">IF(J269="ja",VLOOKUP(F269,Glassoort2,3,0))*I269</f>
        <v>0</v>
      </c>
      <c r="N269" s="532">
        <f t="shared" si="21"/>
        <v>0</v>
      </c>
    </row>
    <row r="270" spans="1:14">
      <c r="A270" s="3" t="str">
        <f t="shared" ref="A270:A302" si="25">CONCATENATE(C270,H270)</f>
        <v>1132</v>
      </c>
      <c r="B270" s="527" t="s">
        <v>853</v>
      </c>
      <c r="C270" s="134">
        <v>113</v>
      </c>
      <c r="D270" s="528" t="s">
        <v>22</v>
      </c>
      <c r="E270" s="533" t="s">
        <v>182</v>
      </c>
      <c r="F270" s="527" t="s">
        <v>1163</v>
      </c>
      <c r="G270" s="527" t="s">
        <v>1230</v>
      </c>
      <c r="H270" s="529">
        <v>2</v>
      </c>
      <c r="I270" s="530">
        <f>(4+2+4+2.8)*3.1+5*2.5</f>
        <v>52.180000000000007</v>
      </c>
      <c r="J270" s="630" t="s">
        <v>1164</v>
      </c>
      <c r="K270" s="531"/>
      <c r="L270" s="532">
        <f t="shared" si="23"/>
        <v>0</v>
      </c>
      <c r="M270" s="532">
        <f t="shared" si="24"/>
        <v>0</v>
      </c>
      <c r="N270" s="532">
        <f t="shared" si="21"/>
        <v>0</v>
      </c>
    </row>
    <row r="271" spans="1:14">
      <c r="A271" s="3" t="str">
        <f t="shared" si="25"/>
        <v>1132</v>
      </c>
      <c r="B271" s="527" t="s">
        <v>853</v>
      </c>
      <c r="C271" s="134">
        <v>113</v>
      </c>
      <c r="D271" s="528" t="s">
        <v>22</v>
      </c>
      <c r="E271" s="533" t="s">
        <v>63</v>
      </c>
      <c r="F271" s="527" t="s">
        <v>1221</v>
      </c>
      <c r="G271" s="527" t="s">
        <v>1222</v>
      </c>
      <c r="H271" s="529">
        <v>2</v>
      </c>
      <c r="I271" s="530">
        <f>6.8*5</f>
        <v>34</v>
      </c>
      <c r="J271" s="630" t="s">
        <v>1164</v>
      </c>
      <c r="K271" s="531" t="s">
        <v>1223</v>
      </c>
      <c r="L271" s="532">
        <f t="shared" si="23"/>
        <v>0</v>
      </c>
      <c r="M271" s="532">
        <f t="shared" si="24"/>
        <v>0</v>
      </c>
      <c r="N271" s="532">
        <f t="shared" si="21"/>
        <v>0</v>
      </c>
    </row>
    <row r="272" spans="1:14">
      <c r="A272" s="3" t="str">
        <f t="shared" si="25"/>
        <v>1132</v>
      </c>
      <c r="B272" s="527" t="s">
        <v>853</v>
      </c>
      <c r="C272" s="134">
        <v>113</v>
      </c>
      <c r="D272" s="528" t="s">
        <v>22</v>
      </c>
      <c r="E272" s="533" t="s">
        <v>63</v>
      </c>
      <c r="F272" s="527" t="s">
        <v>1221</v>
      </c>
      <c r="G272" s="527" t="s">
        <v>1224</v>
      </c>
      <c r="H272" s="529">
        <v>2</v>
      </c>
      <c r="I272" s="530">
        <f>6.6*3.2</f>
        <v>21.12</v>
      </c>
      <c r="J272" s="630" t="s">
        <v>1164</v>
      </c>
      <c r="K272" s="531" t="s">
        <v>1223</v>
      </c>
      <c r="L272" s="532">
        <f t="shared" si="23"/>
        <v>0</v>
      </c>
      <c r="M272" s="532">
        <f t="shared" si="24"/>
        <v>0</v>
      </c>
      <c r="N272" s="532">
        <f t="shared" si="21"/>
        <v>0</v>
      </c>
    </row>
    <row r="273" spans="1:14">
      <c r="A273" s="3" t="str">
        <f t="shared" si="25"/>
        <v>1132</v>
      </c>
      <c r="B273" s="527" t="s">
        <v>853</v>
      </c>
      <c r="C273" s="134">
        <v>113</v>
      </c>
      <c r="D273" s="528" t="s">
        <v>22</v>
      </c>
      <c r="E273" s="533" t="s">
        <v>63</v>
      </c>
      <c r="F273" s="527" t="s">
        <v>1160</v>
      </c>
      <c r="G273" s="527" t="s">
        <v>1231</v>
      </c>
      <c r="H273" s="529">
        <v>2</v>
      </c>
      <c r="I273" s="530">
        <f>6.5*3.1*2</f>
        <v>40.300000000000004</v>
      </c>
      <c r="J273" s="630" t="s">
        <v>1164</v>
      </c>
      <c r="K273" s="531"/>
      <c r="L273" s="532">
        <f t="shared" si="23"/>
        <v>0</v>
      </c>
      <c r="M273" s="532">
        <f t="shared" si="24"/>
        <v>0</v>
      </c>
      <c r="N273" s="532">
        <f t="shared" si="21"/>
        <v>0</v>
      </c>
    </row>
    <row r="274" spans="1:14">
      <c r="A274" s="3" t="str">
        <f t="shared" si="25"/>
        <v>1132</v>
      </c>
      <c r="B274" s="527" t="s">
        <v>853</v>
      </c>
      <c r="C274" s="134">
        <v>113</v>
      </c>
      <c r="D274" s="528" t="s">
        <v>22</v>
      </c>
      <c r="E274" s="533" t="s">
        <v>63</v>
      </c>
      <c r="F274" s="527" t="s">
        <v>1163</v>
      </c>
      <c r="G274" s="527" t="s">
        <v>1231</v>
      </c>
      <c r="H274" s="529">
        <v>2</v>
      </c>
      <c r="I274" s="530">
        <f>6.5*3.1*2</f>
        <v>40.300000000000004</v>
      </c>
      <c r="J274" s="630" t="s">
        <v>1164</v>
      </c>
      <c r="K274" s="531"/>
      <c r="L274" s="532">
        <f t="shared" si="23"/>
        <v>0</v>
      </c>
      <c r="M274" s="532">
        <f t="shared" si="24"/>
        <v>0</v>
      </c>
      <c r="N274" s="532">
        <f t="shared" ref="N274:N338" si="26">(M274*H274)+(L274*H274)</f>
        <v>0</v>
      </c>
    </row>
    <row r="275" spans="1:14">
      <c r="A275" s="3" t="str">
        <f t="shared" si="25"/>
        <v>1132</v>
      </c>
      <c r="B275" s="527" t="s">
        <v>853</v>
      </c>
      <c r="C275" s="134">
        <v>113</v>
      </c>
      <c r="D275" s="528" t="s">
        <v>22</v>
      </c>
      <c r="E275" s="533" t="s">
        <v>63</v>
      </c>
      <c r="F275" s="527" t="s">
        <v>1160</v>
      </c>
      <c r="G275" s="527" t="s">
        <v>1232</v>
      </c>
      <c r="H275" s="529">
        <v>2</v>
      </c>
      <c r="I275" s="530">
        <f>1.95*2.15*2</f>
        <v>8.3849999999999998</v>
      </c>
      <c r="J275" s="630" t="s">
        <v>1164</v>
      </c>
      <c r="K275" s="531"/>
      <c r="L275" s="532">
        <f t="shared" si="23"/>
        <v>0</v>
      </c>
      <c r="M275" s="532">
        <f t="shared" si="24"/>
        <v>0</v>
      </c>
      <c r="N275" s="532">
        <f t="shared" si="26"/>
        <v>0</v>
      </c>
    </row>
    <row r="276" spans="1:14">
      <c r="A276" s="3" t="str">
        <f t="shared" si="25"/>
        <v>1132</v>
      </c>
      <c r="B276" s="527" t="s">
        <v>853</v>
      </c>
      <c r="C276" s="134">
        <v>113</v>
      </c>
      <c r="D276" s="528" t="s">
        <v>22</v>
      </c>
      <c r="E276" s="533" t="s">
        <v>63</v>
      </c>
      <c r="F276" s="527" t="s">
        <v>1163</v>
      </c>
      <c r="G276" s="527" t="s">
        <v>1232</v>
      </c>
      <c r="H276" s="529">
        <v>2</v>
      </c>
      <c r="I276" s="530">
        <f>1.95*2.15*2</f>
        <v>8.3849999999999998</v>
      </c>
      <c r="J276" s="630" t="s">
        <v>1164</v>
      </c>
      <c r="K276" s="531"/>
      <c r="L276" s="532">
        <f t="shared" si="23"/>
        <v>0</v>
      </c>
      <c r="M276" s="532">
        <f t="shared" si="24"/>
        <v>0</v>
      </c>
      <c r="N276" s="532">
        <f t="shared" si="26"/>
        <v>0</v>
      </c>
    </row>
    <row r="277" spans="1:14">
      <c r="A277" s="3" t="str">
        <f t="shared" si="25"/>
        <v>1132</v>
      </c>
      <c r="B277" s="527" t="s">
        <v>853</v>
      </c>
      <c r="C277" s="134">
        <v>113</v>
      </c>
      <c r="D277" s="528" t="s">
        <v>22</v>
      </c>
      <c r="E277" s="533" t="s">
        <v>63</v>
      </c>
      <c r="F277" s="527" t="s">
        <v>1171</v>
      </c>
      <c r="G277" s="527" t="s">
        <v>1233</v>
      </c>
      <c r="H277" s="529">
        <v>2</v>
      </c>
      <c r="I277" s="530">
        <f>+(1.35+0.65)*12</f>
        <v>24</v>
      </c>
      <c r="J277" s="630" t="s">
        <v>1164</v>
      </c>
      <c r="K277" s="531" t="s">
        <v>1228</v>
      </c>
      <c r="L277" s="532">
        <f t="shared" si="23"/>
        <v>0</v>
      </c>
      <c r="M277" s="532">
        <f t="shared" si="24"/>
        <v>0</v>
      </c>
      <c r="N277" s="532">
        <f t="shared" si="26"/>
        <v>0</v>
      </c>
    </row>
    <row r="278" spans="1:14">
      <c r="A278" s="3" t="str">
        <f t="shared" si="25"/>
        <v>1132</v>
      </c>
      <c r="B278" s="527" t="s">
        <v>853</v>
      </c>
      <c r="C278" s="134">
        <v>113</v>
      </c>
      <c r="D278" s="528" t="s">
        <v>22</v>
      </c>
      <c r="E278" s="533" t="s">
        <v>63</v>
      </c>
      <c r="F278" s="527" t="s">
        <v>1169</v>
      </c>
      <c r="G278" s="527" t="s">
        <v>1233</v>
      </c>
      <c r="H278" s="529">
        <v>2</v>
      </c>
      <c r="I278" s="530">
        <f>+(1.35+0.65)*12</f>
        <v>24</v>
      </c>
      <c r="J278" s="630" t="s">
        <v>1164</v>
      </c>
      <c r="K278" s="531" t="s">
        <v>1228</v>
      </c>
      <c r="L278" s="532">
        <f t="shared" si="23"/>
        <v>0</v>
      </c>
      <c r="M278" s="532">
        <f t="shared" si="24"/>
        <v>0</v>
      </c>
      <c r="N278" s="532">
        <f t="shared" si="26"/>
        <v>0</v>
      </c>
    </row>
    <row r="279" spans="1:14">
      <c r="A279" s="3" t="str">
        <f t="shared" si="25"/>
        <v>1132</v>
      </c>
      <c r="B279" s="527" t="s">
        <v>853</v>
      </c>
      <c r="C279" s="134">
        <v>113</v>
      </c>
      <c r="D279" s="528" t="s">
        <v>22</v>
      </c>
      <c r="E279" s="533" t="s">
        <v>63</v>
      </c>
      <c r="F279" s="527" t="s">
        <v>1172</v>
      </c>
      <c r="G279" s="527" t="s">
        <v>1216</v>
      </c>
      <c r="H279" s="529">
        <v>2</v>
      </c>
      <c r="I279" s="530">
        <v>11.85</v>
      </c>
      <c r="J279" s="630" t="s">
        <v>1161</v>
      </c>
      <c r="K279" s="531"/>
      <c r="L279" s="532">
        <f t="shared" si="23"/>
        <v>0</v>
      </c>
      <c r="M279" s="532">
        <f t="shared" si="24"/>
        <v>0</v>
      </c>
      <c r="N279" s="532">
        <f t="shared" si="26"/>
        <v>0</v>
      </c>
    </row>
    <row r="280" spans="1:14">
      <c r="A280" s="3" t="str">
        <f t="shared" si="25"/>
        <v>1132</v>
      </c>
      <c r="B280" s="527" t="s">
        <v>853</v>
      </c>
      <c r="C280" s="134">
        <v>113</v>
      </c>
      <c r="D280" s="528" t="s">
        <v>22</v>
      </c>
      <c r="E280" s="533" t="s">
        <v>63</v>
      </c>
      <c r="F280" s="527" t="s">
        <v>1174</v>
      </c>
      <c r="G280" s="527" t="s">
        <v>1216</v>
      </c>
      <c r="H280" s="529">
        <v>2</v>
      </c>
      <c r="I280" s="530">
        <v>11.85</v>
      </c>
      <c r="J280" s="630" t="s">
        <v>1164</v>
      </c>
      <c r="K280" s="531"/>
      <c r="L280" s="532">
        <f t="shared" si="23"/>
        <v>0</v>
      </c>
      <c r="M280" s="532">
        <f t="shared" si="24"/>
        <v>0</v>
      </c>
      <c r="N280" s="532">
        <f t="shared" si="26"/>
        <v>0</v>
      </c>
    </row>
    <row r="281" spans="1:14">
      <c r="A281" s="3" t="str">
        <f t="shared" si="25"/>
        <v>1132</v>
      </c>
      <c r="B281" s="527" t="s">
        <v>853</v>
      </c>
      <c r="C281" s="134">
        <v>113</v>
      </c>
      <c r="D281" s="528" t="s">
        <v>22</v>
      </c>
      <c r="E281" s="533" t="s">
        <v>63</v>
      </c>
      <c r="F281" s="527" t="s">
        <v>1175</v>
      </c>
      <c r="G281" s="527" t="s">
        <v>1217</v>
      </c>
      <c r="H281" s="529">
        <v>2</v>
      </c>
      <c r="I281" s="530">
        <v>1.92</v>
      </c>
      <c r="J281" s="630" t="s">
        <v>1161</v>
      </c>
      <c r="K281" s="531"/>
      <c r="L281" s="532">
        <f t="shared" si="23"/>
        <v>0</v>
      </c>
      <c r="M281" s="532">
        <f t="shared" si="24"/>
        <v>0</v>
      </c>
      <c r="N281" s="532">
        <f t="shared" si="26"/>
        <v>0</v>
      </c>
    </row>
    <row r="282" spans="1:14">
      <c r="A282" s="3" t="str">
        <f t="shared" si="25"/>
        <v>1132</v>
      </c>
      <c r="B282" s="527" t="s">
        <v>853</v>
      </c>
      <c r="C282" s="134">
        <v>113</v>
      </c>
      <c r="D282" s="528" t="s">
        <v>22</v>
      </c>
      <c r="E282" s="533" t="s">
        <v>63</v>
      </c>
      <c r="F282" s="527" t="s">
        <v>1177</v>
      </c>
      <c r="G282" s="527" t="s">
        <v>1217</v>
      </c>
      <c r="H282" s="529">
        <v>2</v>
      </c>
      <c r="I282" s="530">
        <v>1.92</v>
      </c>
      <c r="J282" s="630" t="s">
        <v>1161</v>
      </c>
      <c r="K282" s="531"/>
      <c r="L282" s="532">
        <f t="shared" si="23"/>
        <v>0</v>
      </c>
      <c r="M282" s="532">
        <f t="shared" si="24"/>
        <v>0</v>
      </c>
      <c r="N282" s="532">
        <f t="shared" si="26"/>
        <v>0</v>
      </c>
    </row>
    <row r="283" spans="1:14">
      <c r="A283" s="3" t="str">
        <f t="shared" si="25"/>
        <v>11326</v>
      </c>
      <c r="B283" s="527" t="s">
        <v>853</v>
      </c>
      <c r="C283" s="134">
        <v>113</v>
      </c>
      <c r="D283" s="528" t="s">
        <v>22</v>
      </c>
      <c r="E283" s="135"/>
      <c r="F283" s="527" t="s">
        <v>1162</v>
      </c>
      <c r="G283" s="527" t="s">
        <v>1308</v>
      </c>
      <c r="H283" s="529">
        <v>26</v>
      </c>
      <c r="I283" s="530">
        <v>28</v>
      </c>
      <c r="J283" s="630" t="s">
        <v>1161</v>
      </c>
      <c r="K283" s="531" t="s">
        <v>1309</v>
      </c>
      <c r="L283" s="532">
        <f t="shared" si="23"/>
        <v>0</v>
      </c>
      <c r="M283" s="532">
        <f t="shared" si="24"/>
        <v>0</v>
      </c>
      <c r="N283" s="532">
        <f t="shared" si="26"/>
        <v>0</v>
      </c>
    </row>
    <row r="284" spans="1:14">
      <c r="A284" s="3" t="str">
        <f t="shared" si="25"/>
        <v>1142</v>
      </c>
      <c r="B284" s="527" t="s">
        <v>21</v>
      </c>
      <c r="C284" s="134">
        <v>114</v>
      </c>
      <c r="D284" s="528" t="s">
        <v>22</v>
      </c>
      <c r="E284" s="533" t="s">
        <v>197</v>
      </c>
      <c r="F284" s="527" t="s">
        <v>1212</v>
      </c>
      <c r="G284" s="527" t="s">
        <v>1229</v>
      </c>
      <c r="H284" s="529">
        <v>2</v>
      </c>
      <c r="I284" s="530">
        <v>2</v>
      </c>
      <c r="J284" s="630" t="s">
        <v>1161</v>
      </c>
      <c r="K284" s="531"/>
      <c r="L284" s="532">
        <f t="shared" si="23"/>
        <v>0</v>
      </c>
      <c r="M284" s="532">
        <f t="shared" si="24"/>
        <v>0</v>
      </c>
      <c r="N284" s="532">
        <f t="shared" si="26"/>
        <v>0</v>
      </c>
    </row>
    <row r="285" spans="1:14">
      <c r="A285" s="3" t="str">
        <f t="shared" si="25"/>
        <v>1142</v>
      </c>
      <c r="B285" s="527" t="s">
        <v>21</v>
      </c>
      <c r="C285" s="134">
        <v>114</v>
      </c>
      <c r="D285" s="528" t="s">
        <v>22</v>
      </c>
      <c r="E285" s="533" t="s">
        <v>197</v>
      </c>
      <c r="F285" s="527" t="s">
        <v>1215</v>
      </c>
      <c r="G285" s="527" t="s">
        <v>1229</v>
      </c>
      <c r="H285" s="529">
        <v>2</v>
      </c>
      <c r="I285" s="530">
        <v>2</v>
      </c>
      <c r="J285" s="630" t="s">
        <v>1164</v>
      </c>
      <c r="K285" s="531"/>
      <c r="L285" s="532">
        <f t="shared" si="23"/>
        <v>0</v>
      </c>
      <c r="M285" s="532">
        <f t="shared" si="24"/>
        <v>0</v>
      </c>
      <c r="N285" s="532">
        <f t="shared" si="26"/>
        <v>0</v>
      </c>
    </row>
    <row r="286" spans="1:14">
      <c r="A286" s="3" t="str">
        <f t="shared" si="25"/>
        <v>1142</v>
      </c>
      <c r="B286" s="527" t="s">
        <v>21</v>
      </c>
      <c r="C286" s="134">
        <v>114</v>
      </c>
      <c r="D286" s="528" t="s">
        <v>22</v>
      </c>
      <c r="E286" s="533" t="s">
        <v>63</v>
      </c>
      <c r="F286" s="527" t="s">
        <v>1160</v>
      </c>
      <c r="G286" s="527" t="s">
        <v>1243</v>
      </c>
      <c r="H286" s="529">
        <v>2</v>
      </c>
      <c r="I286" s="530">
        <f>(3.85+2.9+9.5*2)*3.9</f>
        <v>100.425</v>
      </c>
      <c r="J286" s="630" t="s">
        <v>1164</v>
      </c>
      <c r="K286" s="531"/>
      <c r="L286" s="532">
        <f t="shared" si="23"/>
        <v>0</v>
      </c>
      <c r="M286" s="532">
        <f t="shared" si="24"/>
        <v>0</v>
      </c>
      <c r="N286" s="532">
        <f t="shared" si="26"/>
        <v>0</v>
      </c>
    </row>
    <row r="287" spans="1:14">
      <c r="A287" s="3" t="str">
        <f t="shared" si="25"/>
        <v>1142</v>
      </c>
      <c r="B287" s="527" t="s">
        <v>21</v>
      </c>
      <c r="C287" s="134">
        <v>114</v>
      </c>
      <c r="D287" s="528" t="s">
        <v>22</v>
      </c>
      <c r="E287" s="533" t="s">
        <v>63</v>
      </c>
      <c r="F287" s="527" t="s">
        <v>1163</v>
      </c>
      <c r="G287" s="527" t="s">
        <v>1243</v>
      </c>
      <c r="H287" s="529">
        <v>2</v>
      </c>
      <c r="I287" s="530">
        <f>(3.85+2.9+9.5*2)*3.9</f>
        <v>100.425</v>
      </c>
      <c r="J287" s="630" t="s">
        <v>1164</v>
      </c>
      <c r="K287" s="531"/>
      <c r="L287" s="532">
        <f t="shared" si="23"/>
        <v>0</v>
      </c>
      <c r="M287" s="532">
        <f t="shared" si="24"/>
        <v>0</v>
      </c>
      <c r="N287" s="532">
        <f t="shared" si="26"/>
        <v>0</v>
      </c>
    </row>
    <row r="288" spans="1:14">
      <c r="A288" s="3" t="str">
        <f t="shared" si="25"/>
        <v>1142</v>
      </c>
      <c r="B288" s="527" t="s">
        <v>21</v>
      </c>
      <c r="C288" s="134">
        <v>114</v>
      </c>
      <c r="D288" s="528" t="s">
        <v>22</v>
      </c>
      <c r="E288" s="533" t="s">
        <v>63</v>
      </c>
      <c r="F288" s="527" t="s">
        <v>1160</v>
      </c>
      <c r="G288" s="527" t="s">
        <v>1244</v>
      </c>
      <c r="H288" s="529">
        <v>2</v>
      </c>
      <c r="I288" s="530">
        <f>6.6*4.4</f>
        <v>29.04</v>
      </c>
      <c r="J288" s="630" t="s">
        <v>1164</v>
      </c>
      <c r="K288" s="531"/>
      <c r="L288" s="532">
        <f t="shared" si="23"/>
        <v>0</v>
      </c>
      <c r="M288" s="532">
        <f t="shared" si="24"/>
        <v>0</v>
      </c>
      <c r="N288" s="532">
        <f t="shared" si="26"/>
        <v>0</v>
      </c>
    </row>
    <row r="289" spans="1:14">
      <c r="A289" s="3" t="str">
        <f t="shared" si="25"/>
        <v>1142</v>
      </c>
      <c r="B289" s="527" t="s">
        <v>21</v>
      </c>
      <c r="C289" s="134">
        <v>114</v>
      </c>
      <c r="D289" s="528" t="s">
        <v>22</v>
      </c>
      <c r="E289" s="533" t="s">
        <v>63</v>
      </c>
      <c r="F289" s="527" t="s">
        <v>1163</v>
      </c>
      <c r="G289" s="527" t="s">
        <v>1244</v>
      </c>
      <c r="H289" s="529">
        <v>2</v>
      </c>
      <c r="I289" s="530">
        <f>6.6*4.4</f>
        <v>29.04</v>
      </c>
      <c r="J289" s="630" t="s">
        <v>1164</v>
      </c>
      <c r="K289" s="531"/>
      <c r="L289" s="532">
        <f t="shared" si="23"/>
        <v>0</v>
      </c>
      <c r="M289" s="532">
        <f t="shared" si="24"/>
        <v>0</v>
      </c>
      <c r="N289" s="532">
        <f t="shared" si="26"/>
        <v>0</v>
      </c>
    </row>
    <row r="290" spans="1:14">
      <c r="A290" s="3" t="str">
        <f t="shared" si="25"/>
        <v>1142</v>
      </c>
      <c r="B290" s="527" t="s">
        <v>21</v>
      </c>
      <c r="C290" s="134">
        <v>114</v>
      </c>
      <c r="D290" s="528" t="s">
        <v>22</v>
      </c>
      <c r="E290" s="533" t="s">
        <v>63</v>
      </c>
      <c r="F290" s="527" t="s">
        <v>1160</v>
      </c>
      <c r="G290" s="527" t="s">
        <v>1245</v>
      </c>
      <c r="H290" s="529">
        <v>2</v>
      </c>
      <c r="I290" s="530">
        <f>6.6*2.85</f>
        <v>18.809999999999999</v>
      </c>
      <c r="J290" s="630" t="s">
        <v>1164</v>
      </c>
      <c r="K290" s="531"/>
      <c r="L290" s="532">
        <f t="shared" si="23"/>
        <v>0</v>
      </c>
      <c r="M290" s="532">
        <f t="shared" si="24"/>
        <v>0</v>
      </c>
      <c r="N290" s="532">
        <f t="shared" si="26"/>
        <v>0</v>
      </c>
    </row>
    <row r="291" spans="1:14">
      <c r="A291" s="3" t="str">
        <f t="shared" si="25"/>
        <v>1142</v>
      </c>
      <c r="B291" s="527" t="s">
        <v>21</v>
      </c>
      <c r="C291" s="134">
        <v>114</v>
      </c>
      <c r="D291" s="528" t="s">
        <v>22</v>
      </c>
      <c r="E291" s="533" t="s">
        <v>63</v>
      </c>
      <c r="F291" s="527" t="s">
        <v>1163</v>
      </c>
      <c r="G291" s="527" t="s">
        <v>1245</v>
      </c>
      <c r="H291" s="529">
        <v>2</v>
      </c>
      <c r="I291" s="530">
        <f>6.6*2.85</f>
        <v>18.809999999999999</v>
      </c>
      <c r="J291" s="630" t="s">
        <v>1164</v>
      </c>
      <c r="K291" s="531"/>
      <c r="L291" s="532">
        <f t="shared" si="23"/>
        <v>0</v>
      </c>
      <c r="M291" s="532">
        <f t="shared" si="24"/>
        <v>0</v>
      </c>
      <c r="N291" s="532">
        <f t="shared" si="26"/>
        <v>0</v>
      </c>
    </row>
    <row r="292" spans="1:14">
      <c r="A292" s="3" t="str">
        <f t="shared" si="25"/>
        <v>1142</v>
      </c>
      <c r="B292" s="527" t="s">
        <v>21</v>
      </c>
      <c r="C292" s="134">
        <v>114</v>
      </c>
      <c r="D292" s="528" t="s">
        <v>22</v>
      </c>
      <c r="E292" s="533" t="s">
        <v>63</v>
      </c>
      <c r="F292" s="527" t="s">
        <v>1221</v>
      </c>
      <c r="G292" s="527" t="s">
        <v>1224</v>
      </c>
      <c r="H292" s="529">
        <v>2</v>
      </c>
      <c r="I292" s="530">
        <f>6.6*3.6</f>
        <v>23.759999999999998</v>
      </c>
      <c r="J292" s="630" t="s">
        <v>1164</v>
      </c>
      <c r="K292" s="531" t="s">
        <v>1223</v>
      </c>
      <c r="L292" s="532">
        <f t="shared" si="23"/>
        <v>0</v>
      </c>
      <c r="M292" s="532">
        <f t="shared" si="24"/>
        <v>0</v>
      </c>
      <c r="N292" s="532">
        <f t="shared" si="26"/>
        <v>0</v>
      </c>
    </row>
    <row r="293" spans="1:14">
      <c r="A293" s="3" t="str">
        <f t="shared" si="25"/>
        <v>1142</v>
      </c>
      <c r="B293" s="527" t="s">
        <v>21</v>
      </c>
      <c r="C293" s="134">
        <v>114</v>
      </c>
      <c r="D293" s="528" t="s">
        <v>22</v>
      </c>
      <c r="E293" s="533" t="s">
        <v>63</v>
      </c>
      <c r="F293" s="527" t="s">
        <v>1160</v>
      </c>
      <c r="G293" s="527" t="s">
        <v>1246</v>
      </c>
      <c r="H293" s="529">
        <v>2</v>
      </c>
      <c r="I293" s="530">
        <f>+(2*1.85+1*1.3)*2</f>
        <v>10</v>
      </c>
      <c r="J293" s="630" t="s">
        <v>1164</v>
      </c>
      <c r="K293" s="531"/>
      <c r="L293" s="532">
        <f t="shared" si="23"/>
        <v>0</v>
      </c>
      <c r="M293" s="532">
        <f t="shared" si="24"/>
        <v>0</v>
      </c>
      <c r="N293" s="532">
        <f t="shared" si="26"/>
        <v>0</v>
      </c>
    </row>
    <row r="294" spans="1:14">
      <c r="A294" s="3" t="str">
        <f t="shared" si="25"/>
        <v>1142</v>
      </c>
      <c r="B294" s="527" t="s">
        <v>21</v>
      </c>
      <c r="C294" s="134">
        <v>114</v>
      </c>
      <c r="D294" s="528" t="s">
        <v>22</v>
      </c>
      <c r="E294" s="533" t="s">
        <v>63</v>
      </c>
      <c r="F294" s="527" t="s">
        <v>1163</v>
      </c>
      <c r="G294" s="527" t="s">
        <v>1246</v>
      </c>
      <c r="H294" s="529">
        <v>2</v>
      </c>
      <c r="I294" s="530">
        <f>+(2*1.85+1*1.3)*2</f>
        <v>10</v>
      </c>
      <c r="J294" s="630" t="s">
        <v>1164</v>
      </c>
      <c r="K294" s="531"/>
      <c r="L294" s="532">
        <f t="shared" si="23"/>
        <v>0</v>
      </c>
      <c r="M294" s="532">
        <f t="shared" si="24"/>
        <v>0</v>
      </c>
      <c r="N294" s="532">
        <f t="shared" si="26"/>
        <v>0</v>
      </c>
    </row>
    <row r="295" spans="1:14">
      <c r="A295" s="3" t="str">
        <f t="shared" si="25"/>
        <v>1142</v>
      </c>
      <c r="B295" s="527" t="s">
        <v>21</v>
      </c>
      <c r="C295" s="134">
        <v>114</v>
      </c>
      <c r="D295" s="528" t="s">
        <v>22</v>
      </c>
      <c r="E295" s="533" t="s">
        <v>63</v>
      </c>
      <c r="F295" s="527" t="s">
        <v>1171</v>
      </c>
      <c r="G295" s="527" t="s">
        <v>1247</v>
      </c>
      <c r="H295" s="529">
        <v>2</v>
      </c>
      <c r="I295" s="530">
        <f>+(1.35+0.65)*10</f>
        <v>20</v>
      </c>
      <c r="J295" s="630" t="s">
        <v>1164</v>
      </c>
      <c r="K295" s="531" t="s">
        <v>1228</v>
      </c>
      <c r="L295" s="532">
        <f t="shared" si="23"/>
        <v>0</v>
      </c>
      <c r="M295" s="532">
        <f t="shared" si="24"/>
        <v>0</v>
      </c>
      <c r="N295" s="532">
        <f t="shared" si="26"/>
        <v>0</v>
      </c>
    </row>
    <row r="296" spans="1:14">
      <c r="A296" s="3" t="str">
        <f t="shared" si="25"/>
        <v>1142</v>
      </c>
      <c r="B296" s="527" t="s">
        <v>21</v>
      </c>
      <c r="C296" s="134">
        <v>114</v>
      </c>
      <c r="D296" s="528" t="s">
        <v>22</v>
      </c>
      <c r="E296" s="533" t="s">
        <v>63</v>
      </c>
      <c r="F296" s="527" t="s">
        <v>1169</v>
      </c>
      <c r="G296" s="527" t="s">
        <v>1247</v>
      </c>
      <c r="H296" s="529">
        <v>2</v>
      </c>
      <c r="I296" s="530">
        <f>+(1.35+0.65)*10</f>
        <v>20</v>
      </c>
      <c r="J296" s="630" t="s">
        <v>1164</v>
      </c>
      <c r="K296" s="531" t="s">
        <v>1228</v>
      </c>
      <c r="L296" s="532">
        <f t="shared" si="23"/>
        <v>0</v>
      </c>
      <c r="M296" s="532">
        <f t="shared" si="24"/>
        <v>0</v>
      </c>
      <c r="N296" s="532">
        <f t="shared" si="26"/>
        <v>0</v>
      </c>
    </row>
    <row r="297" spans="1:14">
      <c r="A297" s="3" t="str">
        <f t="shared" si="25"/>
        <v>1142</v>
      </c>
      <c r="B297" s="527" t="s">
        <v>21</v>
      </c>
      <c r="C297" s="134">
        <v>114</v>
      </c>
      <c r="D297" s="528" t="s">
        <v>22</v>
      </c>
      <c r="E297" s="533" t="s">
        <v>63</v>
      </c>
      <c r="F297" s="527" t="s">
        <v>1172</v>
      </c>
      <c r="G297" s="527" t="s">
        <v>1216</v>
      </c>
      <c r="H297" s="529">
        <v>2</v>
      </c>
      <c r="I297" s="530">
        <v>12.18</v>
      </c>
      <c r="J297" s="630" t="s">
        <v>1161</v>
      </c>
      <c r="K297" s="531"/>
      <c r="L297" s="532">
        <f t="shared" si="23"/>
        <v>0</v>
      </c>
      <c r="M297" s="532">
        <f t="shared" si="24"/>
        <v>0</v>
      </c>
      <c r="N297" s="532">
        <f t="shared" si="26"/>
        <v>0</v>
      </c>
    </row>
    <row r="298" spans="1:14">
      <c r="A298" s="3" t="str">
        <f t="shared" si="25"/>
        <v>1142</v>
      </c>
      <c r="B298" s="527" t="s">
        <v>21</v>
      </c>
      <c r="C298" s="134">
        <v>114</v>
      </c>
      <c r="D298" s="528" t="s">
        <v>22</v>
      </c>
      <c r="E298" s="533" t="s">
        <v>63</v>
      </c>
      <c r="F298" s="527" t="s">
        <v>1174</v>
      </c>
      <c r="G298" s="527" t="s">
        <v>1216</v>
      </c>
      <c r="H298" s="529">
        <v>2</v>
      </c>
      <c r="I298" s="530">
        <v>12.18</v>
      </c>
      <c r="J298" s="630" t="s">
        <v>1164</v>
      </c>
      <c r="K298" s="531"/>
      <c r="L298" s="532">
        <f t="shared" si="23"/>
        <v>0</v>
      </c>
      <c r="M298" s="532">
        <f t="shared" si="24"/>
        <v>0</v>
      </c>
      <c r="N298" s="532">
        <f t="shared" si="26"/>
        <v>0</v>
      </c>
    </row>
    <row r="299" spans="1:14">
      <c r="A299" s="3" t="str">
        <f t="shared" si="25"/>
        <v>1142</v>
      </c>
      <c r="B299" s="527" t="s">
        <v>21</v>
      </c>
      <c r="C299" s="134">
        <v>114</v>
      </c>
      <c r="D299" s="528" t="s">
        <v>22</v>
      </c>
      <c r="E299" s="533" t="s">
        <v>63</v>
      </c>
      <c r="F299" s="527" t="s">
        <v>1175</v>
      </c>
      <c r="G299" s="527" t="s">
        <v>1217</v>
      </c>
      <c r="H299" s="529">
        <v>2</v>
      </c>
      <c r="I299" s="530">
        <v>1.92</v>
      </c>
      <c r="J299" s="630" t="s">
        <v>1161</v>
      </c>
      <c r="K299" s="531"/>
      <c r="L299" s="532">
        <f t="shared" si="23"/>
        <v>0</v>
      </c>
      <c r="M299" s="532">
        <f t="shared" si="24"/>
        <v>0</v>
      </c>
      <c r="N299" s="532">
        <f t="shared" si="26"/>
        <v>0</v>
      </c>
    </row>
    <row r="300" spans="1:14">
      <c r="A300" s="3" t="str">
        <f t="shared" si="25"/>
        <v>1142</v>
      </c>
      <c r="B300" s="527" t="s">
        <v>21</v>
      </c>
      <c r="C300" s="134">
        <v>114</v>
      </c>
      <c r="D300" s="528" t="s">
        <v>22</v>
      </c>
      <c r="E300" s="533" t="s">
        <v>63</v>
      </c>
      <c r="F300" s="527" t="s">
        <v>1177</v>
      </c>
      <c r="G300" s="527" t="s">
        <v>1217</v>
      </c>
      <c r="H300" s="529">
        <v>2</v>
      </c>
      <c r="I300" s="530">
        <v>1.92</v>
      </c>
      <c r="J300" s="630" t="s">
        <v>1161</v>
      </c>
      <c r="K300" s="531"/>
      <c r="L300" s="532">
        <f t="shared" si="23"/>
        <v>0</v>
      </c>
      <c r="M300" s="532">
        <f t="shared" si="24"/>
        <v>0</v>
      </c>
      <c r="N300" s="532">
        <f t="shared" si="26"/>
        <v>0</v>
      </c>
    </row>
    <row r="301" spans="1:14">
      <c r="A301" s="3" t="str">
        <f t="shared" si="25"/>
        <v>1142</v>
      </c>
      <c r="B301" s="527" t="s">
        <v>21</v>
      </c>
      <c r="C301" s="134">
        <v>114</v>
      </c>
      <c r="D301" s="528" t="s">
        <v>22</v>
      </c>
      <c r="E301" s="533" t="s">
        <v>223</v>
      </c>
      <c r="F301" s="527" t="s">
        <v>1171</v>
      </c>
      <c r="G301" s="527" t="s">
        <v>1248</v>
      </c>
      <c r="H301" s="529">
        <v>2</v>
      </c>
      <c r="I301" s="530">
        <f>+(19+7.5+17)*2.7</f>
        <v>117.45</v>
      </c>
      <c r="J301" s="630" t="s">
        <v>1164</v>
      </c>
      <c r="K301" s="531"/>
      <c r="L301" s="532">
        <f t="shared" si="23"/>
        <v>0</v>
      </c>
      <c r="M301" s="532">
        <f t="shared" si="24"/>
        <v>0</v>
      </c>
      <c r="N301" s="532">
        <f t="shared" si="26"/>
        <v>0</v>
      </c>
    </row>
    <row r="302" spans="1:14">
      <c r="A302" s="3" t="str">
        <f t="shared" si="25"/>
        <v>1142</v>
      </c>
      <c r="B302" s="527" t="s">
        <v>21</v>
      </c>
      <c r="C302" s="134">
        <v>114</v>
      </c>
      <c r="D302" s="528" t="s">
        <v>22</v>
      </c>
      <c r="E302" s="533" t="s">
        <v>223</v>
      </c>
      <c r="F302" s="527" t="s">
        <v>1169</v>
      </c>
      <c r="G302" s="527" t="s">
        <v>1248</v>
      </c>
      <c r="H302" s="529">
        <v>2</v>
      </c>
      <c r="I302" s="530">
        <f>+(19+7.5+17)*2.7</f>
        <v>117.45</v>
      </c>
      <c r="J302" s="630" t="s">
        <v>1164</v>
      </c>
      <c r="K302" s="531"/>
      <c r="L302" s="532">
        <f t="shared" si="23"/>
        <v>0</v>
      </c>
      <c r="M302" s="532">
        <f t="shared" si="24"/>
        <v>0</v>
      </c>
      <c r="N302" s="532">
        <f t="shared" si="26"/>
        <v>0</v>
      </c>
    </row>
    <row r="303" spans="1:14">
      <c r="A303" s="3" t="str">
        <f t="shared" ref="A303:A334" si="27">CONCATENATE(C303,H303)</f>
        <v>11412</v>
      </c>
      <c r="B303" s="527" t="s">
        <v>21</v>
      </c>
      <c r="C303" s="134">
        <v>114</v>
      </c>
      <c r="D303" s="528" t="s">
        <v>22</v>
      </c>
      <c r="E303" s="533" t="s">
        <v>223</v>
      </c>
      <c r="F303" s="527" t="s">
        <v>1162</v>
      </c>
      <c r="G303" s="527" t="s">
        <v>1249</v>
      </c>
      <c r="H303" s="529">
        <v>12</v>
      </c>
      <c r="I303" s="530">
        <f>13.5*2</f>
        <v>27</v>
      </c>
      <c r="J303" s="630" t="s">
        <v>1161</v>
      </c>
      <c r="K303" s="531"/>
      <c r="L303" s="532">
        <f t="shared" si="23"/>
        <v>0</v>
      </c>
      <c r="M303" s="532">
        <f t="shared" si="24"/>
        <v>0</v>
      </c>
      <c r="N303" s="532">
        <f t="shared" si="26"/>
        <v>0</v>
      </c>
    </row>
    <row r="304" spans="1:14">
      <c r="A304" s="3" t="str">
        <f t="shared" si="27"/>
        <v>1142</v>
      </c>
      <c r="B304" s="527" t="s">
        <v>21</v>
      </c>
      <c r="C304" s="134">
        <v>114</v>
      </c>
      <c r="D304" s="528" t="s">
        <v>22</v>
      </c>
      <c r="E304" s="533" t="s">
        <v>223</v>
      </c>
      <c r="F304" s="527" t="s">
        <v>1160</v>
      </c>
      <c r="G304" s="527" t="s">
        <v>1250</v>
      </c>
      <c r="H304" s="529">
        <v>2</v>
      </c>
      <c r="I304" s="530">
        <f>22.2*3.85</f>
        <v>85.47</v>
      </c>
      <c r="J304" s="630" t="s">
        <v>1164</v>
      </c>
      <c r="K304" s="531"/>
      <c r="L304" s="532">
        <f t="shared" si="23"/>
        <v>0</v>
      </c>
      <c r="M304" s="532">
        <f t="shared" si="24"/>
        <v>0</v>
      </c>
      <c r="N304" s="532">
        <f t="shared" si="26"/>
        <v>0</v>
      </c>
    </row>
    <row r="305" spans="1:14">
      <c r="A305" s="3" t="str">
        <f t="shared" si="27"/>
        <v>1142</v>
      </c>
      <c r="B305" s="527" t="s">
        <v>21</v>
      </c>
      <c r="C305" s="134">
        <v>114</v>
      </c>
      <c r="D305" s="528" t="s">
        <v>22</v>
      </c>
      <c r="E305" s="533" t="s">
        <v>223</v>
      </c>
      <c r="F305" s="527" t="s">
        <v>1163</v>
      </c>
      <c r="G305" s="527" t="s">
        <v>1250</v>
      </c>
      <c r="H305" s="529">
        <v>2</v>
      </c>
      <c r="I305" s="530">
        <f>22.2*3.85</f>
        <v>85.47</v>
      </c>
      <c r="J305" s="630" t="s">
        <v>1164</v>
      </c>
      <c r="K305" s="531"/>
      <c r="L305" s="532">
        <f t="shared" si="23"/>
        <v>0</v>
      </c>
      <c r="M305" s="532">
        <f t="shared" si="24"/>
        <v>0</v>
      </c>
      <c r="N305" s="532">
        <f t="shared" si="26"/>
        <v>0</v>
      </c>
    </row>
    <row r="306" spans="1:14">
      <c r="A306" s="3" t="str">
        <f t="shared" si="27"/>
        <v>1142</v>
      </c>
      <c r="B306" s="527" t="s">
        <v>21</v>
      </c>
      <c r="C306" s="134">
        <v>114</v>
      </c>
      <c r="D306" s="528" t="s">
        <v>22</v>
      </c>
      <c r="E306" s="533" t="s">
        <v>223</v>
      </c>
      <c r="F306" s="527" t="s">
        <v>1160</v>
      </c>
      <c r="G306" s="527" t="s">
        <v>1251</v>
      </c>
      <c r="H306" s="529">
        <v>2</v>
      </c>
      <c r="I306" s="530">
        <f>22.2*3.85</f>
        <v>85.47</v>
      </c>
      <c r="J306" s="630" t="s">
        <v>1164</v>
      </c>
      <c r="K306" s="531"/>
      <c r="L306" s="532">
        <f t="shared" si="23"/>
        <v>0</v>
      </c>
      <c r="M306" s="532">
        <f t="shared" si="24"/>
        <v>0</v>
      </c>
      <c r="N306" s="532">
        <f t="shared" si="26"/>
        <v>0</v>
      </c>
    </row>
    <row r="307" spans="1:14">
      <c r="A307" s="3" t="str">
        <f t="shared" si="27"/>
        <v>1142</v>
      </c>
      <c r="B307" s="527" t="s">
        <v>21</v>
      </c>
      <c r="C307" s="134">
        <v>114</v>
      </c>
      <c r="D307" s="528" t="s">
        <v>22</v>
      </c>
      <c r="E307" s="533" t="s">
        <v>223</v>
      </c>
      <c r="F307" s="527" t="s">
        <v>1163</v>
      </c>
      <c r="G307" s="527" t="s">
        <v>1251</v>
      </c>
      <c r="H307" s="529">
        <v>2</v>
      </c>
      <c r="I307" s="530">
        <f>17.65*3.85</f>
        <v>67.952500000000001</v>
      </c>
      <c r="J307" s="630" t="s">
        <v>1164</v>
      </c>
      <c r="K307" s="531"/>
      <c r="L307" s="532">
        <f t="shared" si="23"/>
        <v>0</v>
      </c>
      <c r="M307" s="532">
        <f t="shared" si="24"/>
        <v>0</v>
      </c>
      <c r="N307" s="532">
        <f t="shared" si="26"/>
        <v>0</v>
      </c>
    </row>
    <row r="308" spans="1:14">
      <c r="A308" s="3" t="str">
        <f t="shared" si="27"/>
        <v>1142</v>
      </c>
      <c r="B308" s="527" t="s">
        <v>21</v>
      </c>
      <c r="C308" s="134">
        <v>114</v>
      </c>
      <c r="D308" s="528" t="s">
        <v>22</v>
      </c>
      <c r="E308" s="533" t="s">
        <v>223</v>
      </c>
      <c r="F308" s="527" t="s">
        <v>1163</v>
      </c>
      <c r="G308" s="527" t="s">
        <v>1252</v>
      </c>
      <c r="H308" s="529">
        <v>2</v>
      </c>
      <c r="I308" s="530">
        <f>(22.2-17.65-2.2)*3.85</f>
        <v>9.047500000000003</v>
      </c>
      <c r="J308" s="630" t="s">
        <v>1161</v>
      </c>
      <c r="K308" s="531"/>
      <c r="L308" s="532">
        <f t="shared" si="23"/>
        <v>0</v>
      </c>
      <c r="M308" s="532">
        <f t="shared" si="24"/>
        <v>0</v>
      </c>
      <c r="N308" s="532">
        <f t="shared" si="26"/>
        <v>0</v>
      </c>
    </row>
    <row r="309" spans="1:14">
      <c r="A309" s="3" t="str">
        <f t="shared" si="27"/>
        <v>1142</v>
      </c>
      <c r="B309" s="527" t="s">
        <v>21</v>
      </c>
      <c r="C309" s="134">
        <v>114</v>
      </c>
      <c r="D309" s="528" t="s">
        <v>22</v>
      </c>
      <c r="E309" s="533" t="s">
        <v>223</v>
      </c>
      <c r="F309" s="527" t="s">
        <v>1172</v>
      </c>
      <c r="G309" s="527" t="s">
        <v>1253</v>
      </c>
      <c r="H309" s="529">
        <v>2</v>
      </c>
      <c r="I309" s="530">
        <f>2.2*3.85</f>
        <v>8.4700000000000006</v>
      </c>
      <c r="J309" s="630" t="s">
        <v>1161</v>
      </c>
      <c r="K309" s="531"/>
      <c r="L309" s="532">
        <f t="shared" si="23"/>
        <v>0</v>
      </c>
      <c r="M309" s="532">
        <f t="shared" si="24"/>
        <v>0</v>
      </c>
      <c r="N309" s="532">
        <f t="shared" si="26"/>
        <v>0</v>
      </c>
    </row>
    <row r="310" spans="1:14">
      <c r="A310" s="3" t="str">
        <f t="shared" si="27"/>
        <v>1142</v>
      </c>
      <c r="B310" s="527" t="s">
        <v>21</v>
      </c>
      <c r="C310" s="134">
        <v>114</v>
      </c>
      <c r="D310" s="528" t="s">
        <v>22</v>
      </c>
      <c r="E310" s="533" t="s">
        <v>223</v>
      </c>
      <c r="F310" s="527" t="s">
        <v>1172</v>
      </c>
      <c r="G310" s="527" t="s">
        <v>1254</v>
      </c>
      <c r="H310" s="529">
        <v>2</v>
      </c>
      <c r="I310" s="530">
        <f>3*9.9+2.1*11+2.2*3.85</f>
        <v>61.27</v>
      </c>
      <c r="J310" s="630" t="s">
        <v>1161</v>
      </c>
      <c r="K310" s="531"/>
      <c r="L310" s="532">
        <f t="shared" si="23"/>
        <v>0</v>
      </c>
      <c r="M310" s="532">
        <f t="shared" si="24"/>
        <v>0</v>
      </c>
      <c r="N310" s="532">
        <f t="shared" si="26"/>
        <v>0</v>
      </c>
    </row>
    <row r="311" spans="1:14">
      <c r="A311" s="3" t="str">
        <f t="shared" si="27"/>
        <v>1142</v>
      </c>
      <c r="B311" s="527" t="s">
        <v>21</v>
      </c>
      <c r="C311" s="134">
        <v>114</v>
      </c>
      <c r="D311" s="528" t="s">
        <v>22</v>
      </c>
      <c r="E311" s="533" t="s">
        <v>223</v>
      </c>
      <c r="F311" s="527" t="s">
        <v>1175</v>
      </c>
      <c r="G311" s="527" t="s">
        <v>1238</v>
      </c>
      <c r="H311" s="529">
        <v>2</v>
      </c>
      <c r="I311" s="530">
        <f>2*1.15*2.3+2*2.15*2.3</f>
        <v>15.179999999999998</v>
      </c>
      <c r="J311" s="630" t="s">
        <v>1161</v>
      </c>
      <c r="K311" s="531"/>
      <c r="L311" s="532">
        <f t="shared" si="23"/>
        <v>0</v>
      </c>
      <c r="M311" s="532">
        <f t="shared" si="24"/>
        <v>0</v>
      </c>
      <c r="N311" s="532">
        <f t="shared" si="26"/>
        <v>0</v>
      </c>
    </row>
    <row r="312" spans="1:14">
      <c r="A312" s="3" t="str">
        <f t="shared" si="27"/>
        <v>1142</v>
      </c>
      <c r="B312" s="527" t="s">
        <v>21</v>
      </c>
      <c r="C312" s="134">
        <v>114</v>
      </c>
      <c r="D312" s="528" t="s">
        <v>22</v>
      </c>
      <c r="E312" s="533" t="s">
        <v>223</v>
      </c>
      <c r="F312" s="527" t="s">
        <v>1177</v>
      </c>
      <c r="G312" s="527" t="s">
        <v>1238</v>
      </c>
      <c r="H312" s="529">
        <v>2</v>
      </c>
      <c r="I312" s="530">
        <f>2*1.15*2.3+2*2.15*2.3</f>
        <v>15.179999999999998</v>
      </c>
      <c r="J312" s="630" t="s">
        <v>1161</v>
      </c>
      <c r="K312" s="531"/>
      <c r="L312" s="532">
        <f t="shared" si="23"/>
        <v>0</v>
      </c>
      <c r="M312" s="532">
        <f t="shared" si="24"/>
        <v>0</v>
      </c>
      <c r="N312" s="532">
        <f t="shared" si="26"/>
        <v>0</v>
      </c>
    </row>
    <row r="313" spans="1:14">
      <c r="A313" s="3" t="str">
        <f t="shared" si="27"/>
        <v>1142</v>
      </c>
      <c r="B313" s="527" t="s">
        <v>21</v>
      </c>
      <c r="C313" s="134">
        <v>114</v>
      </c>
      <c r="D313" s="528" t="s">
        <v>22</v>
      </c>
      <c r="E313" s="533" t="s">
        <v>223</v>
      </c>
      <c r="F313" s="527" t="s">
        <v>1160</v>
      </c>
      <c r="G313" s="527" t="s">
        <v>1255</v>
      </c>
      <c r="H313" s="529">
        <v>2</v>
      </c>
      <c r="I313" s="530">
        <f>5.85*4.1+3*1.15*2</f>
        <v>30.884999999999994</v>
      </c>
      <c r="J313" s="630" t="s">
        <v>1161</v>
      </c>
      <c r="K313" s="531"/>
      <c r="L313" s="532">
        <f t="shared" si="23"/>
        <v>0</v>
      </c>
      <c r="M313" s="532">
        <f t="shared" si="24"/>
        <v>0</v>
      </c>
      <c r="N313" s="532">
        <f t="shared" si="26"/>
        <v>0</v>
      </c>
    </row>
    <row r="314" spans="1:14">
      <c r="A314" s="3" t="str">
        <f t="shared" si="27"/>
        <v>1142</v>
      </c>
      <c r="B314" s="527" t="s">
        <v>21</v>
      </c>
      <c r="C314" s="134">
        <v>114</v>
      </c>
      <c r="D314" s="528" t="s">
        <v>22</v>
      </c>
      <c r="E314" s="533" t="s">
        <v>223</v>
      </c>
      <c r="F314" s="527" t="s">
        <v>1163</v>
      </c>
      <c r="G314" s="527" t="s">
        <v>1255</v>
      </c>
      <c r="H314" s="529">
        <v>2</v>
      </c>
      <c r="I314" s="530">
        <f>5.85*4.1+3*1.15*2</f>
        <v>30.884999999999994</v>
      </c>
      <c r="J314" s="630" t="s">
        <v>1161</v>
      </c>
      <c r="K314" s="531"/>
      <c r="L314" s="532">
        <f t="shared" si="23"/>
        <v>0</v>
      </c>
      <c r="M314" s="532">
        <f t="shared" si="24"/>
        <v>0</v>
      </c>
      <c r="N314" s="532">
        <f t="shared" si="26"/>
        <v>0</v>
      </c>
    </row>
    <row r="315" spans="1:14">
      <c r="A315" s="3" t="str">
        <f t="shared" si="27"/>
        <v>1142</v>
      </c>
      <c r="B315" s="527" t="s">
        <v>21</v>
      </c>
      <c r="C315" s="134">
        <v>114</v>
      </c>
      <c r="D315" s="528" t="s">
        <v>22</v>
      </c>
      <c r="E315" s="533" t="s">
        <v>223</v>
      </c>
      <c r="F315" s="527" t="s">
        <v>1165</v>
      </c>
      <c r="G315" s="527" t="s">
        <v>1256</v>
      </c>
      <c r="H315" s="529">
        <v>2</v>
      </c>
      <c r="I315" s="530">
        <f>5.3*4.1+10.1*4.1*2+1.1*4.1*2</f>
        <v>113.56999999999998</v>
      </c>
      <c r="J315" s="630" t="s">
        <v>1161</v>
      </c>
      <c r="K315" s="531" t="s">
        <v>1223</v>
      </c>
      <c r="L315" s="532">
        <f t="shared" si="23"/>
        <v>0</v>
      </c>
      <c r="M315" s="532">
        <f t="shared" si="24"/>
        <v>0</v>
      </c>
      <c r="N315" s="532">
        <f t="shared" si="26"/>
        <v>0</v>
      </c>
    </row>
    <row r="316" spans="1:14">
      <c r="A316" s="3" t="str">
        <f t="shared" si="27"/>
        <v>1142</v>
      </c>
      <c r="B316" s="527" t="s">
        <v>21</v>
      </c>
      <c r="C316" s="134">
        <v>114</v>
      </c>
      <c r="D316" s="528" t="s">
        <v>22</v>
      </c>
      <c r="E316" s="533" t="s">
        <v>188</v>
      </c>
      <c r="F316" s="527" t="s">
        <v>1160</v>
      </c>
      <c r="G316" s="527" t="s">
        <v>1257</v>
      </c>
      <c r="H316" s="529">
        <v>2</v>
      </c>
      <c r="I316" s="530">
        <f>5.3*4.1</f>
        <v>21.729999999999997</v>
      </c>
      <c r="J316" s="630" t="s">
        <v>1161</v>
      </c>
      <c r="K316" s="531"/>
      <c r="L316" s="532">
        <f t="shared" si="23"/>
        <v>0</v>
      </c>
      <c r="M316" s="532">
        <f t="shared" si="24"/>
        <v>0</v>
      </c>
      <c r="N316" s="532">
        <f t="shared" si="26"/>
        <v>0</v>
      </c>
    </row>
    <row r="317" spans="1:14">
      <c r="A317" s="3" t="str">
        <f t="shared" si="27"/>
        <v>1142</v>
      </c>
      <c r="B317" s="527" t="s">
        <v>21</v>
      </c>
      <c r="C317" s="134">
        <v>114</v>
      </c>
      <c r="D317" s="528" t="s">
        <v>22</v>
      </c>
      <c r="E317" s="533" t="s">
        <v>188</v>
      </c>
      <c r="F317" s="527" t="s">
        <v>1163</v>
      </c>
      <c r="G317" s="527" t="s">
        <v>1257</v>
      </c>
      <c r="H317" s="529">
        <v>2</v>
      </c>
      <c r="I317" s="530">
        <f>5.3*3</f>
        <v>15.899999999999999</v>
      </c>
      <c r="J317" s="630" t="s">
        <v>1161</v>
      </c>
      <c r="K317" s="531"/>
      <c r="L317" s="532">
        <f t="shared" si="23"/>
        <v>0</v>
      </c>
      <c r="M317" s="532">
        <f t="shared" si="24"/>
        <v>0</v>
      </c>
      <c r="N317" s="532">
        <f t="shared" si="26"/>
        <v>0</v>
      </c>
    </row>
    <row r="318" spans="1:14">
      <c r="A318" s="3" t="str">
        <f t="shared" si="27"/>
        <v>1142</v>
      </c>
      <c r="B318" s="527" t="s">
        <v>21</v>
      </c>
      <c r="C318" s="134">
        <v>114</v>
      </c>
      <c r="D318" s="528" t="s">
        <v>22</v>
      </c>
      <c r="E318" s="533" t="s">
        <v>16</v>
      </c>
      <c r="F318" s="527" t="s">
        <v>1163</v>
      </c>
      <c r="G318" s="527" t="s">
        <v>1258</v>
      </c>
      <c r="H318" s="529">
        <v>2</v>
      </c>
      <c r="I318" s="530">
        <f>2*2*2.5</f>
        <v>10</v>
      </c>
      <c r="J318" s="630" t="s">
        <v>1164</v>
      </c>
      <c r="K318" s="531" t="s">
        <v>1223</v>
      </c>
      <c r="L318" s="532">
        <f t="shared" si="23"/>
        <v>0</v>
      </c>
      <c r="M318" s="532">
        <f t="shared" si="24"/>
        <v>0</v>
      </c>
      <c r="N318" s="532">
        <f t="shared" si="26"/>
        <v>0</v>
      </c>
    </row>
    <row r="319" spans="1:14">
      <c r="A319" s="3" t="str">
        <f t="shared" si="27"/>
        <v>11426</v>
      </c>
      <c r="B319" s="527" t="s">
        <v>21</v>
      </c>
      <c r="C319" s="134">
        <v>114</v>
      </c>
      <c r="D319" s="528" t="s">
        <v>22</v>
      </c>
      <c r="E319" s="135"/>
      <c r="F319" s="527" t="s">
        <v>1162</v>
      </c>
      <c r="G319" s="527" t="s">
        <v>1308</v>
      </c>
      <c r="H319" s="529">
        <v>26</v>
      </c>
      <c r="I319" s="530">
        <v>18</v>
      </c>
      <c r="J319" s="630" t="s">
        <v>1161</v>
      </c>
      <c r="K319" s="531" t="s">
        <v>1309</v>
      </c>
      <c r="L319" s="532">
        <f t="shared" si="23"/>
        <v>0</v>
      </c>
      <c r="M319" s="532">
        <f t="shared" si="24"/>
        <v>0</v>
      </c>
      <c r="N319" s="532">
        <f t="shared" si="26"/>
        <v>0</v>
      </c>
    </row>
    <row r="320" spans="1:14">
      <c r="A320" s="3" t="str">
        <f t="shared" si="27"/>
        <v>1152</v>
      </c>
      <c r="B320" s="527" t="s">
        <v>73</v>
      </c>
      <c r="C320" s="134">
        <v>115</v>
      </c>
      <c r="D320" s="528" t="s">
        <v>22</v>
      </c>
      <c r="E320" s="533" t="s">
        <v>63</v>
      </c>
      <c r="F320" s="527" t="s">
        <v>1171</v>
      </c>
      <c r="G320" s="527" t="s">
        <v>1259</v>
      </c>
      <c r="H320" s="529">
        <v>2</v>
      </c>
      <c r="I320" s="530">
        <f>+(1.35+0.65)*12</f>
        <v>24</v>
      </c>
      <c r="J320" s="630" t="s">
        <v>1164</v>
      </c>
      <c r="K320" s="531" t="s">
        <v>1228</v>
      </c>
      <c r="L320" s="532">
        <f t="shared" si="23"/>
        <v>0</v>
      </c>
      <c r="M320" s="532">
        <f t="shared" si="24"/>
        <v>0</v>
      </c>
      <c r="N320" s="532">
        <f t="shared" si="26"/>
        <v>0</v>
      </c>
    </row>
    <row r="321" spans="1:14">
      <c r="A321" s="3" t="str">
        <f t="shared" si="27"/>
        <v>1152</v>
      </c>
      <c r="B321" s="527" t="s">
        <v>73</v>
      </c>
      <c r="C321" s="134">
        <v>115</v>
      </c>
      <c r="D321" s="528" t="s">
        <v>22</v>
      </c>
      <c r="E321" s="533" t="s">
        <v>63</v>
      </c>
      <c r="F321" s="527" t="s">
        <v>1169</v>
      </c>
      <c r="G321" s="527" t="s">
        <v>1259</v>
      </c>
      <c r="H321" s="529">
        <v>2</v>
      </c>
      <c r="I321" s="530">
        <f>+(1.35+0.65)*12</f>
        <v>24</v>
      </c>
      <c r="J321" s="630" t="s">
        <v>1164</v>
      </c>
      <c r="K321" s="531" t="s">
        <v>1228</v>
      </c>
      <c r="L321" s="532">
        <f t="shared" si="23"/>
        <v>0</v>
      </c>
      <c r="M321" s="532">
        <f t="shared" si="24"/>
        <v>0</v>
      </c>
      <c r="N321" s="532">
        <f t="shared" si="26"/>
        <v>0</v>
      </c>
    </row>
    <row r="322" spans="1:14">
      <c r="A322" s="3" t="str">
        <f t="shared" si="27"/>
        <v>1152</v>
      </c>
      <c r="B322" s="527" t="s">
        <v>73</v>
      </c>
      <c r="C322" s="134">
        <v>115</v>
      </c>
      <c r="D322" s="528" t="s">
        <v>22</v>
      </c>
      <c r="E322" s="533" t="s">
        <v>63</v>
      </c>
      <c r="F322" s="527" t="s">
        <v>1160</v>
      </c>
      <c r="G322" s="527" t="s">
        <v>1245</v>
      </c>
      <c r="H322" s="529">
        <v>2</v>
      </c>
      <c r="I322" s="530">
        <f>6.3*2.85</f>
        <v>17.954999999999998</v>
      </c>
      <c r="J322" s="630" t="s">
        <v>1164</v>
      </c>
      <c r="K322" s="531"/>
      <c r="L322" s="532">
        <f t="shared" si="23"/>
        <v>0</v>
      </c>
      <c r="M322" s="532">
        <f t="shared" si="24"/>
        <v>0</v>
      </c>
      <c r="N322" s="532">
        <f t="shared" si="26"/>
        <v>0</v>
      </c>
    </row>
    <row r="323" spans="1:14">
      <c r="A323" s="3" t="str">
        <f t="shared" si="27"/>
        <v>1152</v>
      </c>
      <c r="B323" s="527" t="s">
        <v>73</v>
      </c>
      <c r="C323" s="134">
        <v>115</v>
      </c>
      <c r="D323" s="528" t="s">
        <v>22</v>
      </c>
      <c r="E323" s="533" t="s">
        <v>63</v>
      </c>
      <c r="F323" s="527" t="s">
        <v>1163</v>
      </c>
      <c r="G323" s="527" t="s">
        <v>1245</v>
      </c>
      <c r="H323" s="529">
        <v>2</v>
      </c>
      <c r="I323" s="530">
        <f>6.3*2.85</f>
        <v>17.954999999999998</v>
      </c>
      <c r="J323" s="630" t="s">
        <v>1161</v>
      </c>
      <c r="K323" s="531"/>
      <c r="L323" s="532">
        <f t="shared" si="23"/>
        <v>0</v>
      </c>
      <c r="M323" s="532">
        <f t="shared" si="24"/>
        <v>0</v>
      </c>
      <c r="N323" s="532">
        <f t="shared" si="26"/>
        <v>0</v>
      </c>
    </row>
    <row r="324" spans="1:14">
      <c r="A324" s="3" t="str">
        <f t="shared" si="27"/>
        <v>1152</v>
      </c>
      <c r="B324" s="527" t="s">
        <v>73</v>
      </c>
      <c r="C324" s="134">
        <v>115</v>
      </c>
      <c r="D324" s="528" t="s">
        <v>22</v>
      </c>
      <c r="E324" s="533" t="s">
        <v>63</v>
      </c>
      <c r="F324" s="527" t="s">
        <v>1160</v>
      </c>
      <c r="G324" s="527" t="s">
        <v>1243</v>
      </c>
      <c r="H324" s="529">
        <v>2</v>
      </c>
      <c r="I324" s="530">
        <f>(8.55+8.55+3.15+5)*3.35</f>
        <v>84.587500000000006</v>
      </c>
      <c r="J324" s="630" t="s">
        <v>1164</v>
      </c>
      <c r="K324" s="531"/>
      <c r="L324" s="532">
        <f t="shared" si="23"/>
        <v>0</v>
      </c>
      <c r="M324" s="532">
        <f t="shared" si="24"/>
        <v>0</v>
      </c>
      <c r="N324" s="532">
        <f t="shared" si="26"/>
        <v>0</v>
      </c>
    </row>
    <row r="325" spans="1:14">
      <c r="A325" s="3" t="str">
        <f t="shared" si="27"/>
        <v>1152</v>
      </c>
      <c r="B325" s="527" t="s">
        <v>73</v>
      </c>
      <c r="C325" s="134">
        <v>115</v>
      </c>
      <c r="D325" s="528" t="s">
        <v>22</v>
      </c>
      <c r="E325" s="533" t="s">
        <v>63</v>
      </c>
      <c r="F325" s="527" t="s">
        <v>1163</v>
      </c>
      <c r="G325" s="527" t="s">
        <v>1243</v>
      </c>
      <c r="H325" s="529">
        <v>2</v>
      </c>
      <c r="I325" s="530">
        <f>(8.55+8.55+3.15+5)*3.35</f>
        <v>84.587500000000006</v>
      </c>
      <c r="J325" s="630" t="s">
        <v>1161</v>
      </c>
      <c r="K325" s="531"/>
      <c r="L325" s="532">
        <f t="shared" si="23"/>
        <v>0</v>
      </c>
      <c r="M325" s="532">
        <f t="shared" si="24"/>
        <v>0</v>
      </c>
      <c r="N325" s="532">
        <f t="shared" si="26"/>
        <v>0</v>
      </c>
    </row>
    <row r="326" spans="1:14">
      <c r="A326" s="3" t="str">
        <f t="shared" si="27"/>
        <v>1152</v>
      </c>
      <c r="B326" s="527" t="s">
        <v>73</v>
      </c>
      <c r="C326" s="134">
        <v>115</v>
      </c>
      <c r="D326" s="528" t="s">
        <v>22</v>
      </c>
      <c r="E326" s="533" t="s">
        <v>63</v>
      </c>
      <c r="F326" s="527" t="s">
        <v>1221</v>
      </c>
      <c r="G326" s="527" t="s">
        <v>1222</v>
      </c>
      <c r="H326" s="529">
        <v>2</v>
      </c>
      <c r="I326" s="530">
        <f>6.3*3.1</f>
        <v>19.53</v>
      </c>
      <c r="J326" s="630" t="s">
        <v>1164</v>
      </c>
      <c r="K326" s="531" t="s">
        <v>1223</v>
      </c>
      <c r="L326" s="532">
        <f t="shared" si="23"/>
        <v>0</v>
      </c>
      <c r="M326" s="532">
        <f t="shared" si="24"/>
        <v>0</v>
      </c>
      <c r="N326" s="532">
        <f t="shared" si="26"/>
        <v>0</v>
      </c>
    </row>
    <row r="327" spans="1:14">
      <c r="A327" s="3" t="str">
        <f t="shared" si="27"/>
        <v>1152</v>
      </c>
      <c r="B327" s="527" t="s">
        <v>73</v>
      </c>
      <c r="C327" s="134">
        <v>115</v>
      </c>
      <c r="D327" s="528" t="s">
        <v>22</v>
      </c>
      <c r="E327" s="533" t="s">
        <v>63</v>
      </c>
      <c r="F327" s="527" t="s">
        <v>1221</v>
      </c>
      <c r="G327" s="527" t="s">
        <v>1224</v>
      </c>
      <c r="H327" s="529">
        <v>2</v>
      </c>
      <c r="I327" s="530">
        <f>6.3*3.5</f>
        <v>22.05</v>
      </c>
      <c r="J327" s="630" t="s">
        <v>1164</v>
      </c>
      <c r="K327" s="531" t="s">
        <v>1223</v>
      </c>
      <c r="L327" s="532">
        <f t="shared" si="23"/>
        <v>0</v>
      </c>
      <c r="M327" s="532">
        <f t="shared" si="24"/>
        <v>0</v>
      </c>
      <c r="N327" s="532">
        <f t="shared" si="26"/>
        <v>0</v>
      </c>
    </row>
    <row r="328" spans="1:14">
      <c r="A328" s="3" t="str">
        <f t="shared" si="27"/>
        <v>1152</v>
      </c>
      <c r="B328" s="527" t="s">
        <v>73</v>
      </c>
      <c r="C328" s="134">
        <v>115</v>
      </c>
      <c r="D328" s="528" t="s">
        <v>22</v>
      </c>
      <c r="E328" s="533" t="s">
        <v>63</v>
      </c>
      <c r="F328" s="527" t="s">
        <v>1172</v>
      </c>
      <c r="G328" s="527" t="s">
        <v>1260</v>
      </c>
      <c r="H328" s="529">
        <v>2</v>
      </c>
      <c r="I328" s="530">
        <v>12.87</v>
      </c>
      <c r="J328" s="630" t="s">
        <v>1161</v>
      </c>
      <c r="K328" s="531"/>
      <c r="L328" s="532">
        <f t="shared" si="23"/>
        <v>0</v>
      </c>
      <c r="M328" s="532">
        <f t="shared" si="24"/>
        <v>0</v>
      </c>
      <c r="N328" s="532">
        <f t="shared" si="26"/>
        <v>0</v>
      </c>
    </row>
    <row r="329" spans="1:14">
      <c r="A329" s="3" t="str">
        <f t="shared" si="27"/>
        <v>1152</v>
      </c>
      <c r="B329" s="527" t="s">
        <v>73</v>
      </c>
      <c r="C329" s="134">
        <v>115</v>
      </c>
      <c r="D329" s="528" t="s">
        <v>22</v>
      </c>
      <c r="E329" s="533" t="s">
        <v>63</v>
      </c>
      <c r="F329" s="527" t="s">
        <v>1174</v>
      </c>
      <c r="G329" s="527" t="s">
        <v>1260</v>
      </c>
      <c r="H329" s="529">
        <v>2</v>
      </c>
      <c r="I329" s="530">
        <v>12.87</v>
      </c>
      <c r="J329" s="630" t="s">
        <v>1164</v>
      </c>
      <c r="K329" s="531"/>
      <c r="L329" s="532">
        <f t="shared" si="23"/>
        <v>0</v>
      </c>
      <c r="M329" s="532">
        <f t="shared" si="24"/>
        <v>0</v>
      </c>
      <c r="N329" s="532">
        <f t="shared" si="26"/>
        <v>0</v>
      </c>
    </row>
    <row r="330" spans="1:14">
      <c r="A330" s="3" t="str">
        <f t="shared" si="27"/>
        <v>1152</v>
      </c>
      <c r="B330" s="527" t="s">
        <v>73</v>
      </c>
      <c r="C330" s="134">
        <v>115</v>
      </c>
      <c r="D330" s="528" t="s">
        <v>22</v>
      </c>
      <c r="E330" s="533" t="s">
        <v>63</v>
      </c>
      <c r="F330" s="527" t="s">
        <v>1175</v>
      </c>
      <c r="G330" s="527" t="s">
        <v>1217</v>
      </c>
      <c r="H330" s="529">
        <v>2</v>
      </c>
      <c r="I330" s="530">
        <v>1.92</v>
      </c>
      <c r="J330" s="630" t="s">
        <v>1161</v>
      </c>
      <c r="K330" s="531"/>
      <c r="L330" s="532">
        <f t="shared" si="23"/>
        <v>0</v>
      </c>
      <c r="M330" s="532">
        <f t="shared" si="24"/>
        <v>0</v>
      </c>
      <c r="N330" s="532">
        <f t="shared" si="26"/>
        <v>0</v>
      </c>
    </row>
    <row r="331" spans="1:14">
      <c r="A331" s="3" t="str">
        <f t="shared" si="27"/>
        <v>1152</v>
      </c>
      <c r="B331" s="527" t="s">
        <v>73</v>
      </c>
      <c r="C331" s="134">
        <v>115</v>
      </c>
      <c r="D331" s="528" t="s">
        <v>22</v>
      </c>
      <c r="E331" s="533" t="s">
        <v>63</v>
      </c>
      <c r="F331" s="527" t="s">
        <v>1177</v>
      </c>
      <c r="G331" s="527" t="s">
        <v>1217</v>
      </c>
      <c r="H331" s="529">
        <v>2</v>
      </c>
      <c r="I331" s="530">
        <v>1.92</v>
      </c>
      <c r="J331" s="630" t="s">
        <v>1161</v>
      </c>
      <c r="K331" s="531"/>
      <c r="L331" s="532">
        <f t="shared" si="23"/>
        <v>0</v>
      </c>
      <c r="M331" s="532">
        <f t="shared" si="24"/>
        <v>0</v>
      </c>
      <c r="N331" s="532">
        <f t="shared" si="26"/>
        <v>0</v>
      </c>
    </row>
    <row r="332" spans="1:14">
      <c r="A332" s="3" t="str">
        <f t="shared" si="27"/>
        <v>1152</v>
      </c>
      <c r="B332" s="527" t="s">
        <v>73</v>
      </c>
      <c r="C332" s="134">
        <v>115</v>
      </c>
      <c r="D332" s="528" t="s">
        <v>22</v>
      </c>
      <c r="E332" s="533" t="s">
        <v>63</v>
      </c>
      <c r="F332" s="527" t="s">
        <v>1160</v>
      </c>
      <c r="G332" s="527" t="s">
        <v>1246</v>
      </c>
      <c r="H332" s="529">
        <v>2</v>
      </c>
      <c r="I332" s="530">
        <f>2*1.9*2</f>
        <v>7.6</v>
      </c>
      <c r="J332" s="630" t="s">
        <v>1164</v>
      </c>
      <c r="K332" s="531"/>
      <c r="L332" s="532">
        <f t="shared" si="23"/>
        <v>0</v>
      </c>
      <c r="M332" s="532">
        <f t="shared" si="24"/>
        <v>0</v>
      </c>
      <c r="N332" s="532">
        <f t="shared" si="26"/>
        <v>0</v>
      </c>
    </row>
    <row r="333" spans="1:14">
      <c r="A333" s="3" t="str">
        <f t="shared" si="27"/>
        <v>1152</v>
      </c>
      <c r="B333" s="527" t="s">
        <v>73</v>
      </c>
      <c r="C333" s="134">
        <v>115</v>
      </c>
      <c r="D333" s="528" t="s">
        <v>22</v>
      </c>
      <c r="E333" s="533" t="s">
        <v>63</v>
      </c>
      <c r="F333" s="527" t="s">
        <v>1163</v>
      </c>
      <c r="G333" s="527" t="s">
        <v>1246</v>
      </c>
      <c r="H333" s="529">
        <v>2</v>
      </c>
      <c r="I333" s="530">
        <f>2*1.9*2</f>
        <v>7.6</v>
      </c>
      <c r="J333" s="630" t="s">
        <v>1164</v>
      </c>
      <c r="K333" s="531"/>
      <c r="L333" s="532">
        <f t="shared" ref="L333:L396" si="28">IF(J333="ja",0,VLOOKUP(F333,Glassoort2,2,0))*I333</f>
        <v>0</v>
      </c>
      <c r="M333" s="532">
        <f t="shared" ref="M333:M396" si="29">IF(J333="ja",VLOOKUP(F333,Glassoort2,3,0))*I333</f>
        <v>0</v>
      </c>
      <c r="N333" s="532">
        <f t="shared" si="26"/>
        <v>0</v>
      </c>
    </row>
    <row r="334" spans="1:14">
      <c r="A334" s="3" t="str">
        <f t="shared" si="27"/>
        <v>1152</v>
      </c>
      <c r="B334" s="527" t="s">
        <v>73</v>
      </c>
      <c r="C334" s="134">
        <v>115</v>
      </c>
      <c r="D334" s="528" t="s">
        <v>22</v>
      </c>
      <c r="E334" s="533" t="s">
        <v>223</v>
      </c>
      <c r="F334" s="527" t="s">
        <v>1172</v>
      </c>
      <c r="G334" s="527" t="s">
        <v>1261</v>
      </c>
      <c r="H334" s="529">
        <v>2</v>
      </c>
      <c r="I334" s="530">
        <v>12.87</v>
      </c>
      <c r="J334" s="630" t="s">
        <v>1161</v>
      </c>
      <c r="K334" s="531"/>
      <c r="L334" s="532">
        <f t="shared" si="28"/>
        <v>0</v>
      </c>
      <c r="M334" s="532">
        <f t="shared" si="29"/>
        <v>0</v>
      </c>
      <c r="N334" s="532">
        <f t="shared" si="26"/>
        <v>0</v>
      </c>
    </row>
    <row r="335" spans="1:14">
      <c r="A335" s="3" t="str">
        <f t="shared" ref="A335:A349" si="30">CONCATENATE(C335,H335)</f>
        <v>1152</v>
      </c>
      <c r="B335" s="527" t="s">
        <v>73</v>
      </c>
      <c r="C335" s="134">
        <v>115</v>
      </c>
      <c r="D335" s="528" t="s">
        <v>22</v>
      </c>
      <c r="E335" s="533" t="s">
        <v>223</v>
      </c>
      <c r="F335" s="527" t="s">
        <v>1174</v>
      </c>
      <c r="G335" s="527" t="s">
        <v>1261</v>
      </c>
      <c r="H335" s="529">
        <v>2</v>
      </c>
      <c r="I335" s="530">
        <v>12.87</v>
      </c>
      <c r="J335" s="630" t="s">
        <v>1164</v>
      </c>
      <c r="K335" s="531"/>
      <c r="L335" s="532">
        <f t="shared" si="28"/>
        <v>0</v>
      </c>
      <c r="M335" s="532">
        <f t="shared" si="29"/>
        <v>0</v>
      </c>
      <c r="N335" s="532">
        <f t="shared" si="26"/>
        <v>0</v>
      </c>
    </row>
    <row r="336" spans="1:14">
      <c r="A336" s="3" t="str">
        <f t="shared" si="30"/>
        <v>1152</v>
      </c>
      <c r="B336" s="527" t="s">
        <v>73</v>
      </c>
      <c r="C336" s="134">
        <v>115</v>
      </c>
      <c r="D336" s="528" t="s">
        <v>22</v>
      </c>
      <c r="E336" s="533" t="s">
        <v>223</v>
      </c>
      <c r="F336" s="527" t="s">
        <v>1175</v>
      </c>
      <c r="G336" s="527" t="s">
        <v>1217</v>
      </c>
      <c r="H336" s="529">
        <v>2</v>
      </c>
      <c r="I336" s="530">
        <v>1.92</v>
      </c>
      <c r="J336" s="630" t="s">
        <v>1161</v>
      </c>
      <c r="K336" s="531"/>
      <c r="L336" s="532">
        <f t="shared" si="28"/>
        <v>0</v>
      </c>
      <c r="M336" s="532">
        <f t="shared" si="29"/>
        <v>0</v>
      </c>
      <c r="N336" s="532">
        <f t="shared" si="26"/>
        <v>0</v>
      </c>
    </row>
    <row r="337" spans="1:14">
      <c r="A337" s="3" t="str">
        <f t="shared" si="30"/>
        <v>1152</v>
      </c>
      <c r="B337" s="527" t="s">
        <v>73</v>
      </c>
      <c r="C337" s="134">
        <v>115</v>
      </c>
      <c r="D337" s="528" t="s">
        <v>22</v>
      </c>
      <c r="E337" s="533" t="s">
        <v>223</v>
      </c>
      <c r="F337" s="527" t="s">
        <v>1177</v>
      </c>
      <c r="G337" s="527" t="s">
        <v>1217</v>
      </c>
      <c r="H337" s="529">
        <v>2</v>
      </c>
      <c r="I337" s="530">
        <v>1.92</v>
      </c>
      <c r="J337" s="630" t="s">
        <v>1161</v>
      </c>
      <c r="K337" s="531"/>
      <c r="L337" s="532">
        <f t="shared" si="28"/>
        <v>0</v>
      </c>
      <c r="M337" s="532">
        <f t="shared" si="29"/>
        <v>0</v>
      </c>
      <c r="N337" s="532">
        <f t="shared" si="26"/>
        <v>0</v>
      </c>
    </row>
    <row r="338" spans="1:14">
      <c r="A338" s="3" t="str">
        <f t="shared" si="30"/>
        <v>1152</v>
      </c>
      <c r="B338" s="527" t="s">
        <v>73</v>
      </c>
      <c r="C338" s="134">
        <v>115</v>
      </c>
      <c r="D338" s="528" t="s">
        <v>22</v>
      </c>
      <c r="E338" s="533" t="s">
        <v>197</v>
      </c>
      <c r="F338" s="527" t="s">
        <v>1160</v>
      </c>
      <c r="G338" s="527" t="s">
        <v>1262</v>
      </c>
      <c r="H338" s="529">
        <v>2</v>
      </c>
      <c r="I338" s="530">
        <f>1.7*2.25*12+1.9*2.35</f>
        <v>50.364999999999995</v>
      </c>
      <c r="J338" s="630" t="s">
        <v>1161</v>
      </c>
      <c r="K338" s="531"/>
      <c r="L338" s="532">
        <f t="shared" si="28"/>
        <v>0</v>
      </c>
      <c r="M338" s="532">
        <f t="shared" si="29"/>
        <v>0</v>
      </c>
      <c r="N338" s="532">
        <f t="shared" si="26"/>
        <v>0</v>
      </c>
    </row>
    <row r="339" spans="1:14">
      <c r="A339" s="3" t="str">
        <f t="shared" si="30"/>
        <v>1152</v>
      </c>
      <c r="B339" s="527" t="s">
        <v>73</v>
      </c>
      <c r="C339" s="134">
        <v>115</v>
      </c>
      <c r="D339" s="528" t="s">
        <v>22</v>
      </c>
      <c r="E339" s="533" t="s">
        <v>197</v>
      </c>
      <c r="F339" s="527" t="s">
        <v>1160</v>
      </c>
      <c r="G339" s="527" t="s">
        <v>1262</v>
      </c>
      <c r="H339" s="529">
        <v>2</v>
      </c>
      <c r="I339" s="530">
        <f>2.3*0.3*5+1*6.3</f>
        <v>9.75</v>
      </c>
      <c r="J339" s="630" t="s">
        <v>1161</v>
      </c>
      <c r="K339" s="531"/>
      <c r="L339" s="532">
        <f t="shared" si="28"/>
        <v>0</v>
      </c>
      <c r="M339" s="532">
        <f t="shared" si="29"/>
        <v>0</v>
      </c>
      <c r="N339" s="532">
        <f t="shared" ref="N339:N402" si="31">(M339*H339)+(L339*H339)</f>
        <v>0</v>
      </c>
    </row>
    <row r="340" spans="1:14">
      <c r="A340" s="3" t="str">
        <f t="shared" si="30"/>
        <v>1152</v>
      </c>
      <c r="B340" s="527" t="s">
        <v>73</v>
      </c>
      <c r="C340" s="134">
        <v>115</v>
      </c>
      <c r="D340" s="528" t="s">
        <v>22</v>
      </c>
      <c r="E340" s="533" t="s">
        <v>197</v>
      </c>
      <c r="F340" s="527" t="s">
        <v>1163</v>
      </c>
      <c r="G340" s="527" t="s">
        <v>1262</v>
      </c>
      <c r="H340" s="529">
        <v>2</v>
      </c>
      <c r="I340" s="530">
        <f>+I338+I339</f>
        <v>60.114999999999995</v>
      </c>
      <c r="J340" s="630" t="s">
        <v>1161</v>
      </c>
      <c r="K340" s="531"/>
      <c r="L340" s="532">
        <f t="shared" si="28"/>
        <v>0</v>
      </c>
      <c r="M340" s="532">
        <f t="shared" si="29"/>
        <v>0</v>
      </c>
      <c r="N340" s="532">
        <f t="shared" si="31"/>
        <v>0</v>
      </c>
    </row>
    <row r="341" spans="1:14">
      <c r="A341" s="3" t="str">
        <f t="shared" si="30"/>
        <v>1152</v>
      </c>
      <c r="B341" s="527" t="s">
        <v>73</v>
      </c>
      <c r="C341" s="134">
        <v>115</v>
      </c>
      <c r="D341" s="528" t="s">
        <v>22</v>
      </c>
      <c r="E341" s="533" t="s">
        <v>197</v>
      </c>
      <c r="F341" s="527" t="s">
        <v>1160</v>
      </c>
      <c r="G341" s="527" t="s">
        <v>1263</v>
      </c>
      <c r="H341" s="529">
        <v>2</v>
      </c>
      <c r="I341" s="530">
        <f>0.45*2.3*2</f>
        <v>2.0699999999999998</v>
      </c>
      <c r="J341" s="630" t="s">
        <v>1164</v>
      </c>
      <c r="K341" s="531" t="s">
        <v>1223</v>
      </c>
      <c r="L341" s="532">
        <f t="shared" si="28"/>
        <v>0</v>
      </c>
      <c r="M341" s="532">
        <f t="shared" si="29"/>
        <v>0</v>
      </c>
      <c r="N341" s="532">
        <f t="shared" si="31"/>
        <v>0</v>
      </c>
    </row>
    <row r="342" spans="1:14">
      <c r="A342" s="3" t="str">
        <f t="shared" si="30"/>
        <v>1152</v>
      </c>
      <c r="B342" s="527" t="s">
        <v>73</v>
      </c>
      <c r="C342" s="134">
        <v>115</v>
      </c>
      <c r="D342" s="528" t="s">
        <v>22</v>
      </c>
      <c r="E342" s="533" t="s">
        <v>197</v>
      </c>
      <c r="F342" s="527" t="s">
        <v>1171</v>
      </c>
      <c r="G342" s="527" t="s">
        <v>1263</v>
      </c>
      <c r="H342" s="529">
        <v>2</v>
      </c>
      <c r="I342" s="530">
        <f>1.7*2.5</f>
        <v>4.25</v>
      </c>
      <c r="J342" s="630" t="s">
        <v>1164</v>
      </c>
      <c r="K342" s="531" t="s">
        <v>1223</v>
      </c>
      <c r="L342" s="532">
        <f t="shared" si="28"/>
        <v>0</v>
      </c>
      <c r="M342" s="532">
        <f t="shared" si="29"/>
        <v>0</v>
      </c>
      <c r="N342" s="532">
        <f t="shared" si="31"/>
        <v>0</v>
      </c>
    </row>
    <row r="343" spans="1:14">
      <c r="A343" s="3" t="str">
        <f t="shared" si="30"/>
        <v>11526</v>
      </c>
      <c r="B343" s="527" t="s">
        <v>73</v>
      </c>
      <c r="C343" s="134">
        <v>115</v>
      </c>
      <c r="D343" s="528" t="s">
        <v>22</v>
      </c>
      <c r="E343" s="135"/>
      <c r="F343" s="527" t="s">
        <v>1162</v>
      </c>
      <c r="G343" s="527" t="s">
        <v>1308</v>
      </c>
      <c r="H343" s="529">
        <v>26</v>
      </c>
      <c r="I343" s="530">
        <v>52</v>
      </c>
      <c r="J343" s="630" t="s">
        <v>1161</v>
      </c>
      <c r="K343" s="531" t="s">
        <v>1309</v>
      </c>
      <c r="L343" s="532">
        <f t="shared" si="28"/>
        <v>0</v>
      </c>
      <c r="M343" s="532">
        <f t="shared" si="29"/>
        <v>0</v>
      </c>
      <c r="N343" s="532">
        <f t="shared" si="31"/>
        <v>0</v>
      </c>
    </row>
    <row r="344" spans="1:14">
      <c r="A344" s="3" t="str">
        <f t="shared" si="30"/>
        <v>1162</v>
      </c>
      <c r="B344" s="527" t="s">
        <v>237</v>
      </c>
      <c r="C344" s="134">
        <v>116</v>
      </c>
      <c r="D344" s="528" t="s">
        <v>22</v>
      </c>
      <c r="E344" s="533" t="s">
        <v>63</v>
      </c>
      <c r="F344" s="527" t="s">
        <v>1160</v>
      </c>
      <c r="G344" s="527" t="s">
        <v>1264</v>
      </c>
      <c r="H344" s="529">
        <v>2</v>
      </c>
      <c r="I344" s="530">
        <f>+(2.7+5.1+2.05+4.15)*2.5+(1.6+1+7.5+5.6)*2.5-2</f>
        <v>72.25</v>
      </c>
      <c r="J344" s="630" t="s">
        <v>1164</v>
      </c>
      <c r="K344" s="531"/>
      <c r="L344" s="532">
        <f t="shared" si="28"/>
        <v>0</v>
      </c>
      <c r="M344" s="532">
        <f t="shared" si="29"/>
        <v>0</v>
      </c>
      <c r="N344" s="532">
        <f t="shared" si="31"/>
        <v>0</v>
      </c>
    </row>
    <row r="345" spans="1:14">
      <c r="A345" s="3" t="str">
        <f t="shared" si="30"/>
        <v>1162</v>
      </c>
      <c r="B345" s="527" t="s">
        <v>237</v>
      </c>
      <c r="C345" s="134">
        <v>116</v>
      </c>
      <c r="D345" s="528" t="s">
        <v>22</v>
      </c>
      <c r="E345" s="533" t="s">
        <v>63</v>
      </c>
      <c r="F345" s="527" t="s">
        <v>1163</v>
      </c>
      <c r="G345" s="527" t="s">
        <v>1264</v>
      </c>
      <c r="H345" s="529">
        <v>2</v>
      </c>
      <c r="I345" s="530">
        <f>+(2.7+5.1+2.05+4.15)*2.5+(1.6+1+7.5+5.6)*2.5-2</f>
        <v>72.25</v>
      </c>
      <c r="J345" s="630" t="s">
        <v>1164</v>
      </c>
      <c r="K345" s="531"/>
      <c r="L345" s="532">
        <f t="shared" si="28"/>
        <v>0</v>
      </c>
      <c r="M345" s="532">
        <f t="shared" si="29"/>
        <v>0</v>
      </c>
      <c r="N345" s="532">
        <f t="shared" si="31"/>
        <v>0</v>
      </c>
    </row>
    <row r="346" spans="1:14">
      <c r="A346" s="3" t="str">
        <f t="shared" si="30"/>
        <v>1162</v>
      </c>
      <c r="B346" s="527" t="s">
        <v>237</v>
      </c>
      <c r="C346" s="134">
        <v>116</v>
      </c>
      <c r="D346" s="528" t="s">
        <v>22</v>
      </c>
      <c r="E346" s="533" t="s">
        <v>209</v>
      </c>
      <c r="F346" s="527" t="s">
        <v>1160</v>
      </c>
      <c r="G346" s="527" t="s">
        <v>1265</v>
      </c>
      <c r="H346" s="529">
        <v>2</v>
      </c>
      <c r="I346" s="530">
        <f>(1.9+1+1+1.9)*1.25</f>
        <v>7.25</v>
      </c>
      <c r="J346" s="630" t="s">
        <v>1161</v>
      </c>
      <c r="K346" s="531"/>
      <c r="L346" s="532">
        <f t="shared" si="28"/>
        <v>0</v>
      </c>
      <c r="M346" s="532">
        <f t="shared" si="29"/>
        <v>0</v>
      </c>
      <c r="N346" s="532">
        <f t="shared" si="31"/>
        <v>0</v>
      </c>
    </row>
    <row r="347" spans="1:14">
      <c r="A347" s="3" t="str">
        <f t="shared" si="30"/>
        <v>1162</v>
      </c>
      <c r="B347" s="527" t="s">
        <v>237</v>
      </c>
      <c r="C347" s="134">
        <v>116</v>
      </c>
      <c r="D347" s="528" t="s">
        <v>22</v>
      </c>
      <c r="E347" s="533" t="s">
        <v>209</v>
      </c>
      <c r="F347" s="527" t="s">
        <v>1163</v>
      </c>
      <c r="G347" s="527" t="s">
        <v>1265</v>
      </c>
      <c r="H347" s="529">
        <v>2</v>
      </c>
      <c r="I347" s="530">
        <f>(1.9+1+1+1.9)*1.25</f>
        <v>7.25</v>
      </c>
      <c r="J347" s="630" t="s">
        <v>1161</v>
      </c>
      <c r="K347" s="531"/>
      <c r="L347" s="532">
        <f t="shared" si="28"/>
        <v>0</v>
      </c>
      <c r="M347" s="532">
        <f t="shared" si="29"/>
        <v>0</v>
      </c>
      <c r="N347" s="532">
        <f t="shared" si="31"/>
        <v>0</v>
      </c>
    </row>
    <row r="348" spans="1:14">
      <c r="A348" s="3" t="str">
        <f t="shared" si="30"/>
        <v>1162</v>
      </c>
      <c r="B348" s="527" t="s">
        <v>237</v>
      </c>
      <c r="C348" s="134">
        <v>116</v>
      </c>
      <c r="D348" s="528" t="s">
        <v>22</v>
      </c>
      <c r="E348" s="533" t="s">
        <v>197</v>
      </c>
      <c r="F348" s="527" t="s">
        <v>1169</v>
      </c>
      <c r="G348" s="527" t="s">
        <v>1266</v>
      </c>
      <c r="H348" s="529">
        <v>2</v>
      </c>
      <c r="I348" s="530">
        <f>+(1.25*5.9)*2+(0.75*5.2)*2</f>
        <v>22.55</v>
      </c>
      <c r="J348" s="630" t="s">
        <v>1164</v>
      </c>
      <c r="K348" s="531"/>
      <c r="L348" s="532">
        <f t="shared" si="28"/>
        <v>0</v>
      </c>
      <c r="M348" s="532">
        <f t="shared" si="29"/>
        <v>0</v>
      </c>
      <c r="N348" s="532">
        <f t="shared" si="31"/>
        <v>0</v>
      </c>
    </row>
    <row r="349" spans="1:14">
      <c r="A349" s="3" t="str">
        <f t="shared" si="30"/>
        <v>1162</v>
      </c>
      <c r="B349" s="527" t="s">
        <v>237</v>
      </c>
      <c r="C349" s="134">
        <v>116</v>
      </c>
      <c r="D349" s="528" t="s">
        <v>22</v>
      </c>
      <c r="E349" s="533" t="s">
        <v>197</v>
      </c>
      <c r="F349" s="527" t="s">
        <v>1171</v>
      </c>
      <c r="G349" s="527" t="s">
        <v>1266</v>
      </c>
      <c r="H349" s="529">
        <v>2</v>
      </c>
      <c r="I349" s="530">
        <f>+(1.25*5.9)*2+(0.75*5.2)*2</f>
        <v>22.55</v>
      </c>
      <c r="J349" s="630" t="s">
        <v>1164</v>
      </c>
      <c r="K349" s="531"/>
      <c r="L349" s="532">
        <f t="shared" si="28"/>
        <v>0</v>
      </c>
      <c r="M349" s="532">
        <f t="shared" si="29"/>
        <v>0</v>
      </c>
      <c r="N349" s="532">
        <f t="shared" si="31"/>
        <v>0</v>
      </c>
    </row>
    <row r="350" spans="1:14">
      <c r="B350" s="527" t="s">
        <v>237</v>
      </c>
      <c r="C350" s="134">
        <v>117</v>
      </c>
      <c r="D350" s="528" t="s">
        <v>22</v>
      </c>
      <c r="E350" s="135"/>
      <c r="F350" s="527" t="s">
        <v>1162</v>
      </c>
      <c r="G350" s="527" t="s">
        <v>1970</v>
      </c>
      <c r="H350" s="529">
        <v>12</v>
      </c>
      <c r="I350" s="530">
        <v>32.479999999999997</v>
      </c>
      <c r="J350" s="630" t="s">
        <v>1161</v>
      </c>
      <c r="K350" s="531"/>
      <c r="L350" s="532">
        <f t="shared" si="28"/>
        <v>0</v>
      </c>
      <c r="M350" s="532">
        <f t="shared" si="29"/>
        <v>0</v>
      </c>
      <c r="N350" s="532">
        <f t="shared" si="31"/>
        <v>0</v>
      </c>
    </row>
    <row r="351" spans="1:14">
      <c r="B351" s="527" t="s">
        <v>237</v>
      </c>
      <c r="C351" s="134">
        <v>117</v>
      </c>
      <c r="D351" s="528" t="s">
        <v>22</v>
      </c>
      <c r="E351" s="135"/>
      <c r="F351" s="527" t="s">
        <v>1162</v>
      </c>
      <c r="G351" s="527" t="s">
        <v>1970</v>
      </c>
      <c r="H351" s="529">
        <v>12</v>
      </c>
      <c r="I351" s="530">
        <v>32.479999999999997</v>
      </c>
      <c r="J351" s="630" t="s">
        <v>1161</v>
      </c>
      <c r="K351" s="531"/>
      <c r="L351" s="532">
        <f t="shared" si="28"/>
        <v>0</v>
      </c>
      <c r="M351" s="532">
        <f t="shared" si="29"/>
        <v>0</v>
      </c>
      <c r="N351" s="532">
        <f t="shared" si="31"/>
        <v>0</v>
      </c>
    </row>
    <row r="352" spans="1:14">
      <c r="A352" s="3" t="str">
        <f t="shared" ref="A352:A379" si="32">CONCATENATE(C352,H352)</f>
        <v>1162</v>
      </c>
      <c r="B352" s="527" t="s">
        <v>237</v>
      </c>
      <c r="C352" s="134">
        <v>116</v>
      </c>
      <c r="D352" s="528" t="s">
        <v>22</v>
      </c>
      <c r="E352" s="533" t="s">
        <v>191</v>
      </c>
      <c r="F352" s="527" t="s">
        <v>1172</v>
      </c>
      <c r="G352" s="527" t="s">
        <v>1267</v>
      </c>
      <c r="H352" s="529">
        <v>2</v>
      </c>
      <c r="I352" s="530">
        <v>14.99</v>
      </c>
      <c r="J352" s="630" t="s">
        <v>1161</v>
      </c>
      <c r="K352" s="531"/>
      <c r="L352" s="532">
        <f t="shared" si="28"/>
        <v>0</v>
      </c>
      <c r="M352" s="532">
        <f t="shared" si="29"/>
        <v>0</v>
      </c>
      <c r="N352" s="532">
        <f t="shared" si="31"/>
        <v>0</v>
      </c>
    </row>
    <row r="353" spans="1:14">
      <c r="A353" s="3" t="str">
        <f t="shared" si="32"/>
        <v>1162</v>
      </c>
      <c r="B353" s="527" t="s">
        <v>237</v>
      </c>
      <c r="C353" s="134">
        <v>116</v>
      </c>
      <c r="D353" s="528" t="s">
        <v>22</v>
      </c>
      <c r="E353" s="533" t="s">
        <v>191</v>
      </c>
      <c r="F353" s="527" t="s">
        <v>1174</v>
      </c>
      <c r="G353" s="527" t="s">
        <v>1267</v>
      </c>
      <c r="H353" s="529">
        <v>2</v>
      </c>
      <c r="I353" s="530">
        <v>14.99</v>
      </c>
      <c r="J353" s="630" t="s">
        <v>1164</v>
      </c>
      <c r="K353" s="531"/>
      <c r="L353" s="532">
        <f t="shared" si="28"/>
        <v>0</v>
      </c>
      <c r="M353" s="532">
        <f t="shared" si="29"/>
        <v>0</v>
      </c>
      <c r="N353" s="532">
        <f t="shared" si="31"/>
        <v>0</v>
      </c>
    </row>
    <row r="354" spans="1:14">
      <c r="A354" s="3" t="str">
        <f t="shared" si="32"/>
        <v>1162</v>
      </c>
      <c r="B354" s="527" t="s">
        <v>237</v>
      </c>
      <c r="C354" s="134">
        <v>116</v>
      </c>
      <c r="D354" s="528" t="s">
        <v>22</v>
      </c>
      <c r="E354" s="533" t="s">
        <v>191</v>
      </c>
      <c r="F354" s="527" t="s">
        <v>1175</v>
      </c>
      <c r="G354" s="527" t="s">
        <v>1217</v>
      </c>
      <c r="H354" s="529">
        <v>2</v>
      </c>
      <c r="I354" s="530">
        <v>1.92</v>
      </c>
      <c r="J354" s="630" t="s">
        <v>1161</v>
      </c>
      <c r="K354" s="531"/>
      <c r="L354" s="532">
        <f t="shared" si="28"/>
        <v>0</v>
      </c>
      <c r="M354" s="532">
        <f t="shared" si="29"/>
        <v>0</v>
      </c>
      <c r="N354" s="532">
        <f t="shared" si="31"/>
        <v>0</v>
      </c>
    </row>
    <row r="355" spans="1:14">
      <c r="A355" s="3" t="str">
        <f t="shared" si="32"/>
        <v>1162</v>
      </c>
      <c r="B355" s="527" t="s">
        <v>237</v>
      </c>
      <c r="C355" s="134">
        <v>116</v>
      </c>
      <c r="D355" s="528" t="s">
        <v>22</v>
      </c>
      <c r="E355" s="533" t="s">
        <v>191</v>
      </c>
      <c r="F355" s="527" t="s">
        <v>1177</v>
      </c>
      <c r="G355" s="527" t="s">
        <v>1217</v>
      </c>
      <c r="H355" s="529">
        <v>2</v>
      </c>
      <c r="I355" s="530">
        <v>1.92</v>
      </c>
      <c r="J355" s="630" t="s">
        <v>1161</v>
      </c>
      <c r="K355" s="531"/>
      <c r="L355" s="532">
        <f t="shared" si="28"/>
        <v>0</v>
      </c>
      <c r="M355" s="532">
        <f t="shared" si="29"/>
        <v>0</v>
      </c>
      <c r="N355" s="532">
        <f t="shared" si="31"/>
        <v>0</v>
      </c>
    </row>
    <row r="356" spans="1:14">
      <c r="A356" s="3" t="str">
        <f t="shared" si="32"/>
        <v>11626</v>
      </c>
      <c r="B356" s="527" t="s">
        <v>237</v>
      </c>
      <c r="C356" s="134">
        <v>116</v>
      </c>
      <c r="D356" s="528" t="s">
        <v>22</v>
      </c>
      <c r="E356" s="135"/>
      <c r="F356" s="527" t="s">
        <v>1162</v>
      </c>
      <c r="G356" s="527" t="s">
        <v>1308</v>
      </c>
      <c r="H356" s="529">
        <v>26</v>
      </c>
      <c r="I356" s="530">
        <v>20</v>
      </c>
      <c r="J356" s="630" t="s">
        <v>1161</v>
      </c>
      <c r="K356" s="531" t="s">
        <v>1309</v>
      </c>
      <c r="L356" s="532">
        <f t="shared" si="28"/>
        <v>0</v>
      </c>
      <c r="M356" s="532">
        <f t="shared" si="29"/>
        <v>0</v>
      </c>
      <c r="N356" s="532">
        <f t="shared" si="31"/>
        <v>0</v>
      </c>
    </row>
    <row r="357" spans="1:14">
      <c r="A357" s="3" t="str">
        <f t="shared" si="32"/>
        <v>1172</v>
      </c>
      <c r="B357" s="527" t="s">
        <v>296</v>
      </c>
      <c r="C357" s="134">
        <v>117</v>
      </c>
      <c r="D357" s="528" t="s">
        <v>22</v>
      </c>
      <c r="E357" s="533" t="s">
        <v>63</v>
      </c>
      <c r="F357" s="527" t="s">
        <v>1160</v>
      </c>
      <c r="G357" s="527" t="s">
        <v>1268</v>
      </c>
      <c r="H357" s="529">
        <v>2</v>
      </c>
      <c r="I357" s="530">
        <f>3.5*2.8+(3.15+4.6+4.6+3.2)*4.8-2</f>
        <v>82.44</v>
      </c>
      <c r="J357" s="630" t="s">
        <v>1164</v>
      </c>
      <c r="K357" s="531"/>
      <c r="L357" s="532">
        <f t="shared" si="28"/>
        <v>0</v>
      </c>
      <c r="M357" s="532">
        <f t="shared" si="29"/>
        <v>0</v>
      </c>
      <c r="N357" s="532">
        <f t="shared" si="31"/>
        <v>0</v>
      </c>
    </row>
    <row r="358" spans="1:14">
      <c r="A358" s="3" t="str">
        <f t="shared" si="32"/>
        <v>1172</v>
      </c>
      <c r="B358" s="527" t="s">
        <v>296</v>
      </c>
      <c r="C358" s="134">
        <v>117</v>
      </c>
      <c r="D358" s="528" t="s">
        <v>22</v>
      </c>
      <c r="E358" s="533" t="s">
        <v>63</v>
      </c>
      <c r="F358" s="527" t="s">
        <v>1163</v>
      </c>
      <c r="G358" s="527" t="s">
        <v>1268</v>
      </c>
      <c r="H358" s="529">
        <v>2</v>
      </c>
      <c r="I358" s="530">
        <f>3.5*2.8+(3.15+4.6+4.6+3.2)*4.8-2</f>
        <v>82.44</v>
      </c>
      <c r="J358" s="630" t="s">
        <v>1164</v>
      </c>
      <c r="K358" s="531"/>
      <c r="L358" s="532">
        <f t="shared" si="28"/>
        <v>0</v>
      </c>
      <c r="M358" s="532">
        <f t="shared" si="29"/>
        <v>0</v>
      </c>
      <c r="N358" s="532">
        <f t="shared" si="31"/>
        <v>0</v>
      </c>
    </row>
    <row r="359" spans="1:14">
      <c r="A359" s="3" t="str">
        <f t="shared" si="32"/>
        <v>1172</v>
      </c>
      <c r="B359" s="527" t="s">
        <v>296</v>
      </c>
      <c r="C359" s="134">
        <v>117</v>
      </c>
      <c r="D359" s="528" t="s">
        <v>22</v>
      </c>
      <c r="E359" s="533" t="s">
        <v>63</v>
      </c>
      <c r="F359" s="527" t="s">
        <v>1221</v>
      </c>
      <c r="G359" s="527" t="s">
        <v>1269</v>
      </c>
      <c r="H359" s="529">
        <v>2</v>
      </c>
      <c r="I359" s="530">
        <f>6.7*5.1</f>
        <v>34.17</v>
      </c>
      <c r="J359" s="630" t="s">
        <v>1164</v>
      </c>
      <c r="K359" s="531" t="s">
        <v>1223</v>
      </c>
      <c r="L359" s="532">
        <f t="shared" si="28"/>
        <v>0</v>
      </c>
      <c r="M359" s="532">
        <f t="shared" si="29"/>
        <v>0</v>
      </c>
      <c r="N359" s="532">
        <f t="shared" si="31"/>
        <v>0</v>
      </c>
    </row>
    <row r="360" spans="1:14">
      <c r="A360" s="3" t="str">
        <f t="shared" si="32"/>
        <v>1172</v>
      </c>
      <c r="B360" s="527" t="s">
        <v>296</v>
      </c>
      <c r="C360" s="134">
        <v>117</v>
      </c>
      <c r="D360" s="528" t="s">
        <v>22</v>
      </c>
      <c r="E360" s="533" t="s">
        <v>63</v>
      </c>
      <c r="F360" s="527" t="s">
        <v>1221</v>
      </c>
      <c r="G360" s="527" t="s">
        <v>1270</v>
      </c>
      <c r="H360" s="529">
        <v>2</v>
      </c>
      <c r="I360" s="530">
        <f>6.7*2.3</f>
        <v>15.409999999999998</v>
      </c>
      <c r="J360" s="630" t="s">
        <v>1164</v>
      </c>
      <c r="K360" s="531" t="s">
        <v>1223</v>
      </c>
      <c r="L360" s="532">
        <f t="shared" si="28"/>
        <v>0</v>
      </c>
      <c r="M360" s="532">
        <f t="shared" si="29"/>
        <v>0</v>
      </c>
      <c r="N360" s="532">
        <f t="shared" si="31"/>
        <v>0</v>
      </c>
    </row>
    <row r="361" spans="1:14">
      <c r="A361" s="3" t="str">
        <f t="shared" si="32"/>
        <v>1172</v>
      </c>
      <c r="B361" s="527" t="s">
        <v>296</v>
      </c>
      <c r="C361" s="134">
        <v>117</v>
      </c>
      <c r="D361" s="528" t="s">
        <v>22</v>
      </c>
      <c r="E361" s="533" t="s">
        <v>63</v>
      </c>
      <c r="F361" s="527" t="s">
        <v>1171</v>
      </c>
      <c r="G361" s="527" t="s">
        <v>1259</v>
      </c>
      <c r="H361" s="529">
        <v>2</v>
      </c>
      <c r="I361" s="530">
        <f>+(1.35+0.65)*12</f>
        <v>24</v>
      </c>
      <c r="J361" s="630" t="s">
        <v>1164</v>
      </c>
      <c r="K361" s="531" t="s">
        <v>1228</v>
      </c>
      <c r="L361" s="532">
        <f t="shared" si="28"/>
        <v>0</v>
      </c>
      <c r="M361" s="532">
        <f t="shared" si="29"/>
        <v>0</v>
      </c>
      <c r="N361" s="532">
        <f t="shared" si="31"/>
        <v>0</v>
      </c>
    </row>
    <row r="362" spans="1:14">
      <c r="A362" s="3" t="str">
        <f t="shared" si="32"/>
        <v>1172</v>
      </c>
      <c r="B362" s="527" t="s">
        <v>296</v>
      </c>
      <c r="C362" s="134">
        <v>117</v>
      </c>
      <c r="D362" s="528" t="s">
        <v>22</v>
      </c>
      <c r="E362" s="533" t="s">
        <v>63</v>
      </c>
      <c r="F362" s="527" t="s">
        <v>1169</v>
      </c>
      <c r="G362" s="527" t="s">
        <v>1259</v>
      </c>
      <c r="H362" s="529">
        <v>2</v>
      </c>
      <c r="I362" s="530">
        <f>+(1.35+0.65)*12</f>
        <v>24</v>
      </c>
      <c r="J362" s="630" t="s">
        <v>1164</v>
      </c>
      <c r="K362" s="531" t="s">
        <v>1228</v>
      </c>
      <c r="L362" s="532">
        <f t="shared" si="28"/>
        <v>0</v>
      </c>
      <c r="M362" s="532">
        <f t="shared" si="29"/>
        <v>0</v>
      </c>
      <c r="N362" s="532">
        <f t="shared" si="31"/>
        <v>0</v>
      </c>
    </row>
    <row r="363" spans="1:14">
      <c r="A363" s="3" t="str">
        <f t="shared" si="32"/>
        <v>11712</v>
      </c>
      <c r="B363" s="527" t="s">
        <v>296</v>
      </c>
      <c r="C363" s="134">
        <v>117</v>
      </c>
      <c r="D363" s="528" t="s">
        <v>22</v>
      </c>
      <c r="E363" s="533" t="s">
        <v>236</v>
      </c>
      <c r="F363" s="527" t="s">
        <v>1162</v>
      </c>
      <c r="G363" s="527" t="s">
        <v>1271</v>
      </c>
      <c r="H363" s="529">
        <v>12</v>
      </c>
      <c r="I363" s="530">
        <f>1*3.25*2</f>
        <v>6.5</v>
      </c>
      <c r="J363" s="630" t="s">
        <v>1161</v>
      </c>
      <c r="K363" s="531"/>
      <c r="L363" s="532">
        <f t="shared" si="28"/>
        <v>0</v>
      </c>
      <c r="M363" s="532">
        <f t="shared" si="29"/>
        <v>0</v>
      </c>
      <c r="N363" s="532">
        <f t="shared" si="31"/>
        <v>0</v>
      </c>
    </row>
    <row r="364" spans="1:14">
      <c r="A364" s="3" t="str">
        <f t="shared" si="32"/>
        <v>1172</v>
      </c>
      <c r="B364" s="527" t="s">
        <v>296</v>
      </c>
      <c r="C364" s="134">
        <v>117</v>
      </c>
      <c r="D364" s="528" t="s">
        <v>22</v>
      </c>
      <c r="E364" s="533" t="s">
        <v>191</v>
      </c>
      <c r="F364" s="527" t="s">
        <v>1172</v>
      </c>
      <c r="G364" s="527" t="s">
        <v>1272</v>
      </c>
      <c r="H364" s="529">
        <v>2</v>
      </c>
      <c r="I364" s="530">
        <v>12.01</v>
      </c>
      <c r="J364" s="630" t="s">
        <v>1161</v>
      </c>
      <c r="K364" s="531"/>
      <c r="L364" s="532">
        <f t="shared" si="28"/>
        <v>0</v>
      </c>
      <c r="M364" s="532">
        <f t="shared" si="29"/>
        <v>0</v>
      </c>
      <c r="N364" s="532">
        <f t="shared" si="31"/>
        <v>0</v>
      </c>
    </row>
    <row r="365" spans="1:14">
      <c r="A365" s="3" t="str">
        <f t="shared" si="32"/>
        <v>1172</v>
      </c>
      <c r="B365" s="527" t="s">
        <v>296</v>
      </c>
      <c r="C365" s="134">
        <v>117</v>
      </c>
      <c r="D365" s="528" t="s">
        <v>22</v>
      </c>
      <c r="E365" s="533" t="s">
        <v>191</v>
      </c>
      <c r="F365" s="527" t="s">
        <v>1174</v>
      </c>
      <c r="G365" s="527" t="s">
        <v>1272</v>
      </c>
      <c r="H365" s="529">
        <v>2</v>
      </c>
      <c r="I365" s="530">
        <v>12.01</v>
      </c>
      <c r="J365" s="630" t="s">
        <v>1164</v>
      </c>
      <c r="K365" s="531"/>
      <c r="L365" s="532">
        <f t="shared" si="28"/>
        <v>0</v>
      </c>
      <c r="M365" s="532">
        <f t="shared" si="29"/>
        <v>0</v>
      </c>
      <c r="N365" s="532">
        <f t="shared" si="31"/>
        <v>0</v>
      </c>
    </row>
    <row r="366" spans="1:14">
      <c r="A366" s="3" t="str">
        <f t="shared" si="32"/>
        <v>1172</v>
      </c>
      <c r="B366" s="527" t="s">
        <v>296</v>
      </c>
      <c r="C366" s="134">
        <v>117</v>
      </c>
      <c r="D366" s="528" t="s">
        <v>22</v>
      </c>
      <c r="E366" s="533" t="s">
        <v>191</v>
      </c>
      <c r="F366" s="527" t="s">
        <v>1175</v>
      </c>
      <c r="G366" s="527" t="s">
        <v>1217</v>
      </c>
      <c r="H366" s="529">
        <v>2</v>
      </c>
      <c r="I366" s="530">
        <v>1.92</v>
      </c>
      <c r="J366" s="630" t="s">
        <v>1161</v>
      </c>
      <c r="K366" s="531"/>
      <c r="L366" s="532">
        <f t="shared" si="28"/>
        <v>0</v>
      </c>
      <c r="M366" s="532">
        <f t="shared" si="29"/>
        <v>0</v>
      </c>
      <c r="N366" s="532">
        <f t="shared" si="31"/>
        <v>0</v>
      </c>
    </row>
    <row r="367" spans="1:14">
      <c r="A367" s="3" t="str">
        <f t="shared" si="32"/>
        <v>1172</v>
      </c>
      <c r="B367" s="527" t="s">
        <v>296</v>
      </c>
      <c r="C367" s="134">
        <v>117</v>
      </c>
      <c r="D367" s="528" t="s">
        <v>22</v>
      </c>
      <c r="E367" s="533" t="s">
        <v>191</v>
      </c>
      <c r="F367" s="527" t="s">
        <v>1177</v>
      </c>
      <c r="G367" s="527" t="s">
        <v>1217</v>
      </c>
      <c r="H367" s="529">
        <v>2</v>
      </c>
      <c r="I367" s="530">
        <v>1.92</v>
      </c>
      <c r="J367" s="630" t="s">
        <v>1161</v>
      </c>
      <c r="K367" s="531"/>
      <c r="L367" s="532">
        <f t="shared" si="28"/>
        <v>0</v>
      </c>
      <c r="M367" s="532">
        <f t="shared" si="29"/>
        <v>0</v>
      </c>
      <c r="N367" s="532">
        <f t="shared" si="31"/>
        <v>0</v>
      </c>
    </row>
    <row r="368" spans="1:14">
      <c r="A368" s="3" t="str">
        <f t="shared" si="32"/>
        <v>1172</v>
      </c>
      <c r="B368" s="527" t="s">
        <v>296</v>
      </c>
      <c r="C368" s="134">
        <v>117</v>
      </c>
      <c r="D368" s="528" t="s">
        <v>22</v>
      </c>
      <c r="E368" s="533" t="s">
        <v>63</v>
      </c>
      <c r="F368" s="527" t="s">
        <v>1160</v>
      </c>
      <c r="G368" s="527" t="s">
        <v>1273</v>
      </c>
      <c r="H368" s="529">
        <v>2</v>
      </c>
      <c r="I368" s="530">
        <f>6*3*2</f>
        <v>36</v>
      </c>
      <c r="J368" s="630" t="s">
        <v>1164</v>
      </c>
      <c r="K368" s="531"/>
      <c r="L368" s="532">
        <f t="shared" si="28"/>
        <v>0</v>
      </c>
      <c r="M368" s="532">
        <f t="shared" si="29"/>
        <v>0</v>
      </c>
      <c r="N368" s="532">
        <f t="shared" si="31"/>
        <v>0</v>
      </c>
    </row>
    <row r="369" spans="1:14">
      <c r="A369" s="3" t="str">
        <f t="shared" si="32"/>
        <v>1172</v>
      </c>
      <c r="B369" s="527" t="s">
        <v>296</v>
      </c>
      <c r="C369" s="134">
        <v>117</v>
      </c>
      <c r="D369" s="528" t="s">
        <v>22</v>
      </c>
      <c r="E369" s="533" t="s">
        <v>63</v>
      </c>
      <c r="F369" s="527" t="s">
        <v>1163</v>
      </c>
      <c r="G369" s="527" t="s">
        <v>1273</v>
      </c>
      <c r="H369" s="529">
        <v>2</v>
      </c>
      <c r="I369" s="530">
        <f>6*3*2</f>
        <v>36</v>
      </c>
      <c r="J369" s="630" t="s">
        <v>1164</v>
      </c>
      <c r="K369" s="531"/>
      <c r="L369" s="532">
        <f t="shared" si="28"/>
        <v>0</v>
      </c>
      <c r="M369" s="532">
        <f t="shared" si="29"/>
        <v>0</v>
      </c>
      <c r="N369" s="532">
        <f t="shared" si="31"/>
        <v>0</v>
      </c>
    </row>
    <row r="370" spans="1:14">
      <c r="A370" s="3" t="str">
        <f t="shared" si="32"/>
        <v>1172</v>
      </c>
      <c r="B370" s="527" t="s">
        <v>296</v>
      </c>
      <c r="C370" s="134">
        <v>117</v>
      </c>
      <c r="D370" s="528" t="s">
        <v>22</v>
      </c>
      <c r="E370" s="533" t="s">
        <v>236</v>
      </c>
      <c r="F370" s="527" t="s">
        <v>1212</v>
      </c>
      <c r="G370" s="527" t="s">
        <v>1229</v>
      </c>
      <c r="H370" s="529">
        <v>2</v>
      </c>
      <c r="I370" s="530">
        <v>2</v>
      </c>
      <c r="J370" s="630" t="s">
        <v>1161</v>
      </c>
      <c r="K370" s="531"/>
      <c r="L370" s="532">
        <f t="shared" si="28"/>
        <v>0</v>
      </c>
      <c r="M370" s="532">
        <f t="shared" si="29"/>
        <v>0</v>
      </c>
      <c r="N370" s="532">
        <f t="shared" si="31"/>
        <v>0</v>
      </c>
    </row>
    <row r="371" spans="1:14">
      <c r="A371" s="3" t="str">
        <f t="shared" si="32"/>
        <v>1172</v>
      </c>
      <c r="B371" s="527" t="s">
        <v>296</v>
      </c>
      <c r="C371" s="134">
        <v>117</v>
      </c>
      <c r="D371" s="528" t="s">
        <v>22</v>
      </c>
      <c r="E371" s="533" t="s">
        <v>236</v>
      </c>
      <c r="F371" s="527" t="s">
        <v>1215</v>
      </c>
      <c r="G371" s="527" t="s">
        <v>1229</v>
      </c>
      <c r="H371" s="529">
        <v>2</v>
      </c>
      <c r="I371" s="530">
        <v>2</v>
      </c>
      <c r="J371" s="630" t="s">
        <v>1164</v>
      </c>
      <c r="K371" s="531"/>
      <c r="L371" s="532">
        <f t="shared" si="28"/>
        <v>0</v>
      </c>
      <c r="M371" s="532">
        <f t="shared" si="29"/>
        <v>0</v>
      </c>
      <c r="N371" s="532">
        <f t="shared" si="31"/>
        <v>0</v>
      </c>
    </row>
    <row r="372" spans="1:14">
      <c r="A372" s="3" t="str">
        <f t="shared" si="32"/>
        <v>1172</v>
      </c>
      <c r="B372" s="527" t="s">
        <v>296</v>
      </c>
      <c r="C372" s="134">
        <v>117</v>
      </c>
      <c r="D372" s="528" t="s">
        <v>22</v>
      </c>
      <c r="E372" s="533" t="s">
        <v>223</v>
      </c>
      <c r="F372" s="527" t="s">
        <v>1221</v>
      </c>
      <c r="G372" s="527" t="s">
        <v>1274</v>
      </c>
      <c r="H372" s="529">
        <v>2</v>
      </c>
      <c r="I372" s="530">
        <f>6.7*3.1</f>
        <v>20.77</v>
      </c>
      <c r="J372" s="630" t="s">
        <v>1164</v>
      </c>
      <c r="K372" s="531" t="s">
        <v>1223</v>
      </c>
      <c r="L372" s="532">
        <f t="shared" si="28"/>
        <v>0</v>
      </c>
      <c r="M372" s="532">
        <f t="shared" si="29"/>
        <v>0</v>
      </c>
      <c r="N372" s="532">
        <f t="shared" si="31"/>
        <v>0</v>
      </c>
    </row>
    <row r="373" spans="1:14">
      <c r="A373" s="3" t="str">
        <f t="shared" si="32"/>
        <v>1172</v>
      </c>
      <c r="B373" s="527" t="s">
        <v>296</v>
      </c>
      <c r="C373" s="134">
        <v>117</v>
      </c>
      <c r="D373" s="528" t="s">
        <v>22</v>
      </c>
      <c r="E373" s="533" t="s">
        <v>223</v>
      </c>
      <c r="F373" s="527" t="s">
        <v>1221</v>
      </c>
      <c r="G373" s="527" t="s">
        <v>1275</v>
      </c>
      <c r="H373" s="529">
        <v>2</v>
      </c>
      <c r="I373" s="530">
        <f>6.7*2.4</f>
        <v>16.079999999999998</v>
      </c>
      <c r="J373" s="630" t="s">
        <v>1164</v>
      </c>
      <c r="K373" s="531" t="s">
        <v>1223</v>
      </c>
      <c r="L373" s="532">
        <f t="shared" si="28"/>
        <v>0</v>
      </c>
      <c r="M373" s="532">
        <f t="shared" si="29"/>
        <v>0</v>
      </c>
      <c r="N373" s="532">
        <f t="shared" si="31"/>
        <v>0</v>
      </c>
    </row>
    <row r="374" spans="1:14">
      <c r="A374" s="3" t="str">
        <f t="shared" si="32"/>
        <v>11712</v>
      </c>
      <c r="B374" s="527" t="s">
        <v>296</v>
      </c>
      <c r="C374" s="134">
        <v>117</v>
      </c>
      <c r="D374" s="528" t="s">
        <v>22</v>
      </c>
      <c r="E374" s="533" t="s">
        <v>236</v>
      </c>
      <c r="F374" s="527" t="s">
        <v>1162</v>
      </c>
      <c r="G374" s="527" t="s">
        <v>1276</v>
      </c>
      <c r="H374" s="529">
        <v>12</v>
      </c>
      <c r="I374" s="530">
        <f>1*4.25*2</f>
        <v>8.5</v>
      </c>
      <c r="J374" s="630" t="s">
        <v>1161</v>
      </c>
      <c r="K374" s="531"/>
      <c r="L374" s="532">
        <f t="shared" si="28"/>
        <v>0</v>
      </c>
      <c r="M374" s="532">
        <f t="shared" si="29"/>
        <v>0</v>
      </c>
      <c r="N374" s="532">
        <f t="shared" si="31"/>
        <v>0</v>
      </c>
    </row>
    <row r="375" spans="1:14">
      <c r="A375" s="3" t="str">
        <f t="shared" si="32"/>
        <v>1172</v>
      </c>
      <c r="B375" s="527" t="s">
        <v>296</v>
      </c>
      <c r="C375" s="134">
        <v>117</v>
      </c>
      <c r="D375" s="528" t="s">
        <v>22</v>
      </c>
      <c r="E375" s="533" t="s">
        <v>46</v>
      </c>
      <c r="F375" s="527" t="s">
        <v>1172</v>
      </c>
      <c r="G375" s="527" t="s">
        <v>1277</v>
      </c>
      <c r="H375" s="529">
        <v>2</v>
      </c>
      <c r="I375" s="530">
        <v>14.58</v>
      </c>
      <c r="J375" s="630" t="s">
        <v>1161</v>
      </c>
      <c r="K375" s="531"/>
      <c r="L375" s="532">
        <f t="shared" si="28"/>
        <v>0</v>
      </c>
      <c r="M375" s="532">
        <f t="shared" si="29"/>
        <v>0</v>
      </c>
      <c r="N375" s="532">
        <f t="shared" si="31"/>
        <v>0</v>
      </c>
    </row>
    <row r="376" spans="1:14">
      <c r="A376" s="3" t="str">
        <f t="shared" si="32"/>
        <v>1172</v>
      </c>
      <c r="B376" s="527" t="s">
        <v>296</v>
      </c>
      <c r="C376" s="134">
        <v>117</v>
      </c>
      <c r="D376" s="528" t="s">
        <v>22</v>
      </c>
      <c r="E376" s="533" t="s">
        <v>46</v>
      </c>
      <c r="F376" s="527" t="s">
        <v>1174</v>
      </c>
      <c r="G376" s="527" t="s">
        <v>1277</v>
      </c>
      <c r="H376" s="529">
        <v>2</v>
      </c>
      <c r="I376" s="530">
        <v>14.58</v>
      </c>
      <c r="J376" s="630" t="s">
        <v>1164</v>
      </c>
      <c r="K376" s="531"/>
      <c r="L376" s="532">
        <f t="shared" si="28"/>
        <v>0</v>
      </c>
      <c r="M376" s="532">
        <f t="shared" si="29"/>
        <v>0</v>
      </c>
      <c r="N376" s="532">
        <f t="shared" si="31"/>
        <v>0</v>
      </c>
    </row>
    <row r="377" spans="1:14">
      <c r="A377" s="3" t="str">
        <f t="shared" si="32"/>
        <v>1172</v>
      </c>
      <c r="B377" s="527" t="s">
        <v>296</v>
      </c>
      <c r="C377" s="134">
        <v>117</v>
      </c>
      <c r="D377" s="528" t="s">
        <v>22</v>
      </c>
      <c r="E377" s="533" t="s">
        <v>46</v>
      </c>
      <c r="F377" s="527" t="s">
        <v>1175</v>
      </c>
      <c r="G377" s="527" t="s">
        <v>1217</v>
      </c>
      <c r="H377" s="529">
        <v>2</v>
      </c>
      <c r="I377" s="530">
        <v>1.92</v>
      </c>
      <c r="J377" s="630" t="s">
        <v>1161</v>
      </c>
      <c r="K377" s="531"/>
      <c r="L377" s="532">
        <f t="shared" si="28"/>
        <v>0</v>
      </c>
      <c r="M377" s="532">
        <f t="shared" si="29"/>
        <v>0</v>
      </c>
      <c r="N377" s="532">
        <f t="shared" si="31"/>
        <v>0</v>
      </c>
    </row>
    <row r="378" spans="1:14">
      <c r="A378" s="3" t="str">
        <f t="shared" si="32"/>
        <v>1172</v>
      </c>
      <c r="B378" s="527" t="s">
        <v>296</v>
      </c>
      <c r="C378" s="134">
        <v>117</v>
      </c>
      <c r="D378" s="528" t="s">
        <v>22</v>
      </c>
      <c r="E378" s="533" t="s">
        <v>46</v>
      </c>
      <c r="F378" s="527" t="s">
        <v>1177</v>
      </c>
      <c r="G378" s="527" t="s">
        <v>1217</v>
      </c>
      <c r="H378" s="529">
        <v>2</v>
      </c>
      <c r="I378" s="530">
        <v>1.92</v>
      </c>
      <c r="J378" s="630" t="s">
        <v>1161</v>
      </c>
      <c r="K378" s="531"/>
      <c r="L378" s="532">
        <f t="shared" si="28"/>
        <v>0</v>
      </c>
      <c r="M378" s="532">
        <f t="shared" si="29"/>
        <v>0</v>
      </c>
      <c r="N378" s="532">
        <f t="shared" si="31"/>
        <v>0</v>
      </c>
    </row>
    <row r="379" spans="1:14">
      <c r="A379" s="3" t="str">
        <f t="shared" si="32"/>
        <v>1172</v>
      </c>
      <c r="B379" s="527" t="s">
        <v>296</v>
      </c>
      <c r="C379" s="134">
        <v>117</v>
      </c>
      <c r="D379" s="528" t="s">
        <v>22</v>
      </c>
      <c r="E379" s="533" t="s">
        <v>183</v>
      </c>
      <c r="F379" s="527" t="s">
        <v>1163</v>
      </c>
      <c r="G379" s="527" t="s">
        <v>1278</v>
      </c>
      <c r="H379" s="529">
        <v>2</v>
      </c>
      <c r="I379" s="530">
        <v>5.46</v>
      </c>
      <c r="J379" s="630" t="s">
        <v>1161</v>
      </c>
      <c r="K379" s="531" t="s">
        <v>1223</v>
      </c>
      <c r="L379" s="532">
        <f t="shared" si="28"/>
        <v>0</v>
      </c>
      <c r="M379" s="532">
        <f t="shared" si="29"/>
        <v>0</v>
      </c>
      <c r="N379" s="532">
        <f t="shared" si="31"/>
        <v>0</v>
      </c>
    </row>
    <row r="380" spans="1:14">
      <c r="B380" s="527" t="s">
        <v>296</v>
      </c>
      <c r="C380" s="134">
        <v>117</v>
      </c>
      <c r="D380" s="528" t="s">
        <v>22</v>
      </c>
      <c r="E380" s="533" t="s">
        <v>183</v>
      </c>
      <c r="F380" s="527" t="s">
        <v>1160</v>
      </c>
      <c r="G380" s="527" t="s">
        <v>1278</v>
      </c>
      <c r="H380" s="529">
        <v>2</v>
      </c>
      <c r="I380" s="530">
        <v>5.46</v>
      </c>
      <c r="J380" s="630" t="s">
        <v>1161</v>
      </c>
      <c r="K380" s="531"/>
      <c r="L380" s="532">
        <f t="shared" si="28"/>
        <v>0</v>
      </c>
      <c r="M380" s="532">
        <f t="shared" si="29"/>
        <v>0</v>
      </c>
      <c r="N380" s="532">
        <f t="shared" si="31"/>
        <v>0</v>
      </c>
    </row>
    <row r="381" spans="1:14">
      <c r="A381" s="3" t="str">
        <f>CONCATENATE(C381,H381)</f>
        <v>1172</v>
      </c>
      <c r="B381" s="527" t="s">
        <v>296</v>
      </c>
      <c r="C381" s="134">
        <v>117</v>
      </c>
      <c r="D381" s="528" t="s">
        <v>22</v>
      </c>
      <c r="E381" s="533" t="s">
        <v>183</v>
      </c>
      <c r="F381" s="527" t="s">
        <v>1160</v>
      </c>
      <c r="G381" s="527" t="s">
        <v>1279</v>
      </c>
      <c r="H381" s="529">
        <v>2</v>
      </c>
      <c r="I381" s="530">
        <f>(9.35+1.95)*2.25</f>
        <v>25.424999999999997</v>
      </c>
      <c r="J381" s="630" t="s">
        <v>1164</v>
      </c>
      <c r="K381" s="531"/>
      <c r="L381" s="532">
        <f t="shared" si="28"/>
        <v>0</v>
      </c>
      <c r="M381" s="532">
        <f t="shared" si="29"/>
        <v>0</v>
      </c>
      <c r="N381" s="532">
        <f t="shared" si="31"/>
        <v>0</v>
      </c>
    </row>
    <row r="382" spans="1:14">
      <c r="A382" s="3" t="str">
        <f>CONCATENATE(C382,H382)</f>
        <v>1172</v>
      </c>
      <c r="B382" s="527" t="s">
        <v>296</v>
      </c>
      <c r="C382" s="134">
        <v>117</v>
      </c>
      <c r="D382" s="528" t="s">
        <v>22</v>
      </c>
      <c r="E382" s="533" t="s">
        <v>183</v>
      </c>
      <c r="F382" s="527" t="s">
        <v>1163</v>
      </c>
      <c r="G382" s="527" t="s">
        <v>1279</v>
      </c>
      <c r="H382" s="529">
        <v>2</v>
      </c>
      <c r="I382" s="530">
        <f>(9.35+1.95)*2.25</f>
        <v>25.424999999999997</v>
      </c>
      <c r="J382" s="630" t="s">
        <v>1164</v>
      </c>
      <c r="K382" s="531"/>
      <c r="L382" s="532">
        <f t="shared" si="28"/>
        <v>0</v>
      </c>
      <c r="M382" s="532">
        <f t="shared" si="29"/>
        <v>0</v>
      </c>
      <c r="N382" s="532">
        <f t="shared" si="31"/>
        <v>0</v>
      </c>
    </row>
    <row r="383" spans="1:14">
      <c r="B383" s="527" t="s">
        <v>296</v>
      </c>
      <c r="C383" s="134">
        <v>117</v>
      </c>
      <c r="D383" s="528" t="s">
        <v>22</v>
      </c>
      <c r="E383" s="135"/>
      <c r="F383" s="527" t="s">
        <v>1160</v>
      </c>
      <c r="G383" s="527" t="s">
        <v>1971</v>
      </c>
      <c r="H383" s="529">
        <v>2</v>
      </c>
      <c r="I383" s="530">
        <v>4.38</v>
      </c>
      <c r="J383" s="630" t="s">
        <v>1161</v>
      </c>
      <c r="K383" s="531"/>
      <c r="L383" s="532">
        <f t="shared" si="28"/>
        <v>0</v>
      </c>
      <c r="M383" s="532">
        <f t="shared" si="29"/>
        <v>0</v>
      </c>
      <c r="N383" s="532">
        <f t="shared" si="31"/>
        <v>0</v>
      </c>
    </row>
    <row r="384" spans="1:14">
      <c r="B384" s="527" t="s">
        <v>296</v>
      </c>
      <c r="C384" s="134">
        <v>117</v>
      </c>
      <c r="D384" s="528" t="s">
        <v>22</v>
      </c>
      <c r="E384" s="135"/>
      <c r="F384" s="527" t="s">
        <v>1163</v>
      </c>
      <c r="G384" s="527" t="s">
        <v>1971</v>
      </c>
      <c r="H384" s="529">
        <v>2</v>
      </c>
      <c r="I384" s="530">
        <v>4.38</v>
      </c>
      <c r="J384" s="630" t="s">
        <v>1161</v>
      </c>
      <c r="K384" s="531"/>
      <c r="L384" s="532">
        <f t="shared" si="28"/>
        <v>0</v>
      </c>
      <c r="M384" s="532">
        <f t="shared" si="29"/>
        <v>0</v>
      </c>
      <c r="N384" s="532">
        <f t="shared" si="31"/>
        <v>0</v>
      </c>
    </row>
    <row r="385" spans="1:14">
      <c r="A385" s="3" t="str">
        <f t="shared" ref="A385:A416" si="33">CONCATENATE(C385,H385)</f>
        <v>1172</v>
      </c>
      <c r="B385" s="527" t="s">
        <v>296</v>
      </c>
      <c r="C385" s="134">
        <v>117</v>
      </c>
      <c r="D385" s="528" t="s">
        <v>22</v>
      </c>
      <c r="E385" s="533" t="s">
        <v>230</v>
      </c>
      <c r="F385" s="527" t="s">
        <v>1160</v>
      </c>
      <c r="G385" s="527" t="s">
        <v>1280</v>
      </c>
      <c r="H385" s="529">
        <v>2</v>
      </c>
      <c r="I385" s="530">
        <v>19.88</v>
      </c>
      <c r="J385" s="630" t="s">
        <v>1161</v>
      </c>
      <c r="K385" s="531"/>
      <c r="L385" s="532">
        <f t="shared" si="28"/>
        <v>0</v>
      </c>
      <c r="M385" s="532">
        <f t="shared" si="29"/>
        <v>0</v>
      </c>
      <c r="N385" s="532">
        <f t="shared" si="31"/>
        <v>0</v>
      </c>
    </row>
    <row r="386" spans="1:14">
      <c r="A386" s="3" t="str">
        <f t="shared" si="33"/>
        <v>1172</v>
      </c>
      <c r="B386" s="527" t="s">
        <v>296</v>
      </c>
      <c r="C386" s="134">
        <v>117</v>
      </c>
      <c r="D386" s="528" t="s">
        <v>22</v>
      </c>
      <c r="E386" s="533" t="s">
        <v>230</v>
      </c>
      <c r="F386" s="527" t="s">
        <v>1163</v>
      </c>
      <c r="G386" s="527" t="s">
        <v>1280</v>
      </c>
      <c r="H386" s="529">
        <v>2</v>
      </c>
      <c r="I386" s="530">
        <v>19.88</v>
      </c>
      <c r="J386" s="630" t="s">
        <v>1161</v>
      </c>
      <c r="K386" s="531"/>
      <c r="L386" s="532">
        <f t="shared" si="28"/>
        <v>0</v>
      </c>
      <c r="M386" s="532">
        <f t="shared" si="29"/>
        <v>0</v>
      </c>
      <c r="N386" s="532">
        <f t="shared" si="31"/>
        <v>0</v>
      </c>
    </row>
    <row r="387" spans="1:14">
      <c r="A387" s="3" t="str">
        <f t="shared" si="33"/>
        <v>11726</v>
      </c>
      <c r="B387" s="527" t="s">
        <v>1306</v>
      </c>
      <c r="C387" s="134">
        <v>117</v>
      </c>
      <c r="D387" s="528" t="s">
        <v>22</v>
      </c>
      <c r="E387" s="135"/>
      <c r="F387" s="527" t="s">
        <v>1162</v>
      </c>
      <c r="G387" s="527" t="s">
        <v>1308</v>
      </c>
      <c r="H387" s="529">
        <v>26</v>
      </c>
      <c r="I387" s="530">
        <v>23.8</v>
      </c>
      <c r="J387" s="630" t="s">
        <v>1161</v>
      </c>
      <c r="K387" s="531" t="s">
        <v>1309</v>
      </c>
      <c r="L387" s="532">
        <f t="shared" si="28"/>
        <v>0</v>
      </c>
      <c r="M387" s="532">
        <f t="shared" si="29"/>
        <v>0</v>
      </c>
      <c r="N387" s="532">
        <f t="shared" si="31"/>
        <v>0</v>
      </c>
    </row>
    <row r="388" spans="1:14">
      <c r="A388" s="3" t="str">
        <f t="shared" si="33"/>
        <v>1182</v>
      </c>
      <c r="B388" s="527" t="s">
        <v>198</v>
      </c>
      <c r="C388" s="134">
        <v>118</v>
      </c>
      <c r="D388" s="528" t="s">
        <v>22</v>
      </c>
      <c r="E388" s="533" t="s">
        <v>63</v>
      </c>
      <c r="F388" s="527" t="s">
        <v>1160</v>
      </c>
      <c r="G388" s="527" t="s">
        <v>1264</v>
      </c>
      <c r="H388" s="529">
        <v>2</v>
      </c>
      <c r="I388" s="530">
        <f>+(7.9+3.2)*2.8+(4.8+1+2.1+2.1)*2.8-2</f>
        <v>57.08</v>
      </c>
      <c r="J388" s="630" t="s">
        <v>1164</v>
      </c>
      <c r="K388" s="531"/>
      <c r="L388" s="532">
        <f t="shared" si="28"/>
        <v>0</v>
      </c>
      <c r="M388" s="532">
        <f t="shared" si="29"/>
        <v>0</v>
      </c>
      <c r="N388" s="532">
        <f t="shared" si="31"/>
        <v>0</v>
      </c>
    </row>
    <row r="389" spans="1:14">
      <c r="A389" s="3" t="str">
        <f t="shared" si="33"/>
        <v>1182</v>
      </c>
      <c r="B389" s="527" t="s">
        <v>198</v>
      </c>
      <c r="C389" s="134">
        <v>118</v>
      </c>
      <c r="D389" s="528" t="s">
        <v>22</v>
      </c>
      <c r="E389" s="533" t="s">
        <v>63</v>
      </c>
      <c r="F389" s="527" t="s">
        <v>1163</v>
      </c>
      <c r="G389" s="527" t="s">
        <v>1264</v>
      </c>
      <c r="H389" s="529">
        <v>2</v>
      </c>
      <c r="I389" s="530">
        <f>+(7.9+3.2)*2.8+(4.8+1+2.1+2.1)*2.8-2</f>
        <v>57.08</v>
      </c>
      <c r="J389" s="630" t="s">
        <v>1164</v>
      </c>
      <c r="K389" s="531"/>
      <c r="L389" s="532">
        <f t="shared" si="28"/>
        <v>0</v>
      </c>
      <c r="M389" s="532">
        <f t="shared" si="29"/>
        <v>0</v>
      </c>
      <c r="N389" s="532">
        <f t="shared" si="31"/>
        <v>0</v>
      </c>
    </row>
    <row r="390" spans="1:14">
      <c r="A390" s="3" t="str">
        <f t="shared" si="33"/>
        <v>1182</v>
      </c>
      <c r="B390" s="527" t="s">
        <v>198</v>
      </c>
      <c r="C390" s="134">
        <v>118</v>
      </c>
      <c r="D390" s="528" t="s">
        <v>22</v>
      </c>
      <c r="E390" s="533" t="s">
        <v>207</v>
      </c>
      <c r="F390" s="527" t="s">
        <v>1160</v>
      </c>
      <c r="G390" s="527" t="s">
        <v>1281</v>
      </c>
      <c r="H390" s="529">
        <v>2</v>
      </c>
      <c r="I390" s="530">
        <f>0.35*1.35+1.3*1.3+1.4*1.3+(1.8*0.75)*0.5</f>
        <v>4.6574999999999998</v>
      </c>
      <c r="J390" s="630" t="s">
        <v>1161</v>
      </c>
      <c r="K390" s="531"/>
      <c r="L390" s="532">
        <f t="shared" si="28"/>
        <v>0</v>
      </c>
      <c r="M390" s="532">
        <f t="shared" si="29"/>
        <v>0</v>
      </c>
      <c r="N390" s="532">
        <f t="shared" si="31"/>
        <v>0</v>
      </c>
    </row>
    <row r="391" spans="1:14">
      <c r="A391" s="3" t="str">
        <f t="shared" si="33"/>
        <v>1182</v>
      </c>
      <c r="B391" s="527" t="s">
        <v>198</v>
      </c>
      <c r="C391" s="134">
        <v>118</v>
      </c>
      <c r="D391" s="528" t="s">
        <v>22</v>
      </c>
      <c r="E391" s="533" t="s">
        <v>207</v>
      </c>
      <c r="F391" s="527" t="s">
        <v>1163</v>
      </c>
      <c r="G391" s="527" t="s">
        <v>1281</v>
      </c>
      <c r="H391" s="529">
        <v>2</v>
      </c>
      <c r="I391" s="530">
        <f>0.35*1.35+1.3*1.3+1.4*1.3+(1.8*0.75)*0.5</f>
        <v>4.6574999999999998</v>
      </c>
      <c r="J391" s="630" t="s">
        <v>1161</v>
      </c>
      <c r="K391" s="531"/>
      <c r="L391" s="532">
        <f t="shared" si="28"/>
        <v>0</v>
      </c>
      <c r="M391" s="532">
        <f t="shared" si="29"/>
        <v>0</v>
      </c>
      <c r="N391" s="532">
        <f t="shared" si="31"/>
        <v>0</v>
      </c>
    </row>
    <row r="392" spans="1:14">
      <c r="A392" s="3" t="str">
        <f t="shared" si="33"/>
        <v>1182</v>
      </c>
      <c r="B392" s="527" t="s">
        <v>198</v>
      </c>
      <c r="C392" s="134">
        <v>118</v>
      </c>
      <c r="D392" s="528" t="s">
        <v>22</v>
      </c>
      <c r="E392" s="533" t="s">
        <v>63</v>
      </c>
      <c r="F392" s="527" t="s">
        <v>1221</v>
      </c>
      <c r="G392" s="527" t="s">
        <v>1222</v>
      </c>
      <c r="H392" s="529">
        <v>2</v>
      </c>
      <c r="I392" s="530">
        <f>6.6*3.4</f>
        <v>22.439999999999998</v>
      </c>
      <c r="J392" s="630" t="s">
        <v>1164</v>
      </c>
      <c r="K392" s="531" t="s">
        <v>1223</v>
      </c>
      <c r="L392" s="532">
        <f t="shared" si="28"/>
        <v>0</v>
      </c>
      <c r="M392" s="532">
        <f t="shared" si="29"/>
        <v>0</v>
      </c>
      <c r="N392" s="532">
        <f t="shared" si="31"/>
        <v>0</v>
      </c>
    </row>
    <row r="393" spans="1:14">
      <c r="A393" s="3" t="str">
        <f t="shared" si="33"/>
        <v>1182</v>
      </c>
      <c r="B393" s="527" t="s">
        <v>198</v>
      </c>
      <c r="C393" s="134">
        <v>118</v>
      </c>
      <c r="D393" s="528" t="s">
        <v>22</v>
      </c>
      <c r="E393" s="533" t="s">
        <v>63</v>
      </c>
      <c r="F393" s="527" t="s">
        <v>1221</v>
      </c>
      <c r="G393" s="527" t="s">
        <v>1224</v>
      </c>
      <c r="H393" s="529">
        <v>2</v>
      </c>
      <c r="I393" s="530">
        <f>6.6*2.45</f>
        <v>16.170000000000002</v>
      </c>
      <c r="J393" s="630" t="s">
        <v>1164</v>
      </c>
      <c r="K393" s="531" t="s">
        <v>1223</v>
      </c>
      <c r="L393" s="532">
        <f t="shared" si="28"/>
        <v>0</v>
      </c>
      <c r="M393" s="532">
        <f t="shared" si="29"/>
        <v>0</v>
      </c>
      <c r="N393" s="532">
        <f t="shared" si="31"/>
        <v>0</v>
      </c>
    </row>
    <row r="394" spans="1:14">
      <c r="A394" s="3" t="str">
        <f t="shared" si="33"/>
        <v>1182</v>
      </c>
      <c r="B394" s="527" t="s">
        <v>198</v>
      </c>
      <c r="C394" s="134">
        <v>118</v>
      </c>
      <c r="D394" s="528" t="s">
        <v>22</v>
      </c>
      <c r="E394" s="533" t="s">
        <v>63</v>
      </c>
      <c r="F394" s="527" t="s">
        <v>1160</v>
      </c>
      <c r="G394" s="527" t="s">
        <v>1282</v>
      </c>
      <c r="H394" s="529">
        <v>2</v>
      </c>
      <c r="I394" s="530">
        <f>6*2.5*2</f>
        <v>30</v>
      </c>
      <c r="J394" s="630" t="s">
        <v>1164</v>
      </c>
      <c r="K394" s="531"/>
      <c r="L394" s="532">
        <f t="shared" si="28"/>
        <v>0</v>
      </c>
      <c r="M394" s="532">
        <f t="shared" si="29"/>
        <v>0</v>
      </c>
      <c r="N394" s="532">
        <f t="shared" si="31"/>
        <v>0</v>
      </c>
    </row>
    <row r="395" spans="1:14">
      <c r="A395" s="3" t="str">
        <f t="shared" si="33"/>
        <v>1182</v>
      </c>
      <c r="B395" s="527" t="s">
        <v>198</v>
      </c>
      <c r="C395" s="134">
        <v>118</v>
      </c>
      <c r="D395" s="528" t="s">
        <v>22</v>
      </c>
      <c r="E395" s="533" t="s">
        <v>63</v>
      </c>
      <c r="F395" s="527" t="s">
        <v>1163</v>
      </c>
      <c r="G395" s="527" t="s">
        <v>1282</v>
      </c>
      <c r="H395" s="529">
        <v>2</v>
      </c>
      <c r="I395" s="530">
        <f>6*2.5*2</f>
        <v>30</v>
      </c>
      <c r="J395" s="630" t="s">
        <v>1164</v>
      </c>
      <c r="K395" s="531"/>
      <c r="L395" s="532">
        <f t="shared" si="28"/>
        <v>0</v>
      </c>
      <c r="M395" s="532">
        <f t="shared" si="29"/>
        <v>0</v>
      </c>
      <c r="N395" s="532">
        <f t="shared" si="31"/>
        <v>0</v>
      </c>
    </row>
    <row r="396" spans="1:14">
      <c r="A396" s="3" t="str">
        <f t="shared" si="33"/>
        <v>1182</v>
      </c>
      <c r="B396" s="527" t="s">
        <v>198</v>
      </c>
      <c r="C396" s="134">
        <v>118</v>
      </c>
      <c r="D396" s="528" t="s">
        <v>22</v>
      </c>
      <c r="E396" s="533" t="s">
        <v>15</v>
      </c>
      <c r="F396" s="527" t="s">
        <v>1160</v>
      </c>
      <c r="G396" s="527" t="s">
        <v>1283</v>
      </c>
      <c r="H396" s="529">
        <v>2</v>
      </c>
      <c r="I396" s="530">
        <f>0.95*2.15*2</f>
        <v>4.085</v>
      </c>
      <c r="J396" s="630" t="s">
        <v>1164</v>
      </c>
      <c r="K396" s="531"/>
      <c r="L396" s="532">
        <f t="shared" si="28"/>
        <v>0</v>
      </c>
      <c r="M396" s="532">
        <f t="shared" si="29"/>
        <v>0</v>
      </c>
      <c r="N396" s="532">
        <f t="shared" si="31"/>
        <v>0</v>
      </c>
    </row>
    <row r="397" spans="1:14">
      <c r="A397" s="3" t="str">
        <f t="shared" si="33"/>
        <v>1182</v>
      </c>
      <c r="B397" s="527" t="s">
        <v>198</v>
      </c>
      <c r="C397" s="134">
        <v>118</v>
      </c>
      <c r="D397" s="528" t="s">
        <v>22</v>
      </c>
      <c r="E397" s="533" t="s">
        <v>15</v>
      </c>
      <c r="F397" s="527" t="s">
        <v>1163</v>
      </c>
      <c r="G397" s="527" t="s">
        <v>1283</v>
      </c>
      <c r="H397" s="529">
        <v>2</v>
      </c>
      <c r="I397" s="530">
        <f>0.95*2.15*2</f>
        <v>4.085</v>
      </c>
      <c r="J397" s="630" t="s">
        <v>1164</v>
      </c>
      <c r="K397" s="531"/>
      <c r="L397" s="532">
        <f t="shared" ref="L397:L460" si="34">IF(J397="ja",0,VLOOKUP(F397,Glassoort2,2,0))*I397</f>
        <v>0</v>
      </c>
      <c r="M397" s="532">
        <f t="shared" ref="M397:M460" si="35">IF(J397="ja",VLOOKUP(F397,Glassoort2,3,0))*I397</f>
        <v>0</v>
      </c>
      <c r="N397" s="532">
        <f t="shared" si="31"/>
        <v>0</v>
      </c>
    </row>
    <row r="398" spans="1:14">
      <c r="A398" s="3" t="str">
        <f t="shared" si="33"/>
        <v>1182</v>
      </c>
      <c r="B398" s="527" t="s">
        <v>198</v>
      </c>
      <c r="C398" s="134">
        <v>118</v>
      </c>
      <c r="D398" s="528" t="s">
        <v>22</v>
      </c>
      <c r="E398" s="533" t="s">
        <v>63</v>
      </c>
      <c r="F398" s="527" t="s">
        <v>1171</v>
      </c>
      <c r="G398" s="527" t="s">
        <v>1284</v>
      </c>
      <c r="H398" s="529">
        <v>2</v>
      </c>
      <c r="I398" s="530">
        <f>+(1.35+0.65)*12</f>
        <v>24</v>
      </c>
      <c r="J398" s="630" t="s">
        <v>1164</v>
      </c>
      <c r="K398" s="531" t="s">
        <v>1228</v>
      </c>
      <c r="L398" s="532">
        <f t="shared" si="34"/>
        <v>0</v>
      </c>
      <c r="M398" s="532">
        <f t="shared" si="35"/>
        <v>0</v>
      </c>
      <c r="N398" s="532">
        <f t="shared" si="31"/>
        <v>0</v>
      </c>
    </row>
    <row r="399" spans="1:14">
      <c r="A399" s="3" t="str">
        <f t="shared" si="33"/>
        <v>1182</v>
      </c>
      <c r="B399" s="527" t="s">
        <v>198</v>
      </c>
      <c r="C399" s="134">
        <v>118</v>
      </c>
      <c r="D399" s="528" t="s">
        <v>22</v>
      </c>
      <c r="E399" s="533" t="s">
        <v>63</v>
      </c>
      <c r="F399" s="527" t="s">
        <v>1169</v>
      </c>
      <c r="G399" s="527" t="s">
        <v>1284</v>
      </c>
      <c r="H399" s="529">
        <v>2</v>
      </c>
      <c r="I399" s="530">
        <f>+(1.35+0.65)*12</f>
        <v>24</v>
      </c>
      <c r="J399" s="630" t="s">
        <v>1164</v>
      </c>
      <c r="K399" s="531" t="s">
        <v>1228</v>
      </c>
      <c r="L399" s="532">
        <f t="shared" si="34"/>
        <v>0</v>
      </c>
      <c r="M399" s="532">
        <f t="shared" si="35"/>
        <v>0</v>
      </c>
      <c r="N399" s="532">
        <f t="shared" si="31"/>
        <v>0</v>
      </c>
    </row>
    <row r="400" spans="1:14">
      <c r="A400" s="3" t="str">
        <f t="shared" si="33"/>
        <v>1182</v>
      </c>
      <c r="B400" s="527" t="s">
        <v>198</v>
      </c>
      <c r="C400" s="134">
        <v>118</v>
      </c>
      <c r="D400" s="528" t="s">
        <v>22</v>
      </c>
      <c r="E400" s="533" t="s">
        <v>63</v>
      </c>
      <c r="F400" s="527" t="s">
        <v>1172</v>
      </c>
      <c r="G400" s="527" t="s">
        <v>1285</v>
      </c>
      <c r="H400" s="529">
        <v>2</v>
      </c>
      <c r="I400" s="530">
        <v>9.8000000000000007</v>
      </c>
      <c r="J400" s="630" t="s">
        <v>1161</v>
      </c>
      <c r="K400" s="531"/>
      <c r="L400" s="532">
        <f t="shared" si="34"/>
        <v>0</v>
      </c>
      <c r="M400" s="532">
        <f t="shared" si="35"/>
        <v>0</v>
      </c>
      <c r="N400" s="532">
        <f t="shared" si="31"/>
        <v>0</v>
      </c>
    </row>
    <row r="401" spans="1:14">
      <c r="A401" s="3" t="str">
        <f t="shared" si="33"/>
        <v>1182</v>
      </c>
      <c r="B401" s="527" t="s">
        <v>198</v>
      </c>
      <c r="C401" s="134">
        <v>118</v>
      </c>
      <c r="D401" s="528" t="s">
        <v>22</v>
      </c>
      <c r="E401" s="533" t="s">
        <v>63</v>
      </c>
      <c r="F401" s="527" t="s">
        <v>1174</v>
      </c>
      <c r="G401" s="527" t="s">
        <v>1285</v>
      </c>
      <c r="H401" s="529">
        <v>2</v>
      </c>
      <c r="I401" s="530">
        <v>9.8000000000000007</v>
      </c>
      <c r="J401" s="630" t="s">
        <v>1164</v>
      </c>
      <c r="K401" s="531"/>
      <c r="L401" s="532">
        <f t="shared" si="34"/>
        <v>0</v>
      </c>
      <c r="M401" s="532">
        <f t="shared" si="35"/>
        <v>0</v>
      </c>
      <c r="N401" s="532">
        <f t="shared" si="31"/>
        <v>0</v>
      </c>
    </row>
    <row r="402" spans="1:14">
      <c r="A402" s="3" t="str">
        <f t="shared" si="33"/>
        <v>1182</v>
      </c>
      <c r="B402" s="527" t="s">
        <v>198</v>
      </c>
      <c r="C402" s="134">
        <v>118</v>
      </c>
      <c r="D402" s="528" t="s">
        <v>22</v>
      </c>
      <c r="E402" s="533" t="s">
        <v>63</v>
      </c>
      <c r="F402" s="527" t="s">
        <v>1175</v>
      </c>
      <c r="G402" s="527" t="s">
        <v>1217</v>
      </c>
      <c r="H402" s="529">
        <v>2</v>
      </c>
      <c r="I402" s="530">
        <v>1.92</v>
      </c>
      <c r="J402" s="630" t="s">
        <v>1161</v>
      </c>
      <c r="K402" s="531"/>
      <c r="L402" s="532">
        <f t="shared" si="34"/>
        <v>0</v>
      </c>
      <c r="M402" s="532">
        <f t="shared" si="35"/>
        <v>0</v>
      </c>
      <c r="N402" s="532">
        <f t="shared" si="31"/>
        <v>0</v>
      </c>
    </row>
    <row r="403" spans="1:14">
      <c r="A403" s="3" t="str">
        <f t="shared" si="33"/>
        <v>1182</v>
      </c>
      <c r="B403" s="527" t="s">
        <v>198</v>
      </c>
      <c r="C403" s="134">
        <v>118</v>
      </c>
      <c r="D403" s="528" t="s">
        <v>22</v>
      </c>
      <c r="E403" s="533" t="s">
        <v>63</v>
      </c>
      <c r="F403" s="527" t="s">
        <v>1177</v>
      </c>
      <c r="G403" s="527" t="s">
        <v>1217</v>
      </c>
      <c r="H403" s="529">
        <v>2</v>
      </c>
      <c r="I403" s="530">
        <v>1.92</v>
      </c>
      <c r="J403" s="630" t="s">
        <v>1161</v>
      </c>
      <c r="K403" s="531"/>
      <c r="L403" s="532">
        <f t="shared" si="34"/>
        <v>0</v>
      </c>
      <c r="M403" s="532">
        <f t="shared" si="35"/>
        <v>0</v>
      </c>
      <c r="N403" s="532">
        <f t="shared" ref="N403:N467" si="36">(M403*H403)+(L403*H403)</f>
        <v>0</v>
      </c>
    </row>
    <row r="404" spans="1:14">
      <c r="A404" s="3" t="str">
        <f t="shared" si="33"/>
        <v>11812</v>
      </c>
      <c r="B404" s="527" t="s">
        <v>198</v>
      </c>
      <c r="C404" s="134">
        <v>118</v>
      </c>
      <c r="D404" s="528" t="s">
        <v>22</v>
      </c>
      <c r="E404" s="533" t="s">
        <v>15</v>
      </c>
      <c r="F404" s="527" t="s">
        <v>1162</v>
      </c>
      <c r="G404" s="527" t="s">
        <v>1286</v>
      </c>
      <c r="H404" s="529">
        <v>12</v>
      </c>
      <c r="I404" s="530">
        <f>1.2*1*0.5*2</f>
        <v>1.2</v>
      </c>
      <c r="J404" s="630" t="s">
        <v>1161</v>
      </c>
      <c r="K404" s="531"/>
      <c r="L404" s="532">
        <f t="shared" si="34"/>
        <v>0</v>
      </c>
      <c r="M404" s="532">
        <f t="shared" si="35"/>
        <v>0</v>
      </c>
      <c r="N404" s="532">
        <f t="shared" si="36"/>
        <v>0</v>
      </c>
    </row>
    <row r="405" spans="1:14">
      <c r="A405" s="3" t="str">
        <f t="shared" si="33"/>
        <v>11826</v>
      </c>
      <c r="B405" s="527" t="s">
        <v>1307</v>
      </c>
      <c r="C405" s="134">
        <v>118</v>
      </c>
      <c r="D405" s="528" t="s">
        <v>22</v>
      </c>
      <c r="E405" s="135"/>
      <c r="F405" s="527" t="s">
        <v>1162</v>
      </c>
      <c r="G405" s="527" t="s">
        <v>1308</v>
      </c>
      <c r="H405" s="529">
        <v>26</v>
      </c>
      <c r="I405" s="530">
        <v>13.6</v>
      </c>
      <c r="J405" s="630" t="s">
        <v>1161</v>
      </c>
      <c r="K405" s="531" t="s">
        <v>1309</v>
      </c>
      <c r="L405" s="532">
        <f t="shared" si="34"/>
        <v>0</v>
      </c>
      <c r="M405" s="532">
        <f t="shared" si="35"/>
        <v>0</v>
      </c>
      <c r="N405" s="532">
        <f t="shared" si="36"/>
        <v>0</v>
      </c>
    </row>
    <row r="406" spans="1:14">
      <c r="A406" s="3" t="str">
        <f t="shared" si="33"/>
        <v>1192</v>
      </c>
      <c r="B406" s="527" t="s">
        <v>310</v>
      </c>
      <c r="C406" s="134">
        <v>119</v>
      </c>
      <c r="D406" s="528" t="s">
        <v>22</v>
      </c>
      <c r="E406" s="533" t="s">
        <v>309</v>
      </c>
      <c r="F406" s="527" t="s">
        <v>1169</v>
      </c>
      <c r="G406" s="527" t="s">
        <v>1287</v>
      </c>
      <c r="H406" s="529">
        <v>2</v>
      </c>
      <c r="I406" s="530">
        <f>+(5.3+5.3)*(3.5*24)</f>
        <v>890.4</v>
      </c>
      <c r="J406" s="630" t="s">
        <v>1164</v>
      </c>
      <c r="K406" s="531"/>
      <c r="L406" s="532">
        <f t="shared" si="34"/>
        <v>0</v>
      </c>
      <c r="M406" s="532">
        <f t="shared" si="35"/>
        <v>0</v>
      </c>
      <c r="N406" s="532">
        <f t="shared" si="36"/>
        <v>0</v>
      </c>
    </row>
    <row r="407" spans="1:14">
      <c r="A407" s="3" t="str">
        <f t="shared" si="33"/>
        <v>1192</v>
      </c>
      <c r="B407" s="527" t="s">
        <v>310</v>
      </c>
      <c r="C407" s="134">
        <v>119</v>
      </c>
      <c r="D407" s="528" t="s">
        <v>22</v>
      </c>
      <c r="E407" s="533" t="s">
        <v>309</v>
      </c>
      <c r="F407" s="527" t="s">
        <v>1169</v>
      </c>
      <c r="G407" s="527" t="s">
        <v>1288</v>
      </c>
      <c r="H407" s="529">
        <v>2</v>
      </c>
      <c r="I407" s="530">
        <f>+(2.5+2.5)*(3.5*24)</f>
        <v>420</v>
      </c>
      <c r="J407" s="630" t="s">
        <v>1164</v>
      </c>
      <c r="K407" s="531"/>
      <c r="L407" s="532">
        <f t="shared" si="34"/>
        <v>0</v>
      </c>
      <c r="M407" s="532">
        <f t="shared" si="35"/>
        <v>0</v>
      </c>
      <c r="N407" s="532">
        <f t="shared" si="36"/>
        <v>0</v>
      </c>
    </row>
    <row r="408" spans="1:14">
      <c r="A408" s="3" t="str">
        <f t="shared" si="33"/>
        <v>1192</v>
      </c>
      <c r="B408" s="527" t="s">
        <v>310</v>
      </c>
      <c r="C408" s="134">
        <v>119</v>
      </c>
      <c r="D408" s="528" t="s">
        <v>22</v>
      </c>
      <c r="E408" s="533" t="s">
        <v>309</v>
      </c>
      <c r="F408" s="527" t="s">
        <v>1171</v>
      </c>
      <c r="G408" s="527" t="s">
        <v>1287</v>
      </c>
      <c r="H408" s="529">
        <v>2</v>
      </c>
      <c r="I408" s="530">
        <f>+(2.5+5.3+5.3+2.5)*(3.5*24)</f>
        <v>1310.3999999999999</v>
      </c>
      <c r="J408" s="630" t="s">
        <v>1161</v>
      </c>
      <c r="K408" s="531"/>
      <c r="L408" s="532">
        <f t="shared" si="34"/>
        <v>0</v>
      </c>
      <c r="M408" s="532">
        <f t="shared" si="35"/>
        <v>0</v>
      </c>
      <c r="N408" s="532">
        <f t="shared" si="36"/>
        <v>0</v>
      </c>
    </row>
    <row r="409" spans="1:14">
      <c r="A409" s="3" t="str">
        <f t="shared" si="33"/>
        <v>1192</v>
      </c>
      <c r="B409" s="527" t="s">
        <v>310</v>
      </c>
      <c r="C409" s="134">
        <v>119</v>
      </c>
      <c r="D409" s="528" t="s">
        <v>22</v>
      </c>
      <c r="E409" s="533" t="s">
        <v>309</v>
      </c>
      <c r="F409" s="527" t="s">
        <v>1162</v>
      </c>
      <c r="G409" s="527" t="s">
        <v>1289</v>
      </c>
      <c r="H409" s="529">
        <v>2</v>
      </c>
      <c r="I409" s="530">
        <f>2.6*3.5*24*2*2</f>
        <v>873.59999999999991</v>
      </c>
      <c r="J409" s="630" t="s">
        <v>1164</v>
      </c>
      <c r="K409" s="531"/>
      <c r="L409" s="532">
        <f t="shared" si="34"/>
        <v>0</v>
      </c>
      <c r="M409" s="532">
        <f t="shared" si="35"/>
        <v>0</v>
      </c>
      <c r="N409" s="532">
        <f t="shared" si="36"/>
        <v>0</v>
      </c>
    </row>
    <row r="410" spans="1:14">
      <c r="A410" s="3" t="str">
        <f t="shared" si="33"/>
        <v>1192</v>
      </c>
      <c r="B410" s="527" t="s">
        <v>310</v>
      </c>
      <c r="C410" s="134">
        <v>119</v>
      </c>
      <c r="D410" s="528" t="s">
        <v>22</v>
      </c>
      <c r="E410" s="533" t="s">
        <v>309</v>
      </c>
      <c r="F410" s="527" t="s">
        <v>1162</v>
      </c>
      <c r="G410" s="527" t="s">
        <v>1290</v>
      </c>
      <c r="H410" s="529">
        <v>2</v>
      </c>
      <c r="I410" s="530">
        <f>2*10.6*1.3*2</f>
        <v>55.12</v>
      </c>
      <c r="J410" s="630" t="s">
        <v>1164</v>
      </c>
      <c r="K410" s="531"/>
      <c r="L410" s="532">
        <f t="shared" si="34"/>
        <v>0</v>
      </c>
      <c r="M410" s="532">
        <f t="shared" si="35"/>
        <v>0</v>
      </c>
      <c r="N410" s="532">
        <f t="shared" si="36"/>
        <v>0</v>
      </c>
    </row>
    <row r="411" spans="1:14">
      <c r="A411" s="3" t="str">
        <f t="shared" si="33"/>
        <v>1192</v>
      </c>
      <c r="B411" s="527" t="s">
        <v>310</v>
      </c>
      <c r="C411" s="134">
        <v>119</v>
      </c>
      <c r="D411" s="528" t="s">
        <v>22</v>
      </c>
      <c r="E411" s="533" t="s">
        <v>309</v>
      </c>
      <c r="F411" s="527" t="s">
        <v>1162</v>
      </c>
      <c r="G411" s="527" t="s">
        <v>1291</v>
      </c>
      <c r="H411" s="529">
        <v>2</v>
      </c>
      <c r="I411" s="530">
        <f>2*5*0.8*2</f>
        <v>16</v>
      </c>
      <c r="J411" s="630" t="s">
        <v>1164</v>
      </c>
      <c r="K411" s="531"/>
      <c r="L411" s="532">
        <f t="shared" si="34"/>
        <v>0</v>
      </c>
      <c r="M411" s="532">
        <f t="shared" si="35"/>
        <v>0</v>
      </c>
      <c r="N411" s="532">
        <f t="shared" si="36"/>
        <v>0</v>
      </c>
    </row>
    <row r="412" spans="1:14">
      <c r="A412" s="3" t="str">
        <f t="shared" si="33"/>
        <v>1192</v>
      </c>
      <c r="B412" s="527" t="s">
        <v>310</v>
      </c>
      <c r="C412" s="134">
        <v>119</v>
      </c>
      <c r="D412" s="528" t="s">
        <v>22</v>
      </c>
      <c r="E412" s="533" t="s">
        <v>63</v>
      </c>
      <c r="F412" s="527" t="s">
        <v>1160</v>
      </c>
      <c r="G412" s="527" t="s">
        <v>1292</v>
      </c>
      <c r="H412" s="529">
        <v>2</v>
      </c>
      <c r="I412" s="530">
        <f>13.75*8.7-2*2.7*2.3</f>
        <v>107.20499999999998</v>
      </c>
      <c r="J412" s="630" t="s">
        <v>1161</v>
      </c>
      <c r="K412" s="531"/>
      <c r="L412" s="532">
        <f t="shared" si="34"/>
        <v>0</v>
      </c>
      <c r="M412" s="532">
        <f t="shared" si="35"/>
        <v>0</v>
      </c>
      <c r="N412" s="532">
        <f t="shared" si="36"/>
        <v>0</v>
      </c>
    </row>
    <row r="413" spans="1:14">
      <c r="A413" s="3" t="str">
        <f t="shared" si="33"/>
        <v>1192</v>
      </c>
      <c r="B413" s="527" t="s">
        <v>310</v>
      </c>
      <c r="C413" s="134">
        <v>119</v>
      </c>
      <c r="D413" s="528" t="s">
        <v>22</v>
      </c>
      <c r="E413" s="533" t="s">
        <v>63</v>
      </c>
      <c r="F413" s="527" t="s">
        <v>1163</v>
      </c>
      <c r="G413" s="527" t="s">
        <v>1292</v>
      </c>
      <c r="H413" s="529">
        <v>2</v>
      </c>
      <c r="I413" s="530">
        <f>13.75*8.7-2*2.7*2.3</f>
        <v>107.20499999999998</v>
      </c>
      <c r="J413" s="630" t="s">
        <v>1161</v>
      </c>
      <c r="K413" s="531"/>
      <c r="L413" s="532">
        <f t="shared" si="34"/>
        <v>0</v>
      </c>
      <c r="M413" s="532">
        <f t="shared" si="35"/>
        <v>0</v>
      </c>
      <c r="N413" s="532">
        <f t="shared" si="36"/>
        <v>0</v>
      </c>
    </row>
    <row r="414" spans="1:14">
      <c r="A414" s="3" t="str">
        <f t="shared" si="33"/>
        <v>1192</v>
      </c>
      <c r="B414" s="527" t="s">
        <v>310</v>
      </c>
      <c r="C414" s="134">
        <v>119</v>
      </c>
      <c r="D414" s="528" t="s">
        <v>22</v>
      </c>
      <c r="E414" s="533" t="s">
        <v>63</v>
      </c>
      <c r="F414" s="527" t="s">
        <v>1160</v>
      </c>
      <c r="G414" s="527" t="s">
        <v>1293</v>
      </c>
      <c r="H414" s="529">
        <v>2</v>
      </c>
      <c r="I414" s="530">
        <f>+(6.6+7.8)*8.7*2+13*8.7+6*3.8*0.5*2+6*1+12*8.7+3.2*8.7</f>
        <v>524.69999999999993</v>
      </c>
      <c r="J414" s="630" t="s">
        <v>1161</v>
      </c>
      <c r="K414" s="531"/>
      <c r="L414" s="532">
        <f t="shared" si="34"/>
        <v>0</v>
      </c>
      <c r="M414" s="532">
        <f t="shared" si="35"/>
        <v>0</v>
      </c>
      <c r="N414" s="532">
        <f t="shared" si="36"/>
        <v>0</v>
      </c>
    </row>
    <row r="415" spans="1:14">
      <c r="A415" s="3" t="str">
        <f t="shared" si="33"/>
        <v>1192</v>
      </c>
      <c r="B415" s="527" t="s">
        <v>310</v>
      </c>
      <c r="C415" s="134">
        <v>119</v>
      </c>
      <c r="D415" s="528" t="s">
        <v>22</v>
      </c>
      <c r="E415" s="533" t="s">
        <v>63</v>
      </c>
      <c r="F415" s="527" t="s">
        <v>1163</v>
      </c>
      <c r="G415" s="527" t="s">
        <v>1293</v>
      </c>
      <c r="H415" s="529">
        <v>2</v>
      </c>
      <c r="I415" s="530">
        <f>+(6.6+7.8)*8.7*2+6.5*8.7+25%*12*8.7+3.2*8.7</f>
        <v>361.04999999999995</v>
      </c>
      <c r="J415" s="630" t="s">
        <v>1161</v>
      </c>
      <c r="K415" s="531"/>
      <c r="L415" s="532">
        <f t="shared" si="34"/>
        <v>0</v>
      </c>
      <c r="M415" s="532">
        <f t="shared" si="35"/>
        <v>0</v>
      </c>
      <c r="N415" s="532">
        <f t="shared" si="36"/>
        <v>0</v>
      </c>
    </row>
    <row r="416" spans="1:14">
      <c r="A416" s="3" t="str">
        <f t="shared" si="33"/>
        <v>1192</v>
      </c>
      <c r="B416" s="527" t="s">
        <v>310</v>
      </c>
      <c r="C416" s="134">
        <v>119</v>
      </c>
      <c r="D416" s="528" t="s">
        <v>22</v>
      </c>
      <c r="E416" s="533" t="s">
        <v>63</v>
      </c>
      <c r="F416" s="527" t="s">
        <v>1174</v>
      </c>
      <c r="G416" s="527" t="s">
        <v>1294</v>
      </c>
      <c r="H416" s="529">
        <v>2</v>
      </c>
      <c r="I416" s="530">
        <f>25%*12*8.7+1.85*4.75+6.5*3.8+17.5*2.5+17.5*2+1.3*2</f>
        <v>140.93749999999997</v>
      </c>
      <c r="J416" s="630" t="s">
        <v>1164</v>
      </c>
      <c r="K416" s="531"/>
      <c r="L416" s="532">
        <f t="shared" si="34"/>
        <v>0</v>
      </c>
      <c r="M416" s="532">
        <f t="shared" si="35"/>
        <v>0</v>
      </c>
      <c r="N416" s="532">
        <f t="shared" si="36"/>
        <v>0</v>
      </c>
    </row>
    <row r="417" spans="1:14">
      <c r="A417" s="3" t="str">
        <f t="shared" ref="A417:A451" si="37">CONCATENATE(C417,H417)</f>
        <v>1192</v>
      </c>
      <c r="B417" s="527" t="s">
        <v>310</v>
      </c>
      <c r="C417" s="134">
        <v>119</v>
      </c>
      <c r="D417" s="528" t="s">
        <v>22</v>
      </c>
      <c r="E417" s="533" t="s">
        <v>63</v>
      </c>
      <c r="F417" s="527" t="s">
        <v>1172</v>
      </c>
      <c r="G417" s="527" t="s">
        <v>1294</v>
      </c>
      <c r="H417" s="529">
        <v>2</v>
      </c>
      <c r="I417" s="530">
        <f>25%*12*8.7+1.85*4.75+6.5*3.8+17.5*2.5+17.5*2+1.3*2</f>
        <v>140.93749999999997</v>
      </c>
      <c r="J417" s="630" t="s">
        <v>1161</v>
      </c>
      <c r="K417" s="531"/>
      <c r="L417" s="532">
        <f t="shared" si="34"/>
        <v>0</v>
      </c>
      <c r="M417" s="532">
        <f t="shared" si="35"/>
        <v>0</v>
      </c>
      <c r="N417" s="532">
        <f t="shared" si="36"/>
        <v>0</v>
      </c>
    </row>
    <row r="418" spans="1:14">
      <c r="A418" s="3" t="str">
        <f t="shared" si="37"/>
        <v>1192</v>
      </c>
      <c r="B418" s="527" t="s">
        <v>310</v>
      </c>
      <c r="C418" s="134">
        <v>119</v>
      </c>
      <c r="D418" s="528" t="s">
        <v>22</v>
      </c>
      <c r="E418" s="533" t="s">
        <v>63</v>
      </c>
      <c r="F418" s="527" t="s">
        <v>1162</v>
      </c>
      <c r="G418" s="527" t="s">
        <v>1295</v>
      </c>
      <c r="H418" s="529">
        <v>2</v>
      </c>
      <c r="I418" s="530">
        <f>+(18*9*50%+10.5*10+1.8*9)+1.5*2.3+3.6*2.7+2.5*9*2</f>
        <v>260.37</v>
      </c>
      <c r="J418" s="630" t="s">
        <v>1161</v>
      </c>
      <c r="K418" s="531"/>
      <c r="L418" s="532">
        <f t="shared" si="34"/>
        <v>0</v>
      </c>
      <c r="M418" s="532">
        <f t="shared" si="35"/>
        <v>0</v>
      </c>
      <c r="N418" s="532">
        <f t="shared" si="36"/>
        <v>0</v>
      </c>
    </row>
    <row r="419" spans="1:14">
      <c r="A419" s="3" t="str">
        <f t="shared" si="37"/>
        <v>1192</v>
      </c>
      <c r="B419" s="527" t="s">
        <v>310</v>
      </c>
      <c r="C419" s="134">
        <v>119</v>
      </c>
      <c r="D419" s="528" t="s">
        <v>22</v>
      </c>
      <c r="E419" s="533" t="s">
        <v>309</v>
      </c>
      <c r="F419" s="527" t="s">
        <v>1160</v>
      </c>
      <c r="G419" s="527" t="s">
        <v>1296</v>
      </c>
      <c r="H419" s="529">
        <v>2</v>
      </c>
      <c r="I419" s="530">
        <f>4.5*8.85*2</f>
        <v>79.649999999999991</v>
      </c>
      <c r="J419" s="630" t="s">
        <v>1161</v>
      </c>
      <c r="K419" s="531"/>
      <c r="L419" s="532">
        <f t="shared" si="34"/>
        <v>0</v>
      </c>
      <c r="M419" s="532">
        <f t="shared" si="35"/>
        <v>0</v>
      </c>
      <c r="N419" s="532">
        <f t="shared" si="36"/>
        <v>0</v>
      </c>
    </row>
    <row r="420" spans="1:14">
      <c r="A420" s="3" t="str">
        <f t="shared" si="37"/>
        <v>1192</v>
      </c>
      <c r="B420" s="527" t="s">
        <v>310</v>
      </c>
      <c r="C420" s="134">
        <v>119</v>
      </c>
      <c r="D420" s="528" t="s">
        <v>22</v>
      </c>
      <c r="E420" s="533" t="s">
        <v>309</v>
      </c>
      <c r="F420" s="527" t="s">
        <v>1163</v>
      </c>
      <c r="G420" s="527" t="s">
        <v>1296</v>
      </c>
      <c r="H420" s="529">
        <v>2</v>
      </c>
      <c r="I420" s="530">
        <f>4.5*8.85*2</f>
        <v>79.649999999999991</v>
      </c>
      <c r="J420" s="630" t="s">
        <v>1161</v>
      </c>
      <c r="K420" s="531"/>
      <c r="L420" s="532">
        <f t="shared" si="34"/>
        <v>0</v>
      </c>
      <c r="M420" s="532">
        <f t="shared" si="35"/>
        <v>0</v>
      </c>
      <c r="N420" s="532">
        <f t="shared" si="36"/>
        <v>0</v>
      </c>
    </row>
    <row r="421" spans="1:14">
      <c r="A421" s="3" t="str">
        <f t="shared" si="37"/>
        <v>1192</v>
      </c>
      <c r="B421" s="527" t="s">
        <v>310</v>
      </c>
      <c r="C421" s="134">
        <v>119</v>
      </c>
      <c r="D421" s="528" t="s">
        <v>22</v>
      </c>
      <c r="E421" s="533" t="s">
        <v>309</v>
      </c>
      <c r="F421" s="527" t="s">
        <v>1162</v>
      </c>
      <c r="G421" s="527" t="s">
        <v>1297</v>
      </c>
      <c r="H421" s="529">
        <v>2</v>
      </c>
      <c r="I421" s="530">
        <f>2*1.5*2.3*2</f>
        <v>13.799999999999999</v>
      </c>
      <c r="J421" s="630" t="s">
        <v>1161</v>
      </c>
      <c r="K421" s="531"/>
      <c r="L421" s="532">
        <f t="shared" si="34"/>
        <v>0</v>
      </c>
      <c r="M421" s="532">
        <f t="shared" si="35"/>
        <v>0</v>
      </c>
      <c r="N421" s="532">
        <f t="shared" si="36"/>
        <v>0</v>
      </c>
    </row>
    <row r="422" spans="1:14">
      <c r="A422" s="3" t="str">
        <f t="shared" si="37"/>
        <v>1192</v>
      </c>
      <c r="B422" s="527" t="s">
        <v>310</v>
      </c>
      <c r="C422" s="134">
        <v>119</v>
      </c>
      <c r="D422" s="528" t="s">
        <v>22</v>
      </c>
      <c r="E422" s="533" t="s">
        <v>309</v>
      </c>
      <c r="F422" s="527" t="s">
        <v>1169</v>
      </c>
      <c r="G422" s="527" t="s">
        <v>1298</v>
      </c>
      <c r="H422" s="529">
        <v>2</v>
      </c>
      <c r="I422" s="530">
        <f>2*5*2</f>
        <v>20</v>
      </c>
      <c r="J422" s="630" t="s">
        <v>1164</v>
      </c>
      <c r="K422" s="531"/>
      <c r="L422" s="532">
        <f t="shared" si="34"/>
        <v>0</v>
      </c>
      <c r="M422" s="532">
        <f t="shared" si="35"/>
        <v>0</v>
      </c>
      <c r="N422" s="532">
        <f t="shared" si="36"/>
        <v>0</v>
      </c>
    </row>
    <row r="423" spans="1:14">
      <c r="A423" s="3" t="str">
        <f t="shared" si="37"/>
        <v>1192</v>
      </c>
      <c r="B423" s="527" t="s">
        <v>310</v>
      </c>
      <c r="C423" s="134">
        <v>119</v>
      </c>
      <c r="D423" s="528" t="s">
        <v>22</v>
      </c>
      <c r="E423" s="533" t="s">
        <v>309</v>
      </c>
      <c r="F423" s="527" t="s">
        <v>1171</v>
      </c>
      <c r="G423" s="527" t="s">
        <v>1298</v>
      </c>
      <c r="H423" s="529">
        <v>2</v>
      </c>
      <c r="I423" s="530">
        <f>2*5*2</f>
        <v>20</v>
      </c>
      <c r="J423" s="630" t="s">
        <v>1164</v>
      </c>
      <c r="K423" s="531"/>
      <c r="L423" s="532">
        <f t="shared" si="34"/>
        <v>0</v>
      </c>
      <c r="M423" s="532">
        <f t="shared" si="35"/>
        <v>0</v>
      </c>
      <c r="N423" s="532">
        <f t="shared" si="36"/>
        <v>0</v>
      </c>
    </row>
    <row r="424" spans="1:14">
      <c r="A424" s="3" t="str">
        <f t="shared" si="37"/>
        <v>11926</v>
      </c>
      <c r="B424" s="527" t="s">
        <v>310</v>
      </c>
      <c r="C424" s="134">
        <v>119</v>
      </c>
      <c r="D424" s="528" t="s">
        <v>22</v>
      </c>
      <c r="E424" s="135"/>
      <c r="F424" s="527" t="s">
        <v>1162</v>
      </c>
      <c r="G424" s="527" t="s">
        <v>1308</v>
      </c>
      <c r="H424" s="529">
        <v>26</v>
      </c>
      <c r="I424" s="530">
        <v>18</v>
      </c>
      <c r="J424" s="630" t="s">
        <v>1161</v>
      </c>
      <c r="K424" s="531" t="s">
        <v>1309</v>
      </c>
      <c r="L424" s="532">
        <f t="shared" si="34"/>
        <v>0</v>
      </c>
      <c r="M424" s="532">
        <f t="shared" si="35"/>
        <v>0</v>
      </c>
      <c r="N424" s="532">
        <f t="shared" si="36"/>
        <v>0</v>
      </c>
    </row>
    <row r="425" spans="1:14">
      <c r="A425" s="3" t="str">
        <f t="shared" si="37"/>
        <v>1202</v>
      </c>
      <c r="B425" s="527" t="s">
        <v>300</v>
      </c>
      <c r="C425" s="134">
        <v>120</v>
      </c>
      <c r="D425" s="528" t="s">
        <v>22</v>
      </c>
      <c r="E425" s="533" t="s">
        <v>1234</v>
      </c>
      <c r="F425" s="527" t="s">
        <v>1174</v>
      </c>
      <c r="G425" s="527" t="s">
        <v>1299</v>
      </c>
      <c r="H425" s="529">
        <v>2</v>
      </c>
      <c r="I425" s="530">
        <f>+(2.4+3.5)*7.25*2</f>
        <v>85.550000000000011</v>
      </c>
      <c r="J425" s="630" t="s">
        <v>1161</v>
      </c>
      <c r="K425" s="531"/>
      <c r="L425" s="532">
        <f t="shared" si="34"/>
        <v>0</v>
      </c>
      <c r="M425" s="532">
        <f t="shared" si="35"/>
        <v>0</v>
      </c>
      <c r="N425" s="532">
        <f t="shared" si="36"/>
        <v>0</v>
      </c>
    </row>
    <row r="426" spans="1:14">
      <c r="A426" s="3" t="str">
        <f t="shared" si="37"/>
        <v>1202</v>
      </c>
      <c r="B426" s="527" t="s">
        <v>300</v>
      </c>
      <c r="C426" s="134">
        <v>120</v>
      </c>
      <c r="D426" s="528" t="s">
        <v>22</v>
      </c>
      <c r="E426" s="533" t="s">
        <v>1234</v>
      </c>
      <c r="F426" s="527" t="s">
        <v>1172</v>
      </c>
      <c r="G426" s="527" t="s">
        <v>1299</v>
      </c>
      <c r="H426" s="529">
        <v>2</v>
      </c>
      <c r="I426" s="530">
        <f>+(2.4+3.5)*7.25*2</f>
        <v>85.550000000000011</v>
      </c>
      <c r="J426" s="630" t="s">
        <v>1161</v>
      </c>
      <c r="K426" s="531"/>
      <c r="L426" s="532">
        <f t="shared" si="34"/>
        <v>0</v>
      </c>
      <c r="M426" s="532">
        <f t="shared" si="35"/>
        <v>0</v>
      </c>
      <c r="N426" s="532">
        <f t="shared" si="36"/>
        <v>0</v>
      </c>
    </row>
    <row r="427" spans="1:14">
      <c r="A427" s="3" t="str">
        <f t="shared" si="37"/>
        <v>1202</v>
      </c>
      <c r="B427" s="527" t="s">
        <v>300</v>
      </c>
      <c r="C427" s="134">
        <v>120</v>
      </c>
      <c r="D427" s="528" t="s">
        <v>22</v>
      </c>
      <c r="E427" s="533" t="s">
        <v>1234</v>
      </c>
      <c r="F427" s="527" t="s">
        <v>1174</v>
      </c>
      <c r="G427" s="527" t="s">
        <v>1300</v>
      </c>
      <c r="H427" s="529">
        <v>2</v>
      </c>
      <c r="I427" s="530">
        <f>+(2.4+3.5)*3.8*2</f>
        <v>44.84</v>
      </c>
      <c r="J427" s="630" t="s">
        <v>1161</v>
      </c>
      <c r="K427" s="531"/>
      <c r="L427" s="532">
        <f t="shared" si="34"/>
        <v>0</v>
      </c>
      <c r="M427" s="532">
        <f t="shared" si="35"/>
        <v>0</v>
      </c>
      <c r="N427" s="532">
        <f t="shared" si="36"/>
        <v>0</v>
      </c>
    </row>
    <row r="428" spans="1:14">
      <c r="A428" s="3" t="str">
        <f t="shared" si="37"/>
        <v>1202</v>
      </c>
      <c r="B428" s="527" t="s">
        <v>300</v>
      </c>
      <c r="C428" s="134">
        <v>120</v>
      </c>
      <c r="D428" s="528" t="s">
        <v>22</v>
      </c>
      <c r="E428" s="533" t="s">
        <v>1234</v>
      </c>
      <c r="F428" s="527" t="s">
        <v>1172</v>
      </c>
      <c r="G428" s="527" t="s">
        <v>1300</v>
      </c>
      <c r="H428" s="529">
        <v>2</v>
      </c>
      <c r="I428" s="530">
        <f>+(2.4+3.5)*3.8*2</f>
        <v>44.84</v>
      </c>
      <c r="J428" s="630" t="s">
        <v>1161</v>
      </c>
      <c r="K428" s="531"/>
      <c r="L428" s="532">
        <f t="shared" si="34"/>
        <v>0</v>
      </c>
      <c r="M428" s="532">
        <f t="shared" si="35"/>
        <v>0</v>
      </c>
      <c r="N428" s="532">
        <f t="shared" si="36"/>
        <v>0</v>
      </c>
    </row>
    <row r="429" spans="1:14">
      <c r="A429" s="3" t="str">
        <f t="shared" si="37"/>
        <v>1202</v>
      </c>
      <c r="B429" s="527" t="s">
        <v>300</v>
      </c>
      <c r="C429" s="134">
        <v>120</v>
      </c>
      <c r="D429" s="528" t="s">
        <v>22</v>
      </c>
      <c r="E429" s="533" t="s">
        <v>1234</v>
      </c>
      <c r="F429" s="527" t="s">
        <v>1175</v>
      </c>
      <c r="G429" s="527" t="s">
        <v>1238</v>
      </c>
      <c r="H429" s="529">
        <v>2</v>
      </c>
      <c r="I429" s="530">
        <f>+(1.8+3)*2*2.2</f>
        <v>21.12</v>
      </c>
      <c r="J429" s="630" t="s">
        <v>1161</v>
      </c>
      <c r="K429" s="531"/>
      <c r="L429" s="532">
        <f t="shared" si="34"/>
        <v>0</v>
      </c>
      <c r="M429" s="532">
        <f t="shared" si="35"/>
        <v>0</v>
      </c>
      <c r="N429" s="532">
        <f t="shared" si="36"/>
        <v>0</v>
      </c>
    </row>
    <row r="430" spans="1:14">
      <c r="A430" s="3" t="str">
        <f t="shared" si="37"/>
        <v>1202</v>
      </c>
      <c r="B430" s="527" t="s">
        <v>300</v>
      </c>
      <c r="C430" s="134">
        <v>120</v>
      </c>
      <c r="D430" s="528" t="s">
        <v>22</v>
      </c>
      <c r="E430" s="533" t="s">
        <v>1234</v>
      </c>
      <c r="F430" s="527" t="s">
        <v>1177</v>
      </c>
      <c r="G430" s="527" t="s">
        <v>1238</v>
      </c>
      <c r="H430" s="529">
        <v>2</v>
      </c>
      <c r="I430" s="530">
        <f>+(1.8+3)*2*2.2</f>
        <v>21.12</v>
      </c>
      <c r="J430" s="630" t="s">
        <v>1161</v>
      </c>
      <c r="K430" s="531"/>
      <c r="L430" s="532">
        <f t="shared" si="34"/>
        <v>0</v>
      </c>
      <c r="M430" s="532">
        <f t="shared" si="35"/>
        <v>0</v>
      </c>
      <c r="N430" s="532">
        <f t="shared" si="36"/>
        <v>0</v>
      </c>
    </row>
    <row r="431" spans="1:14">
      <c r="A431" s="3" t="str">
        <f t="shared" si="37"/>
        <v>12026</v>
      </c>
      <c r="B431" s="527" t="s">
        <v>300</v>
      </c>
      <c r="C431" s="134">
        <v>120</v>
      </c>
      <c r="D431" s="528" t="s">
        <v>22</v>
      </c>
      <c r="E431" s="135"/>
      <c r="F431" s="527" t="s">
        <v>1162</v>
      </c>
      <c r="G431" s="527" t="s">
        <v>1308</v>
      </c>
      <c r="H431" s="529">
        <v>26</v>
      </c>
      <c r="I431" s="530">
        <v>8</v>
      </c>
      <c r="J431" s="630" t="s">
        <v>1161</v>
      </c>
      <c r="K431" s="531" t="s">
        <v>1309</v>
      </c>
      <c r="L431" s="532">
        <f t="shared" si="34"/>
        <v>0</v>
      </c>
      <c r="M431" s="532">
        <f t="shared" si="35"/>
        <v>0</v>
      </c>
      <c r="N431" s="532">
        <f t="shared" si="36"/>
        <v>0</v>
      </c>
    </row>
    <row r="432" spans="1:14">
      <c r="A432" s="3" t="str">
        <f t="shared" si="37"/>
        <v>1212</v>
      </c>
      <c r="B432" s="527" t="s">
        <v>181</v>
      </c>
      <c r="C432" s="134">
        <v>121</v>
      </c>
      <c r="D432" s="528" t="s">
        <v>22</v>
      </c>
      <c r="E432" s="533" t="s">
        <v>15</v>
      </c>
      <c r="F432" s="527" t="s">
        <v>1160</v>
      </c>
      <c r="G432" s="527" t="s">
        <v>1262</v>
      </c>
      <c r="H432" s="529">
        <v>2</v>
      </c>
      <c r="I432" s="530">
        <f>4*2.5+0.8*2.5</f>
        <v>12</v>
      </c>
      <c r="J432" s="630" t="s">
        <v>1161</v>
      </c>
      <c r="K432" s="531"/>
      <c r="L432" s="532">
        <f t="shared" si="34"/>
        <v>0</v>
      </c>
      <c r="M432" s="532">
        <f t="shared" si="35"/>
        <v>0</v>
      </c>
      <c r="N432" s="532">
        <f t="shared" si="36"/>
        <v>0</v>
      </c>
    </row>
    <row r="433" spans="1:14">
      <c r="A433" s="3" t="str">
        <f t="shared" si="37"/>
        <v>1212</v>
      </c>
      <c r="B433" s="527" t="s">
        <v>181</v>
      </c>
      <c r="C433" s="134">
        <v>121</v>
      </c>
      <c r="D433" s="528" t="s">
        <v>22</v>
      </c>
      <c r="E433" s="533" t="s">
        <v>15</v>
      </c>
      <c r="F433" s="527" t="s">
        <v>1160</v>
      </c>
      <c r="G433" s="527" t="s">
        <v>1262</v>
      </c>
      <c r="H433" s="529">
        <v>2</v>
      </c>
      <c r="I433" s="530">
        <f>2.65*2.5</f>
        <v>6.625</v>
      </c>
      <c r="J433" s="630" t="s">
        <v>1161</v>
      </c>
      <c r="K433" s="531"/>
      <c r="L433" s="532">
        <f t="shared" si="34"/>
        <v>0</v>
      </c>
      <c r="M433" s="532">
        <f t="shared" si="35"/>
        <v>0</v>
      </c>
      <c r="N433" s="532">
        <f t="shared" si="36"/>
        <v>0</v>
      </c>
    </row>
    <row r="434" spans="1:14">
      <c r="A434" s="3" t="str">
        <f t="shared" si="37"/>
        <v>1212</v>
      </c>
      <c r="B434" s="527" t="s">
        <v>181</v>
      </c>
      <c r="C434" s="134">
        <v>121</v>
      </c>
      <c r="D434" s="528" t="s">
        <v>22</v>
      </c>
      <c r="E434" s="533" t="s">
        <v>15</v>
      </c>
      <c r="F434" s="527" t="s">
        <v>1163</v>
      </c>
      <c r="G434" s="527" t="s">
        <v>1262</v>
      </c>
      <c r="H434" s="529">
        <v>2</v>
      </c>
      <c r="I434" s="530">
        <f>4*2.5+2.65*2.5+0.8*2.5</f>
        <v>18.625</v>
      </c>
      <c r="J434" s="630" t="s">
        <v>1161</v>
      </c>
      <c r="K434" s="531"/>
      <c r="L434" s="532">
        <f t="shared" si="34"/>
        <v>0</v>
      </c>
      <c r="M434" s="532">
        <f t="shared" si="35"/>
        <v>0</v>
      </c>
      <c r="N434" s="532">
        <f t="shared" si="36"/>
        <v>0</v>
      </c>
    </row>
    <row r="435" spans="1:14">
      <c r="A435" s="3" t="str">
        <f t="shared" si="37"/>
        <v>1212</v>
      </c>
      <c r="B435" s="527" t="s">
        <v>181</v>
      </c>
      <c r="C435" s="134">
        <v>121</v>
      </c>
      <c r="D435" s="528" t="s">
        <v>22</v>
      </c>
      <c r="E435" s="533" t="s">
        <v>15</v>
      </c>
      <c r="F435" s="527" t="s">
        <v>1160</v>
      </c>
      <c r="G435" s="527" t="s">
        <v>1283</v>
      </c>
      <c r="H435" s="529">
        <v>2</v>
      </c>
      <c r="I435" s="530">
        <f>0.95*2.15*2</f>
        <v>4.085</v>
      </c>
      <c r="J435" s="630" t="s">
        <v>1164</v>
      </c>
      <c r="K435" s="531"/>
      <c r="L435" s="532">
        <f t="shared" si="34"/>
        <v>0</v>
      </c>
      <c r="M435" s="532">
        <f t="shared" si="35"/>
        <v>0</v>
      </c>
      <c r="N435" s="532">
        <f t="shared" si="36"/>
        <v>0</v>
      </c>
    </row>
    <row r="436" spans="1:14">
      <c r="A436" s="3" t="str">
        <f t="shared" si="37"/>
        <v>1212</v>
      </c>
      <c r="B436" s="527" t="s">
        <v>181</v>
      </c>
      <c r="C436" s="134">
        <v>121</v>
      </c>
      <c r="D436" s="528" t="s">
        <v>22</v>
      </c>
      <c r="E436" s="533" t="s">
        <v>15</v>
      </c>
      <c r="F436" s="527" t="s">
        <v>1163</v>
      </c>
      <c r="G436" s="527" t="s">
        <v>1283</v>
      </c>
      <c r="H436" s="529">
        <v>2</v>
      </c>
      <c r="I436" s="530">
        <f>0.95*2.15*2</f>
        <v>4.085</v>
      </c>
      <c r="J436" s="630" t="s">
        <v>1164</v>
      </c>
      <c r="K436" s="531"/>
      <c r="L436" s="532">
        <f t="shared" si="34"/>
        <v>0</v>
      </c>
      <c r="M436" s="532">
        <f t="shared" si="35"/>
        <v>0</v>
      </c>
      <c r="N436" s="532">
        <f t="shared" si="36"/>
        <v>0</v>
      </c>
    </row>
    <row r="437" spans="1:14">
      <c r="A437" s="3" t="str">
        <f t="shared" si="37"/>
        <v>1212</v>
      </c>
      <c r="B437" s="527" t="s">
        <v>181</v>
      </c>
      <c r="C437" s="134">
        <v>121</v>
      </c>
      <c r="D437" s="528" t="s">
        <v>22</v>
      </c>
      <c r="E437" s="533" t="s">
        <v>63</v>
      </c>
      <c r="F437" s="527" t="s">
        <v>1221</v>
      </c>
      <c r="G437" s="527" t="s">
        <v>1222</v>
      </c>
      <c r="H437" s="529">
        <v>2</v>
      </c>
      <c r="I437" s="530">
        <f>5.8*3.5</f>
        <v>20.3</v>
      </c>
      <c r="J437" s="630" t="s">
        <v>1164</v>
      </c>
      <c r="K437" s="531" t="s">
        <v>1223</v>
      </c>
      <c r="L437" s="532">
        <f t="shared" si="34"/>
        <v>0</v>
      </c>
      <c r="M437" s="532">
        <f t="shared" si="35"/>
        <v>0</v>
      </c>
      <c r="N437" s="532">
        <f t="shared" si="36"/>
        <v>0</v>
      </c>
    </row>
    <row r="438" spans="1:14">
      <c r="A438" s="3" t="str">
        <f t="shared" si="37"/>
        <v>1212</v>
      </c>
      <c r="B438" s="527" t="s">
        <v>181</v>
      </c>
      <c r="C438" s="134">
        <v>121</v>
      </c>
      <c r="D438" s="528" t="s">
        <v>22</v>
      </c>
      <c r="E438" s="533" t="s">
        <v>15</v>
      </c>
      <c r="F438" s="527" t="s">
        <v>1221</v>
      </c>
      <c r="G438" s="527" t="s">
        <v>1224</v>
      </c>
      <c r="H438" s="529">
        <v>2</v>
      </c>
      <c r="I438" s="530">
        <f>6.5*2</f>
        <v>13</v>
      </c>
      <c r="J438" s="630" t="s">
        <v>1164</v>
      </c>
      <c r="K438" s="531" t="s">
        <v>1223</v>
      </c>
      <c r="L438" s="532">
        <f t="shared" si="34"/>
        <v>0</v>
      </c>
      <c r="M438" s="532">
        <f t="shared" si="35"/>
        <v>0</v>
      </c>
      <c r="N438" s="532">
        <f t="shared" si="36"/>
        <v>0</v>
      </c>
    </row>
    <row r="439" spans="1:14">
      <c r="A439" s="3" t="str">
        <f t="shared" si="37"/>
        <v>1212</v>
      </c>
      <c r="B439" s="527" t="s">
        <v>181</v>
      </c>
      <c r="C439" s="134">
        <v>121</v>
      </c>
      <c r="D439" s="528" t="s">
        <v>22</v>
      </c>
      <c r="E439" s="533" t="s">
        <v>63</v>
      </c>
      <c r="F439" s="527" t="s">
        <v>1171</v>
      </c>
      <c r="G439" s="527" t="s">
        <v>1284</v>
      </c>
      <c r="H439" s="529">
        <v>2</v>
      </c>
      <c r="I439" s="530">
        <f>+(1.35+0.65)*12</f>
        <v>24</v>
      </c>
      <c r="J439" s="630" t="s">
        <v>1164</v>
      </c>
      <c r="K439" s="531" t="s">
        <v>1228</v>
      </c>
      <c r="L439" s="532">
        <f t="shared" si="34"/>
        <v>0</v>
      </c>
      <c r="M439" s="532">
        <f t="shared" si="35"/>
        <v>0</v>
      </c>
      <c r="N439" s="532">
        <f t="shared" si="36"/>
        <v>0</v>
      </c>
    </row>
    <row r="440" spans="1:14">
      <c r="A440" s="3" t="str">
        <f t="shared" si="37"/>
        <v>1212</v>
      </c>
      <c r="B440" s="527" t="s">
        <v>181</v>
      </c>
      <c r="C440" s="134">
        <v>121</v>
      </c>
      <c r="D440" s="528" t="s">
        <v>22</v>
      </c>
      <c r="E440" s="533" t="s">
        <v>63</v>
      </c>
      <c r="F440" s="527" t="s">
        <v>1169</v>
      </c>
      <c r="G440" s="527" t="s">
        <v>1284</v>
      </c>
      <c r="H440" s="529">
        <v>2</v>
      </c>
      <c r="I440" s="530">
        <f>+(1.35+0.65)*12</f>
        <v>24</v>
      </c>
      <c r="J440" s="630" t="s">
        <v>1164</v>
      </c>
      <c r="K440" s="531" t="s">
        <v>1228</v>
      </c>
      <c r="L440" s="532">
        <f t="shared" si="34"/>
        <v>0</v>
      </c>
      <c r="M440" s="532">
        <f t="shared" si="35"/>
        <v>0</v>
      </c>
      <c r="N440" s="532">
        <f t="shared" si="36"/>
        <v>0</v>
      </c>
    </row>
    <row r="441" spans="1:14">
      <c r="A441" s="3" t="str">
        <f t="shared" si="37"/>
        <v>1212</v>
      </c>
      <c r="B441" s="527" t="s">
        <v>181</v>
      </c>
      <c r="C441" s="134">
        <v>121</v>
      </c>
      <c r="D441" s="528" t="s">
        <v>22</v>
      </c>
      <c r="E441" s="533" t="s">
        <v>63</v>
      </c>
      <c r="F441" s="527" t="s">
        <v>1160</v>
      </c>
      <c r="G441" s="527" t="s">
        <v>1282</v>
      </c>
      <c r="H441" s="529">
        <v>2</v>
      </c>
      <c r="I441" s="530">
        <f>6*2.6*2</f>
        <v>31.200000000000003</v>
      </c>
      <c r="J441" s="630" t="s">
        <v>1164</v>
      </c>
      <c r="K441" s="531"/>
      <c r="L441" s="532">
        <f t="shared" si="34"/>
        <v>0</v>
      </c>
      <c r="M441" s="532">
        <f t="shared" si="35"/>
        <v>0</v>
      </c>
      <c r="N441" s="532">
        <f t="shared" si="36"/>
        <v>0</v>
      </c>
    </row>
    <row r="442" spans="1:14">
      <c r="A442" s="3" t="str">
        <f t="shared" si="37"/>
        <v>1212</v>
      </c>
      <c r="B442" s="527" t="s">
        <v>181</v>
      </c>
      <c r="C442" s="134">
        <v>121</v>
      </c>
      <c r="D442" s="528" t="s">
        <v>22</v>
      </c>
      <c r="E442" s="533" t="s">
        <v>63</v>
      </c>
      <c r="F442" s="527" t="s">
        <v>1163</v>
      </c>
      <c r="G442" s="527" t="s">
        <v>1282</v>
      </c>
      <c r="H442" s="529">
        <v>2</v>
      </c>
      <c r="I442" s="530">
        <f>6*2.6*2</f>
        <v>31.200000000000003</v>
      </c>
      <c r="J442" s="630" t="s">
        <v>1164</v>
      </c>
      <c r="K442" s="531"/>
      <c r="L442" s="532">
        <f t="shared" si="34"/>
        <v>0</v>
      </c>
      <c r="M442" s="532">
        <f t="shared" si="35"/>
        <v>0</v>
      </c>
      <c r="N442" s="532">
        <f t="shared" si="36"/>
        <v>0</v>
      </c>
    </row>
    <row r="443" spans="1:14">
      <c r="A443" s="3" t="str">
        <f t="shared" si="37"/>
        <v>1212</v>
      </c>
      <c r="B443" s="527" t="s">
        <v>181</v>
      </c>
      <c r="C443" s="134">
        <v>121</v>
      </c>
      <c r="D443" s="528" t="s">
        <v>22</v>
      </c>
      <c r="E443" s="533" t="s">
        <v>194</v>
      </c>
      <c r="F443" s="527" t="s">
        <v>1160</v>
      </c>
      <c r="G443" s="527" t="s">
        <v>1301</v>
      </c>
      <c r="H443" s="529">
        <v>2</v>
      </c>
      <c r="I443" s="530">
        <f>1.3*1.3</f>
        <v>1.6900000000000002</v>
      </c>
      <c r="J443" s="630" t="s">
        <v>1161</v>
      </c>
      <c r="K443" s="531"/>
      <c r="L443" s="532">
        <f t="shared" si="34"/>
        <v>0</v>
      </c>
      <c r="M443" s="532">
        <f t="shared" si="35"/>
        <v>0</v>
      </c>
      <c r="N443" s="532">
        <f t="shared" si="36"/>
        <v>0</v>
      </c>
    </row>
    <row r="444" spans="1:14">
      <c r="A444" s="3" t="str">
        <f t="shared" si="37"/>
        <v>1212</v>
      </c>
      <c r="B444" s="527" t="s">
        <v>181</v>
      </c>
      <c r="C444" s="134">
        <v>121</v>
      </c>
      <c r="D444" s="528" t="s">
        <v>22</v>
      </c>
      <c r="E444" s="533" t="s">
        <v>194</v>
      </c>
      <c r="F444" s="527" t="s">
        <v>1163</v>
      </c>
      <c r="G444" s="527" t="s">
        <v>1301</v>
      </c>
      <c r="H444" s="529">
        <v>2</v>
      </c>
      <c r="I444" s="530">
        <f>1.3*1.3</f>
        <v>1.6900000000000002</v>
      </c>
      <c r="J444" s="630" t="s">
        <v>1161</v>
      </c>
      <c r="K444" s="531"/>
      <c r="L444" s="532">
        <f t="shared" si="34"/>
        <v>0</v>
      </c>
      <c r="M444" s="532">
        <f t="shared" si="35"/>
        <v>0</v>
      </c>
      <c r="N444" s="532">
        <f t="shared" si="36"/>
        <v>0</v>
      </c>
    </row>
    <row r="445" spans="1:14">
      <c r="A445" s="3" t="str">
        <f t="shared" si="37"/>
        <v>1212</v>
      </c>
      <c r="B445" s="527" t="s">
        <v>181</v>
      </c>
      <c r="C445" s="134">
        <v>121</v>
      </c>
      <c r="D445" s="528" t="s">
        <v>22</v>
      </c>
      <c r="E445" s="533" t="s">
        <v>63</v>
      </c>
      <c r="F445" s="527" t="s">
        <v>1160</v>
      </c>
      <c r="G445" s="527" t="s">
        <v>1264</v>
      </c>
      <c r="H445" s="529">
        <v>2</v>
      </c>
      <c r="I445" s="530">
        <f>+(3.2+4.8+0.5+1+3+9.2)*2.7-2</f>
        <v>56.59</v>
      </c>
      <c r="J445" s="630" t="s">
        <v>1164</v>
      </c>
      <c r="K445" s="531"/>
      <c r="L445" s="532">
        <f t="shared" si="34"/>
        <v>0</v>
      </c>
      <c r="M445" s="532">
        <f t="shared" si="35"/>
        <v>0</v>
      </c>
      <c r="N445" s="532">
        <f t="shared" si="36"/>
        <v>0</v>
      </c>
    </row>
    <row r="446" spans="1:14">
      <c r="A446" s="3" t="str">
        <f t="shared" si="37"/>
        <v>1212</v>
      </c>
      <c r="B446" s="527" t="s">
        <v>181</v>
      </c>
      <c r="C446" s="134">
        <v>121</v>
      </c>
      <c r="D446" s="528" t="s">
        <v>22</v>
      </c>
      <c r="E446" s="533" t="s">
        <v>63</v>
      </c>
      <c r="F446" s="527" t="s">
        <v>1163</v>
      </c>
      <c r="G446" s="527" t="s">
        <v>1264</v>
      </c>
      <c r="H446" s="529">
        <v>2</v>
      </c>
      <c r="I446" s="530">
        <f>+(3.2+4.8+0.5+1+3+9.2)*2.7-2</f>
        <v>56.59</v>
      </c>
      <c r="J446" s="630" t="s">
        <v>1164</v>
      </c>
      <c r="K446" s="531"/>
      <c r="L446" s="532">
        <f t="shared" si="34"/>
        <v>0</v>
      </c>
      <c r="M446" s="532">
        <f t="shared" si="35"/>
        <v>0</v>
      </c>
      <c r="N446" s="532">
        <f t="shared" si="36"/>
        <v>0</v>
      </c>
    </row>
    <row r="447" spans="1:14">
      <c r="A447" s="3" t="str">
        <f t="shared" si="37"/>
        <v>1212</v>
      </c>
      <c r="B447" s="527" t="s">
        <v>181</v>
      </c>
      <c r="C447" s="134">
        <v>121</v>
      </c>
      <c r="D447" s="528" t="s">
        <v>22</v>
      </c>
      <c r="E447" s="533" t="s">
        <v>66</v>
      </c>
      <c r="F447" s="527" t="s">
        <v>1172</v>
      </c>
      <c r="G447" s="527" t="s">
        <v>1285</v>
      </c>
      <c r="H447" s="529">
        <v>2</v>
      </c>
      <c r="I447" s="530">
        <v>14.55</v>
      </c>
      <c r="J447" s="630" t="s">
        <v>1161</v>
      </c>
      <c r="K447" s="531"/>
      <c r="L447" s="532">
        <f t="shared" si="34"/>
        <v>0</v>
      </c>
      <c r="M447" s="532">
        <f t="shared" si="35"/>
        <v>0</v>
      </c>
      <c r="N447" s="532">
        <f t="shared" si="36"/>
        <v>0</v>
      </c>
    </row>
    <row r="448" spans="1:14">
      <c r="A448" s="3" t="str">
        <f t="shared" si="37"/>
        <v>1212</v>
      </c>
      <c r="B448" s="527" t="s">
        <v>181</v>
      </c>
      <c r="C448" s="134">
        <v>121</v>
      </c>
      <c r="D448" s="528" t="s">
        <v>22</v>
      </c>
      <c r="E448" s="533" t="s">
        <v>66</v>
      </c>
      <c r="F448" s="527" t="s">
        <v>1174</v>
      </c>
      <c r="G448" s="527" t="s">
        <v>1285</v>
      </c>
      <c r="H448" s="529">
        <v>2</v>
      </c>
      <c r="I448" s="530">
        <v>14.55</v>
      </c>
      <c r="J448" s="630" t="s">
        <v>1164</v>
      </c>
      <c r="K448" s="531"/>
      <c r="L448" s="532">
        <f t="shared" si="34"/>
        <v>0</v>
      </c>
      <c r="M448" s="532">
        <f t="shared" si="35"/>
        <v>0</v>
      </c>
      <c r="N448" s="532">
        <f t="shared" si="36"/>
        <v>0</v>
      </c>
    </row>
    <row r="449" spans="1:14">
      <c r="A449" s="3" t="str">
        <f t="shared" si="37"/>
        <v>1212</v>
      </c>
      <c r="B449" s="527" t="s">
        <v>181</v>
      </c>
      <c r="C449" s="134">
        <v>121</v>
      </c>
      <c r="D449" s="528" t="s">
        <v>22</v>
      </c>
      <c r="E449" s="533" t="s">
        <v>66</v>
      </c>
      <c r="F449" s="527" t="s">
        <v>1175</v>
      </c>
      <c r="G449" s="527" t="s">
        <v>1217</v>
      </c>
      <c r="H449" s="529">
        <v>2</v>
      </c>
      <c r="I449" s="530">
        <v>1.92</v>
      </c>
      <c r="J449" s="630" t="s">
        <v>1161</v>
      </c>
      <c r="K449" s="531"/>
      <c r="L449" s="532">
        <f t="shared" si="34"/>
        <v>0</v>
      </c>
      <c r="M449" s="532">
        <f t="shared" si="35"/>
        <v>0</v>
      </c>
      <c r="N449" s="532">
        <f t="shared" si="36"/>
        <v>0</v>
      </c>
    </row>
    <row r="450" spans="1:14">
      <c r="A450" s="3" t="str">
        <f t="shared" si="37"/>
        <v>1212</v>
      </c>
      <c r="B450" s="527" t="s">
        <v>181</v>
      </c>
      <c r="C450" s="134">
        <v>121</v>
      </c>
      <c r="D450" s="528" t="s">
        <v>22</v>
      </c>
      <c r="E450" s="533" t="s">
        <v>66</v>
      </c>
      <c r="F450" s="527" t="s">
        <v>1177</v>
      </c>
      <c r="G450" s="527" t="s">
        <v>1217</v>
      </c>
      <c r="H450" s="529">
        <v>2</v>
      </c>
      <c r="I450" s="530">
        <v>1.92</v>
      </c>
      <c r="J450" s="630" t="s">
        <v>1161</v>
      </c>
      <c r="K450" s="531"/>
      <c r="L450" s="532">
        <f t="shared" si="34"/>
        <v>0</v>
      </c>
      <c r="M450" s="532">
        <f t="shared" si="35"/>
        <v>0</v>
      </c>
      <c r="N450" s="532">
        <f t="shared" si="36"/>
        <v>0</v>
      </c>
    </row>
    <row r="451" spans="1:14">
      <c r="A451" s="3" t="str">
        <f t="shared" si="37"/>
        <v>12126</v>
      </c>
      <c r="B451" s="527" t="s">
        <v>181</v>
      </c>
      <c r="C451" s="134">
        <v>121</v>
      </c>
      <c r="D451" s="528" t="s">
        <v>22</v>
      </c>
      <c r="E451" s="135"/>
      <c r="F451" s="527" t="s">
        <v>1162</v>
      </c>
      <c r="G451" s="527" t="s">
        <v>1308</v>
      </c>
      <c r="H451" s="529">
        <v>26</v>
      </c>
      <c r="I451" s="530">
        <v>14</v>
      </c>
      <c r="J451" s="630" t="s">
        <v>1161</v>
      </c>
      <c r="K451" s="531" t="s">
        <v>1309</v>
      </c>
      <c r="L451" s="532">
        <f t="shared" si="34"/>
        <v>0</v>
      </c>
      <c r="M451" s="532">
        <f t="shared" si="35"/>
        <v>0</v>
      </c>
      <c r="N451" s="532">
        <f t="shared" si="36"/>
        <v>0</v>
      </c>
    </row>
    <row r="452" spans="1:14">
      <c r="B452" s="527" t="s">
        <v>1536</v>
      </c>
      <c r="C452" s="134">
        <v>201</v>
      </c>
      <c r="D452" s="535" t="s">
        <v>1403</v>
      </c>
      <c r="E452" s="135"/>
      <c r="F452" s="527" t="s">
        <v>1162</v>
      </c>
      <c r="G452" s="527" t="s">
        <v>1681</v>
      </c>
      <c r="H452" s="529">
        <v>12</v>
      </c>
      <c r="I452" s="530">
        <v>424.8</v>
      </c>
      <c r="J452" s="630" t="s">
        <v>1161</v>
      </c>
      <c r="K452" s="531"/>
      <c r="L452" s="532">
        <f t="shared" si="34"/>
        <v>0</v>
      </c>
      <c r="M452" s="532">
        <f t="shared" si="35"/>
        <v>0</v>
      </c>
      <c r="N452" s="532">
        <f t="shared" si="36"/>
        <v>0</v>
      </c>
    </row>
    <row r="453" spans="1:14">
      <c r="B453" s="527" t="s">
        <v>1404</v>
      </c>
      <c r="C453" s="134">
        <v>202</v>
      </c>
      <c r="D453" s="535" t="s">
        <v>1403</v>
      </c>
      <c r="E453" s="135"/>
      <c r="F453" s="527" t="s">
        <v>1162</v>
      </c>
      <c r="G453" s="527" t="s">
        <v>1681</v>
      </c>
      <c r="H453" s="529">
        <v>12</v>
      </c>
      <c r="I453" s="530">
        <v>350.4</v>
      </c>
      <c r="J453" s="630" t="s">
        <v>1161</v>
      </c>
      <c r="K453" s="531"/>
      <c r="L453" s="532">
        <f t="shared" si="34"/>
        <v>0</v>
      </c>
      <c r="M453" s="532">
        <f t="shared" si="35"/>
        <v>0</v>
      </c>
      <c r="N453" s="532">
        <f t="shared" si="36"/>
        <v>0</v>
      </c>
    </row>
    <row r="454" spans="1:14">
      <c r="B454" s="527" t="s">
        <v>1405</v>
      </c>
      <c r="C454" s="134">
        <v>203</v>
      </c>
      <c r="D454" s="535" t="s">
        <v>1403</v>
      </c>
      <c r="E454" s="135"/>
      <c r="F454" s="527" t="s">
        <v>1172</v>
      </c>
      <c r="G454" s="527" t="s">
        <v>1682</v>
      </c>
      <c r="H454" s="529">
        <v>2</v>
      </c>
      <c r="I454" s="530">
        <v>64</v>
      </c>
      <c r="J454" s="630" t="s">
        <v>1161</v>
      </c>
      <c r="K454" s="531"/>
      <c r="L454" s="532">
        <f t="shared" si="34"/>
        <v>0</v>
      </c>
      <c r="M454" s="532">
        <f t="shared" si="35"/>
        <v>0</v>
      </c>
      <c r="N454" s="532">
        <f t="shared" si="36"/>
        <v>0</v>
      </c>
    </row>
    <row r="455" spans="1:14">
      <c r="B455" s="527" t="s">
        <v>1405</v>
      </c>
      <c r="C455" s="134">
        <v>203</v>
      </c>
      <c r="D455" s="535" t="s">
        <v>1403</v>
      </c>
      <c r="E455" s="135"/>
      <c r="F455" s="527" t="s">
        <v>1174</v>
      </c>
      <c r="G455" s="527" t="s">
        <v>1683</v>
      </c>
      <c r="H455" s="529">
        <v>2</v>
      </c>
      <c r="I455" s="530">
        <v>64</v>
      </c>
      <c r="J455" s="630" t="s">
        <v>1164</v>
      </c>
      <c r="K455" s="531"/>
      <c r="L455" s="532">
        <f t="shared" si="34"/>
        <v>0</v>
      </c>
      <c r="M455" s="532">
        <f t="shared" si="35"/>
        <v>0</v>
      </c>
      <c r="N455" s="532">
        <f t="shared" si="36"/>
        <v>0</v>
      </c>
    </row>
    <row r="456" spans="1:14">
      <c r="B456" s="527" t="s">
        <v>1406</v>
      </c>
      <c r="C456" s="134">
        <v>204</v>
      </c>
      <c r="D456" s="535" t="s">
        <v>1403</v>
      </c>
      <c r="E456" s="135"/>
      <c r="F456" s="527" t="s">
        <v>1172</v>
      </c>
      <c r="G456" s="527" t="s">
        <v>1682</v>
      </c>
      <c r="H456" s="529">
        <v>2</v>
      </c>
      <c r="I456" s="530">
        <v>64</v>
      </c>
      <c r="J456" s="630" t="s">
        <v>1161</v>
      </c>
      <c r="K456" s="531"/>
      <c r="L456" s="532">
        <f t="shared" si="34"/>
        <v>0</v>
      </c>
      <c r="M456" s="532">
        <f t="shared" si="35"/>
        <v>0</v>
      </c>
      <c r="N456" s="532">
        <f t="shared" si="36"/>
        <v>0</v>
      </c>
    </row>
    <row r="457" spans="1:14">
      <c r="B457" s="527" t="s">
        <v>1406</v>
      </c>
      <c r="C457" s="134">
        <v>204</v>
      </c>
      <c r="D457" s="535" t="s">
        <v>1403</v>
      </c>
      <c r="E457" s="135"/>
      <c r="F457" s="527" t="s">
        <v>1174</v>
      </c>
      <c r="G457" s="527" t="s">
        <v>1683</v>
      </c>
      <c r="H457" s="529">
        <v>2</v>
      </c>
      <c r="I457" s="530">
        <v>64</v>
      </c>
      <c r="J457" s="630" t="s">
        <v>1164</v>
      </c>
      <c r="K457" s="531"/>
      <c r="L457" s="532">
        <f t="shared" si="34"/>
        <v>0</v>
      </c>
      <c r="M457" s="532">
        <f t="shared" si="35"/>
        <v>0</v>
      </c>
      <c r="N457" s="532">
        <f t="shared" si="36"/>
        <v>0</v>
      </c>
    </row>
    <row r="458" spans="1:14">
      <c r="B458" s="527" t="s">
        <v>1406</v>
      </c>
      <c r="C458" s="134">
        <v>204</v>
      </c>
      <c r="D458" s="535" t="s">
        <v>1403</v>
      </c>
      <c r="E458" s="135"/>
      <c r="F458" s="527" t="s">
        <v>1162</v>
      </c>
      <c r="G458" s="527" t="s">
        <v>1684</v>
      </c>
      <c r="H458" s="529">
        <v>12</v>
      </c>
      <c r="I458" s="530">
        <v>92</v>
      </c>
      <c r="J458" s="630" t="s">
        <v>1161</v>
      </c>
      <c r="K458" s="531"/>
      <c r="L458" s="532">
        <f t="shared" si="34"/>
        <v>0</v>
      </c>
      <c r="M458" s="532">
        <f t="shared" si="35"/>
        <v>0</v>
      </c>
      <c r="N458" s="532">
        <f t="shared" ref="N458" si="38">(M458*H458)+(L458*H458)</f>
        <v>0</v>
      </c>
    </row>
    <row r="459" spans="1:14">
      <c r="B459" s="527" t="s">
        <v>1407</v>
      </c>
      <c r="C459" s="134">
        <v>205</v>
      </c>
      <c r="D459" s="535" t="s">
        <v>1403</v>
      </c>
      <c r="E459" s="135"/>
      <c r="F459" s="527" t="s">
        <v>1172</v>
      </c>
      <c r="G459" s="527" t="s">
        <v>1682</v>
      </c>
      <c r="H459" s="529">
        <v>2</v>
      </c>
      <c r="I459" s="530">
        <v>64</v>
      </c>
      <c r="J459" s="630" t="s">
        <v>1161</v>
      </c>
      <c r="K459" s="531"/>
      <c r="L459" s="532">
        <f t="shared" si="34"/>
        <v>0</v>
      </c>
      <c r="M459" s="532">
        <f t="shared" si="35"/>
        <v>0</v>
      </c>
      <c r="N459" s="532">
        <f t="shared" si="36"/>
        <v>0</v>
      </c>
    </row>
    <row r="460" spans="1:14">
      <c r="B460" s="527" t="s">
        <v>1407</v>
      </c>
      <c r="C460" s="134">
        <v>205</v>
      </c>
      <c r="D460" s="535" t="s">
        <v>1403</v>
      </c>
      <c r="E460" s="135"/>
      <c r="F460" s="527" t="s">
        <v>1174</v>
      </c>
      <c r="G460" s="527" t="s">
        <v>1683</v>
      </c>
      <c r="H460" s="529">
        <v>2</v>
      </c>
      <c r="I460" s="530">
        <v>64</v>
      </c>
      <c r="J460" s="630" t="s">
        <v>1164</v>
      </c>
      <c r="K460" s="531"/>
      <c r="L460" s="532">
        <f t="shared" si="34"/>
        <v>0</v>
      </c>
      <c r="M460" s="532">
        <f t="shared" si="35"/>
        <v>0</v>
      </c>
      <c r="N460" s="532">
        <f t="shared" si="36"/>
        <v>0</v>
      </c>
    </row>
    <row r="461" spans="1:14">
      <c r="B461" s="527" t="s">
        <v>1407</v>
      </c>
      <c r="C461" s="134">
        <v>205</v>
      </c>
      <c r="D461" s="535" t="s">
        <v>1403</v>
      </c>
      <c r="E461" s="135"/>
      <c r="F461" s="527" t="s">
        <v>1162</v>
      </c>
      <c r="G461" s="527" t="s">
        <v>1684</v>
      </c>
      <c r="H461" s="529">
        <v>12</v>
      </c>
      <c r="I461" s="530">
        <v>92</v>
      </c>
      <c r="J461" s="630" t="s">
        <v>1161</v>
      </c>
      <c r="K461" s="531"/>
      <c r="L461" s="532">
        <f t="shared" ref="L461:L524" si="39">IF(J461="ja",0,VLOOKUP(F461,Glassoort2,2,0))*I461</f>
        <v>0</v>
      </c>
      <c r="M461" s="532">
        <f t="shared" ref="M461:M524" si="40">IF(J461="ja",VLOOKUP(F461,Glassoort2,3,0))*I461</f>
        <v>0</v>
      </c>
      <c r="N461" s="532">
        <f t="shared" si="36"/>
        <v>0</v>
      </c>
    </row>
    <row r="462" spans="1:14">
      <c r="B462" s="527" t="s">
        <v>1408</v>
      </c>
      <c r="C462" s="134">
        <v>206</v>
      </c>
      <c r="D462" s="535" t="s">
        <v>1403</v>
      </c>
      <c r="E462" s="135"/>
      <c r="F462" s="527" t="s">
        <v>1172</v>
      </c>
      <c r="G462" s="527" t="s">
        <v>1682</v>
      </c>
      <c r="H462" s="529">
        <v>2</v>
      </c>
      <c r="I462" s="530">
        <v>64</v>
      </c>
      <c r="J462" s="630" t="s">
        <v>1161</v>
      </c>
      <c r="K462" s="531"/>
      <c r="L462" s="532">
        <f t="shared" si="39"/>
        <v>0</v>
      </c>
      <c r="M462" s="532">
        <f t="shared" si="40"/>
        <v>0</v>
      </c>
      <c r="N462" s="532">
        <f t="shared" si="36"/>
        <v>0</v>
      </c>
    </row>
    <row r="463" spans="1:14">
      <c r="B463" s="527" t="s">
        <v>1408</v>
      </c>
      <c r="C463" s="134">
        <v>206</v>
      </c>
      <c r="D463" s="535" t="s">
        <v>1403</v>
      </c>
      <c r="E463" s="135"/>
      <c r="F463" s="527" t="s">
        <v>1174</v>
      </c>
      <c r="G463" s="527" t="s">
        <v>1683</v>
      </c>
      <c r="H463" s="529">
        <v>2</v>
      </c>
      <c r="I463" s="530">
        <v>64</v>
      </c>
      <c r="J463" s="630" t="s">
        <v>1164</v>
      </c>
      <c r="K463" s="531"/>
      <c r="L463" s="532">
        <f t="shared" si="39"/>
        <v>0</v>
      </c>
      <c r="M463" s="532">
        <f t="shared" si="40"/>
        <v>0</v>
      </c>
      <c r="N463" s="532">
        <f t="shared" si="36"/>
        <v>0</v>
      </c>
    </row>
    <row r="464" spans="1:14">
      <c r="B464" s="527" t="s">
        <v>1409</v>
      </c>
      <c r="C464" s="134">
        <v>207</v>
      </c>
      <c r="D464" s="535" t="s">
        <v>1403</v>
      </c>
      <c r="E464" s="135"/>
      <c r="F464" s="527" t="s">
        <v>1172</v>
      </c>
      <c r="G464" s="527" t="s">
        <v>1682</v>
      </c>
      <c r="H464" s="529">
        <v>2</v>
      </c>
      <c r="I464" s="530">
        <v>64</v>
      </c>
      <c r="J464" s="630" t="s">
        <v>1161</v>
      </c>
      <c r="K464" s="531"/>
      <c r="L464" s="532">
        <f t="shared" si="39"/>
        <v>0</v>
      </c>
      <c r="M464" s="532">
        <f t="shared" si="40"/>
        <v>0</v>
      </c>
      <c r="N464" s="532">
        <f t="shared" si="36"/>
        <v>0</v>
      </c>
    </row>
    <row r="465" spans="1:14">
      <c r="B465" s="527" t="s">
        <v>1409</v>
      </c>
      <c r="C465" s="134">
        <v>207</v>
      </c>
      <c r="D465" s="535" t="s">
        <v>1403</v>
      </c>
      <c r="E465" s="135"/>
      <c r="F465" s="527" t="s">
        <v>1174</v>
      </c>
      <c r="G465" s="527" t="s">
        <v>1683</v>
      </c>
      <c r="H465" s="529">
        <v>2</v>
      </c>
      <c r="I465" s="530">
        <v>64</v>
      </c>
      <c r="J465" s="630" t="s">
        <v>1164</v>
      </c>
      <c r="K465" s="531"/>
      <c r="L465" s="532">
        <f t="shared" si="39"/>
        <v>0</v>
      </c>
      <c r="M465" s="532">
        <f t="shared" si="40"/>
        <v>0</v>
      </c>
      <c r="N465" s="532">
        <f t="shared" si="36"/>
        <v>0</v>
      </c>
    </row>
    <row r="466" spans="1:14">
      <c r="B466" s="527" t="s">
        <v>1669</v>
      </c>
      <c r="C466" s="134">
        <v>209</v>
      </c>
      <c r="D466" s="535" t="s">
        <v>1403</v>
      </c>
      <c r="E466" s="135"/>
      <c r="F466" s="527" t="s">
        <v>1172</v>
      </c>
      <c r="G466" s="527" t="s">
        <v>1682</v>
      </c>
      <c r="H466" s="529">
        <v>2</v>
      </c>
      <c r="I466" s="530">
        <v>64</v>
      </c>
      <c r="J466" s="630" t="s">
        <v>1161</v>
      </c>
      <c r="K466" s="531"/>
      <c r="L466" s="532">
        <f t="shared" si="39"/>
        <v>0</v>
      </c>
      <c r="M466" s="532">
        <f t="shared" si="40"/>
        <v>0</v>
      </c>
      <c r="N466" s="532">
        <f t="shared" si="36"/>
        <v>0</v>
      </c>
    </row>
    <row r="467" spans="1:14">
      <c r="B467" s="527" t="s">
        <v>1669</v>
      </c>
      <c r="C467" s="134">
        <v>209</v>
      </c>
      <c r="D467" s="535" t="s">
        <v>1403</v>
      </c>
      <c r="E467" s="135"/>
      <c r="F467" s="527" t="s">
        <v>1174</v>
      </c>
      <c r="G467" s="527" t="s">
        <v>1683</v>
      </c>
      <c r="H467" s="529">
        <v>2</v>
      </c>
      <c r="I467" s="530">
        <v>64</v>
      </c>
      <c r="J467" s="630" t="s">
        <v>1164</v>
      </c>
      <c r="K467" s="531"/>
      <c r="L467" s="532">
        <f t="shared" si="39"/>
        <v>0</v>
      </c>
      <c r="M467" s="532">
        <f t="shared" si="40"/>
        <v>0</v>
      </c>
      <c r="N467" s="532">
        <f t="shared" si="36"/>
        <v>0</v>
      </c>
    </row>
    <row r="468" spans="1:14">
      <c r="B468" s="527" t="s">
        <v>1669</v>
      </c>
      <c r="C468" s="134">
        <v>209</v>
      </c>
      <c r="D468" s="535" t="s">
        <v>1403</v>
      </c>
      <c r="E468" s="135"/>
      <c r="F468" s="527" t="s">
        <v>1162</v>
      </c>
      <c r="G468" s="527" t="s">
        <v>1684</v>
      </c>
      <c r="H468" s="529">
        <v>12</v>
      </c>
      <c r="I468" s="530">
        <v>111</v>
      </c>
      <c r="J468" s="630" t="s">
        <v>1161</v>
      </c>
      <c r="K468" s="531"/>
      <c r="L468" s="532">
        <f t="shared" si="39"/>
        <v>0</v>
      </c>
      <c r="M468" s="532">
        <f t="shared" si="40"/>
        <v>0</v>
      </c>
      <c r="N468" s="532">
        <f t="shared" ref="N468:N535" si="41">(M468*H468)+(L468*H468)</f>
        <v>0</v>
      </c>
    </row>
    <row r="469" spans="1:14">
      <c r="B469" s="527" t="s">
        <v>1670</v>
      </c>
      <c r="C469" s="134">
        <v>210</v>
      </c>
      <c r="D469" s="535" t="s">
        <v>1403</v>
      </c>
      <c r="E469" s="135"/>
      <c r="F469" s="527" t="s">
        <v>1172</v>
      </c>
      <c r="G469" s="527" t="s">
        <v>1682</v>
      </c>
      <c r="H469" s="529">
        <v>2</v>
      </c>
      <c r="I469" s="530">
        <v>64</v>
      </c>
      <c r="J469" s="630" t="s">
        <v>1161</v>
      </c>
      <c r="K469" s="531"/>
      <c r="L469" s="532">
        <f t="shared" si="39"/>
        <v>0</v>
      </c>
      <c r="M469" s="532">
        <f t="shared" si="40"/>
        <v>0</v>
      </c>
      <c r="N469" s="532">
        <f t="shared" si="41"/>
        <v>0</v>
      </c>
    </row>
    <row r="470" spans="1:14">
      <c r="B470" s="527" t="s">
        <v>1670</v>
      </c>
      <c r="C470" s="134">
        <v>210</v>
      </c>
      <c r="D470" s="535" t="s">
        <v>1403</v>
      </c>
      <c r="E470" s="135"/>
      <c r="F470" s="527" t="s">
        <v>1174</v>
      </c>
      <c r="G470" s="527" t="s">
        <v>1683</v>
      </c>
      <c r="H470" s="529">
        <v>2</v>
      </c>
      <c r="I470" s="530">
        <v>64</v>
      </c>
      <c r="J470" s="630" t="s">
        <v>1164</v>
      </c>
      <c r="K470" s="531"/>
      <c r="L470" s="532">
        <f t="shared" si="39"/>
        <v>0</v>
      </c>
      <c r="M470" s="532">
        <f t="shared" si="40"/>
        <v>0</v>
      </c>
      <c r="N470" s="532">
        <f t="shared" si="41"/>
        <v>0</v>
      </c>
    </row>
    <row r="471" spans="1:14">
      <c r="B471" s="527" t="s">
        <v>1670</v>
      </c>
      <c r="C471" s="134">
        <v>210</v>
      </c>
      <c r="D471" s="535" t="s">
        <v>1403</v>
      </c>
      <c r="E471" s="135"/>
      <c r="F471" s="527" t="s">
        <v>1162</v>
      </c>
      <c r="G471" s="527" t="s">
        <v>1684</v>
      </c>
      <c r="H471" s="529">
        <v>12</v>
      </c>
      <c r="I471" s="530">
        <v>92</v>
      </c>
      <c r="J471" s="630" t="s">
        <v>1161</v>
      </c>
      <c r="K471" s="531"/>
      <c r="L471" s="532">
        <f t="shared" si="39"/>
        <v>0</v>
      </c>
      <c r="M471" s="532">
        <f t="shared" si="40"/>
        <v>0</v>
      </c>
      <c r="N471" s="532">
        <f t="shared" si="41"/>
        <v>0</v>
      </c>
    </row>
    <row r="472" spans="1:14">
      <c r="B472" s="527" t="s">
        <v>1671</v>
      </c>
      <c r="C472" s="134">
        <v>211</v>
      </c>
      <c r="D472" s="535" t="s">
        <v>1403</v>
      </c>
      <c r="E472" s="135"/>
      <c r="F472" s="527" t="s">
        <v>1172</v>
      </c>
      <c r="G472" s="527" t="s">
        <v>1682</v>
      </c>
      <c r="H472" s="529">
        <v>2</v>
      </c>
      <c r="I472" s="530">
        <v>64</v>
      </c>
      <c r="J472" s="630" t="s">
        <v>1161</v>
      </c>
      <c r="K472" s="531"/>
      <c r="L472" s="532">
        <f t="shared" si="39"/>
        <v>0</v>
      </c>
      <c r="M472" s="532">
        <f t="shared" si="40"/>
        <v>0</v>
      </c>
      <c r="N472" s="532">
        <f t="shared" si="41"/>
        <v>0</v>
      </c>
    </row>
    <row r="473" spans="1:14">
      <c r="B473" s="527" t="s">
        <v>1671</v>
      </c>
      <c r="C473" s="134">
        <v>211</v>
      </c>
      <c r="D473" s="535" t="s">
        <v>1403</v>
      </c>
      <c r="E473" s="135"/>
      <c r="F473" s="527" t="s">
        <v>1174</v>
      </c>
      <c r="G473" s="527" t="s">
        <v>1683</v>
      </c>
      <c r="H473" s="529">
        <v>2</v>
      </c>
      <c r="I473" s="530">
        <v>64</v>
      </c>
      <c r="J473" s="630" t="s">
        <v>1164</v>
      </c>
      <c r="K473" s="531"/>
      <c r="L473" s="532">
        <f t="shared" si="39"/>
        <v>0</v>
      </c>
      <c r="M473" s="532">
        <f t="shared" si="40"/>
        <v>0</v>
      </c>
      <c r="N473" s="532">
        <f t="shared" si="41"/>
        <v>0</v>
      </c>
    </row>
    <row r="474" spans="1:14">
      <c r="B474" s="527" t="s">
        <v>1672</v>
      </c>
      <c r="C474" s="134">
        <v>212</v>
      </c>
      <c r="D474" s="535" t="s">
        <v>1403</v>
      </c>
      <c r="E474" s="135"/>
      <c r="F474" s="527" t="s">
        <v>1162</v>
      </c>
      <c r="G474" s="527" t="s">
        <v>1681</v>
      </c>
      <c r="H474" s="529">
        <v>12</v>
      </c>
      <c r="I474" s="530">
        <v>148</v>
      </c>
      <c r="J474" s="630" t="s">
        <v>1161</v>
      </c>
      <c r="K474" s="531"/>
      <c r="L474" s="532">
        <f t="shared" si="39"/>
        <v>0</v>
      </c>
      <c r="M474" s="532">
        <f t="shared" si="40"/>
        <v>0</v>
      </c>
      <c r="N474" s="532">
        <f t="shared" si="41"/>
        <v>0</v>
      </c>
    </row>
    <row r="475" spans="1:14">
      <c r="A475" s="3" t="s">
        <v>1505</v>
      </c>
      <c r="B475" s="527" t="s">
        <v>1410</v>
      </c>
      <c r="C475" s="134">
        <v>301</v>
      </c>
      <c r="D475" s="535" t="s">
        <v>1394</v>
      </c>
      <c r="E475" s="533" t="s">
        <v>54</v>
      </c>
      <c r="F475" s="527" t="s">
        <v>1172</v>
      </c>
      <c r="G475" s="527" t="s">
        <v>1413</v>
      </c>
      <c r="H475" s="529">
        <v>2</v>
      </c>
      <c r="I475" s="530">
        <f>((1.9*0.7)*2)*2</f>
        <v>5.3199999999999994</v>
      </c>
      <c r="J475" s="630" t="s">
        <v>1161</v>
      </c>
      <c r="K475" s="531"/>
      <c r="L475" s="532">
        <f t="shared" si="39"/>
        <v>0</v>
      </c>
      <c r="M475" s="532">
        <f t="shared" si="40"/>
        <v>0</v>
      </c>
      <c r="N475" s="532">
        <f t="shared" si="41"/>
        <v>0</v>
      </c>
    </row>
    <row r="476" spans="1:14">
      <c r="A476" s="3" t="s">
        <v>1505</v>
      </c>
      <c r="B476" s="527" t="s">
        <v>1410</v>
      </c>
      <c r="C476" s="134">
        <v>301</v>
      </c>
      <c r="D476" s="535" t="s">
        <v>1394</v>
      </c>
      <c r="E476" s="533" t="s">
        <v>54</v>
      </c>
      <c r="F476" s="527" t="s">
        <v>1174</v>
      </c>
      <c r="G476" s="527" t="s">
        <v>1413</v>
      </c>
      <c r="H476" s="529">
        <v>2</v>
      </c>
      <c r="I476" s="530">
        <f>((1.9*0.7)*2)*2</f>
        <v>5.3199999999999994</v>
      </c>
      <c r="J476" s="630" t="s">
        <v>1164</v>
      </c>
      <c r="K476" s="531"/>
      <c r="L476" s="532">
        <f t="shared" si="39"/>
        <v>0</v>
      </c>
      <c r="M476" s="532">
        <f t="shared" si="40"/>
        <v>0</v>
      </c>
      <c r="N476" s="532">
        <f t="shared" si="41"/>
        <v>0</v>
      </c>
    </row>
    <row r="477" spans="1:14">
      <c r="A477" s="3" t="s">
        <v>1505</v>
      </c>
      <c r="B477" s="527" t="s">
        <v>1410</v>
      </c>
      <c r="C477" s="134">
        <v>301</v>
      </c>
      <c r="D477" s="535" t="s">
        <v>1394</v>
      </c>
      <c r="E477" s="533" t="s">
        <v>716</v>
      </c>
      <c r="F477" s="527" t="s">
        <v>1172</v>
      </c>
      <c r="G477" s="527" t="s">
        <v>1413</v>
      </c>
      <c r="H477" s="529">
        <v>2</v>
      </c>
      <c r="I477" s="530">
        <f>((4.3*0.7)*2)+((5.9*0.7)*2)</f>
        <v>14.28</v>
      </c>
      <c r="J477" s="630" t="s">
        <v>1161</v>
      </c>
      <c r="K477" s="531"/>
      <c r="L477" s="532">
        <f t="shared" si="39"/>
        <v>0</v>
      </c>
      <c r="M477" s="532">
        <f t="shared" si="40"/>
        <v>0</v>
      </c>
      <c r="N477" s="532">
        <f t="shared" si="41"/>
        <v>0</v>
      </c>
    </row>
    <row r="478" spans="1:14">
      <c r="A478" s="3" t="s">
        <v>1505</v>
      </c>
      <c r="B478" s="527" t="s">
        <v>1410</v>
      </c>
      <c r="C478" s="134">
        <v>301</v>
      </c>
      <c r="D478" s="535" t="s">
        <v>1394</v>
      </c>
      <c r="E478" s="533" t="s">
        <v>716</v>
      </c>
      <c r="F478" s="527" t="s">
        <v>1174</v>
      </c>
      <c r="G478" s="527" t="s">
        <v>1413</v>
      </c>
      <c r="H478" s="529">
        <v>2</v>
      </c>
      <c r="I478" s="530">
        <f>((4.3*0.7)*2)+((5.9*0.7)*2)</f>
        <v>14.28</v>
      </c>
      <c r="J478" s="630" t="s">
        <v>1164</v>
      </c>
      <c r="K478" s="531"/>
      <c r="L478" s="532">
        <f t="shared" si="39"/>
        <v>0</v>
      </c>
      <c r="M478" s="532">
        <f t="shared" si="40"/>
        <v>0</v>
      </c>
      <c r="N478" s="532">
        <f t="shared" si="41"/>
        <v>0</v>
      </c>
    </row>
    <row r="479" spans="1:14">
      <c r="A479" s="3" t="s">
        <v>1506</v>
      </c>
      <c r="B479" s="527" t="s">
        <v>1410</v>
      </c>
      <c r="C479" s="134">
        <v>301</v>
      </c>
      <c r="D479" s="535" t="s">
        <v>1394</v>
      </c>
      <c r="E479" s="135"/>
      <c r="F479" s="527" t="s">
        <v>1162</v>
      </c>
      <c r="G479" s="527" t="s">
        <v>1308</v>
      </c>
      <c r="H479" s="529">
        <v>26</v>
      </c>
      <c r="I479" s="530">
        <v>285</v>
      </c>
      <c r="J479" s="630" t="s">
        <v>1161</v>
      </c>
      <c r="K479" s="531" t="s">
        <v>1309</v>
      </c>
      <c r="L479" s="532">
        <f t="shared" si="39"/>
        <v>0</v>
      </c>
      <c r="M479" s="532">
        <f t="shared" si="40"/>
        <v>0</v>
      </c>
      <c r="N479" s="532">
        <f t="shared" si="41"/>
        <v>0</v>
      </c>
    </row>
    <row r="480" spans="1:14">
      <c r="A480" s="3" t="s">
        <v>1507</v>
      </c>
      <c r="B480" s="527" t="s">
        <v>1414</v>
      </c>
      <c r="C480" s="134">
        <v>302</v>
      </c>
      <c r="D480" s="535" t="s">
        <v>1394</v>
      </c>
      <c r="E480" s="533" t="s">
        <v>1415</v>
      </c>
      <c r="F480" s="527" t="s">
        <v>1163</v>
      </c>
      <c r="G480" s="527" t="s">
        <v>1416</v>
      </c>
      <c r="H480" s="529">
        <v>2</v>
      </c>
      <c r="I480" s="530">
        <f>(7*1.8)+(12*1.8)+(8.6*8)-(2*(2*4.6))+(7*8.6)+(8*8.6)+(5*4.6)+(7.5*3.4)+(5.5*1.8)</f>
        <v>271.99999999999994</v>
      </c>
      <c r="J480" s="630" t="s">
        <v>1164</v>
      </c>
      <c r="K480" s="531"/>
      <c r="L480" s="532">
        <f t="shared" si="39"/>
        <v>0</v>
      </c>
      <c r="M480" s="532">
        <f t="shared" si="40"/>
        <v>0</v>
      </c>
      <c r="N480" s="532">
        <f t="shared" si="41"/>
        <v>0</v>
      </c>
    </row>
    <row r="481" spans="1:14">
      <c r="A481" s="3" t="s">
        <v>1507</v>
      </c>
      <c r="B481" s="527" t="s">
        <v>1414</v>
      </c>
      <c r="C481" s="134">
        <v>302</v>
      </c>
      <c r="D481" s="535" t="s">
        <v>1394</v>
      </c>
      <c r="E481" s="533" t="s">
        <v>1415</v>
      </c>
      <c r="F481" s="527" t="s">
        <v>1160</v>
      </c>
      <c r="G481" s="527" t="s">
        <v>1417</v>
      </c>
      <c r="H481" s="529">
        <v>2</v>
      </c>
      <c r="I481" s="530">
        <f>(12*1.8)+(8.6*8)-(2*(2*4.6))+(7*8.6)+(8*8.6)+(5*4.6)+(7.5*3.4)+(5.5*1.8)</f>
        <v>259.39999999999998</v>
      </c>
      <c r="J481" s="630" t="s">
        <v>1164</v>
      </c>
      <c r="K481" s="531"/>
      <c r="L481" s="532">
        <f t="shared" si="39"/>
        <v>0</v>
      </c>
      <c r="M481" s="532">
        <f t="shared" si="40"/>
        <v>0</v>
      </c>
      <c r="N481" s="532">
        <f t="shared" si="41"/>
        <v>0</v>
      </c>
    </row>
    <row r="482" spans="1:14">
      <c r="A482" s="3" t="s">
        <v>1507</v>
      </c>
      <c r="B482" s="527" t="s">
        <v>1414</v>
      </c>
      <c r="C482" s="134">
        <v>302</v>
      </c>
      <c r="D482" s="535" t="s">
        <v>1394</v>
      </c>
      <c r="E482" s="533" t="s">
        <v>1415</v>
      </c>
      <c r="F482" s="527" t="s">
        <v>1160</v>
      </c>
      <c r="G482" s="527" t="s">
        <v>1418</v>
      </c>
      <c r="H482" s="529">
        <v>2</v>
      </c>
      <c r="I482" s="530">
        <f>(7*1.8)</f>
        <v>12.6</v>
      </c>
      <c r="J482" s="630" t="s">
        <v>1164</v>
      </c>
      <c r="K482" s="531"/>
      <c r="L482" s="532">
        <f t="shared" si="39"/>
        <v>0</v>
      </c>
      <c r="M482" s="532">
        <f t="shared" si="40"/>
        <v>0</v>
      </c>
      <c r="N482" s="532">
        <f t="shared" si="41"/>
        <v>0</v>
      </c>
    </row>
    <row r="483" spans="1:14">
      <c r="A483" s="3" t="s">
        <v>1507</v>
      </c>
      <c r="B483" s="527" t="s">
        <v>1414</v>
      </c>
      <c r="C483" s="134">
        <v>302</v>
      </c>
      <c r="D483" s="535" t="s">
        <v>1394</v>
      </c>
      <c r="E483" s="533" t="s">
        <v>1419</v>
      </c>
      <c r="F483" s="527" t="s">
        <v>1172</v>
      </c>
      <c r="G483" s="527" t="s">
        <v>125</v>
      </c>
      <c r="H483" s="529">
        <v>2</v>
      </c>
      <c r="I483" s="530">
        <f>(6*0.8)+(7.5*0.45)</f>
        <v>8.1750000000000007</v>
      </c>
      <c r="J483" s="630" t="s">
        <v>1161</v>
      </c>
      <c r="K483" s="531"/>
      <c r="L483" s="532">
        <f t="shared" si="39"/>
        <v>0</v>
      </c>
      <c r="M483" s="532">
        <f t="shared" si="40"/>
        <v>0</v>
      </c>
      <c r="N483" s="532">
        <f t="shared" si="41"/>
        <v>0</v>
      </c>
    </row>
    <row r="484" spans="1:14">
      <c r="A484" s="3" t="s">
        <v>1507</v>
      </c>
      <c r="B484" s="527" t="s">
        <v>1414</v>
      </c>
      <c r="C484" s="134">
        <v>302</v>
      </c>
      <c r="D484" s="535" t="s">
        <v>1394</v>
      </c>
      <c r="E484" s="533" t="s">
        <v>1419</v>
      </c>
      <c r="F484" s="527" t="s">
        <v>1174</v>
      </c>
      <c r="G484" s="527" t="s">
        <v>125</v>
      </c>
      <c r="H484" s="529">
        <v>2</v>
      </c>
      <c r="I484" s="530">
        <f>(6*0.8)+(7.5*0.45)</f>
        <v>8.1750000000000007</v>
      </c>
      <c r="J484" s="630" t="s">
        <v>1164</v>
      </c>
      <c r="K484" s="531"/>
      <c r="L484" s="532">
        <f t="shared" si="39"/>
        <v>0</v>
      </c>
      <c r="M484" s="532">
        <f t="shared" si="40"/>
        <v>0</v>
      </c>
      <c r="N484" s="532">
        <f t="shared" si="41"/>
        <v>0</v>
      </c>
    </row>
    <row r="485" spans="1:14">
      <c r="A485" s="3" t="s">
        <v>1507</v>
      </c>
      <c r="B485" s="527" t="s">
        <v>1414</v>
      </c>
      <c r="C485" s="134">
        <v>302</v>
      </c>
      <c r="D485" s="535" t="s">
        <v>1394</v>
      </c>
      <c r="E485" s="533" t="s">
        <v>143</v>
      </c>
      <c r="F485" s="527" t="s">
        <v>1163</v>
      </c>
      <c r="G485" s="527" t="s">
        <v>1416</v>
      </c>
      <c r="H485" s="529">
        <v>2</v>
      </c>
      <c r="I485" s="530">
        <v>126.71</v>
      </c>
      <c r="J485" s="630" t="s">
        <v>1164</v>
      </c>
      <c r="K485" s="531"/>
      <c r="L485" s="532">
        <f t="shared" si="39"/>
        <v>0</v>
      </c>
      <c r="M485" s="532">
        <f t="shared" si="40"/>
        <v>0</v>
      </c>
      <c r="N485" s="532">
        <f t="shared" si="41"/>
        <v>0</v>
      </c>
    </row>
    <row r="486" spans="1:14">
      <c r="A486" s="3" t="s">
        <v>1507</v>
      </c>
      <c r="B486" s="527" t="s">
        <v>1414</v>
      </c>
      <c r="C486" s="134">
        <v>302</v>
      </c>
      <c r="D486" s="535" t="s">
        <v>1394</v>
      </c>
      <c r="E486" s="533" t="s">
        <v>143</v>
      </c>
      <c r="F486" s="527" t="s">
        <v>1160</v>
      </c>
      <c r="G486" s="527" t="s">
        <v>1421</v>
      </c>
      <c r="H486" s="529">
        <v>2</v>
      </c>
      <c r="I486" s="530">
        <v>126.71</v>
      </c>
      <c r="J486" s="630" t="s">
        <v>1161</v>
      </c>
      <c r="K486" s="531"/>
      <c r="L486" s="532">
        <f t="shared" si="39"/>
        <v>0</v>
      </c>
      <c r="M486" s="532">
        <f t="shared" si="40"/>
        <v>0</v>
      </c>
      <c r="N486" s="532">
        <f t="shared" si="41"/>
        <v>0</v>
      </c>
    </row>
    <row r="487" spans="1:14">
      <c r="B487" s="527" t="s">
        <v>1414</v>
      </c>
      <c r="C487" s="134">
        <v>302</v>
      </c>
      <c r="D487" s="535" t="s">
        <v>1394</v>
      </c>
      <c r="E487" s="533" t="s">
        <v>143</v>
      </c>
      <c r="F487" s="527" t="s">
        <v>1160</v>
      </c>
      <c r="G487" s="527" t="s">
        <v>1972</v>
      </c>
      <c r="H487" s="529">
        <v>2</v>
      </c>
      <c r="I487" s="530">
        <v>44.9</v>
      </c>
      <c r="J487" s="630" t="s">
        <v>1161</v>
      </c>
      <c r="K487" s="531"/>
      <c r="L487" s="532">
        <f t="shared" si="39"/>
        <v>0</v>
      </c>
      <c r="M487" s="532">
        <f t="shared" si="40"/>
        <v>0</v>
      </c>
      <c r="N487" s="532">
        <f t="shared" si="41"/>
        <v>0</v>
      </c>
    </row>
    <row r="488" spans="1:14">
      <c r="A488" s="3" t="s">
        <v>1508</v>
      </c>
      <c r="B488" s="527" t="s">
        <v>1393</v>
      </c>
      <c r="C488" s="134">
        <v>302</v>
      </c>
      <c r="D488" s="535" t="s">
        <v>1394</v>
      </c>
      <c r="E488" s="135"/>
      <c r="F488" s="527" t="s">
        <v>1162</v>
      </c>
      <c r="G488" s="527" t="s">
        <v>1308</v>
      </c>
      <c r="H488" s="529">
        <v>26</v>
      </c>
      <c r="I488" s="530">
        <f>2*40</f>
        <v>80</v>
      </c>
      <c r="J488" s="630" t="s">
        <v>1161</v>
      </c>
      <c r="K488" s="531" t="s">
        <v>1309</v>
      </c>
      <c r="L488" s="532">
        <f t="shared" si="39"/>
        <v>0</v>
      </c>
      <c r="M488" s="532">
        <f t="shared" si="40"/>
        <v>0</v>
      </c>
      <c r="N488" s="532">
        <f t="shared" si="41"/>
        <v>0</v>
      </c>
    </row>
    <row r="489" spans="1:14">
      <c r="A489" s="3" t="s">
        <v>1509</v>
      </c>
      <c r="B489" s="527" t="s">
        <v>133</v>
      </c>
      <c r="C489" s="134">
        <v>303</v>
      </c>
      <c r="D489" s="535" t="s">
        <v>1394</v>
      </c>
      <c r="E489" s="533" t="s">
        <v>54</v>
      </c>
      <c r="F489" s="527" t="s">
        <v>1163</v>
      </c>
      <c r="G489" s="527" t="s">
        <v>1422</v>
      </c>
      <c r="H489" s="529">
        <v>2</v>
      </c>
      <c r="I489" s="530">
        <f>((1.3*6.5+5*4.5)+(1.4*7.25+5.5*3.2+5.8*5.5+1*16)+(6.5*1+6.5*5.5+5*4.5)+(1.4*7.25+7.3*5+16*1))</f>
        <v>234.00000000000003</v>
      </c>
      <c r="J489" s="630" t="s">
        <v>1164</v>
      </c>
      <c r="K489" s="531"/>
      <c r="L489" s="532">
        <f t="shared" si="39"/>
        <v>0</v>
      </c>
      <c r="M489" s="532">
        <f t="shared" si="40"/>
        <v>0</v>
      </c>
      <c r="N489" s="532">
        <f t="shared" si="41"/>
        <v>0</v>
      </c>
    </row>
    <row r="490" spans="1:14">
      <c r="A490" s="3" t="s">
        <v>1509</v>
      </c>
      <c r="B490" s="527" t="s">
        <v>133</v>
      </c>
      <c r="C490" s="134">
        <v>303</v>
      </c>
      <c r="D490" s="535" t="s">
        <v>1394</v>
      </c>
      <c r="E490" s="533" t="s">
        <v>54</v>
      </c>
      <c r="F490" s="527" t="s">
        <v>1160</v>
      </c>
      <c r="G490" s="527" t="s">
        <v>1423</v>
      </c>
      <c r="H490" s="529">
        <v>2</v>
      </c>
      <c r="I490" s="530">
        <f>(1.4*7.25+5.5*3.2+5.8*5.5+1*16)+(6.5*1+6.5*5.5+5*4.5)+(1.4*7.25+7.3*5+16*1)</f>
        <v>203.05</v>
      </c>
      <c r="J490" s="630" t="s">
        <v>1164</v>
      </c>
      <c r="K490" s="531"/>
      <c r="L490" s="532">
        <f t="shared" si="39"/>
        <v>0</v>
      </c>
      <c r="M490" s="532">
        <f t="shared" si="40"/>
        <v>0</v>
      </c>
      <c r="N490" s="532">
        <f t="shared" si="41"/>
        <v>0</v>
      </c>
    </row>
    <row r="491" spans="1:14">
      <c r="A491" s="3" t="s">
        <v>1509</v>
      </c>
      <c r="B491" s="527" t="s">
        <v>133</v>
      </c>
      <c r="C491" s="134">
        <v>303</v>
      </c>
      <c r="D491" s="535" t="s">
        <v>1394</v>
      </c>
      <c r="E491" s="533" t="s">
        <v>54</v>
      </c>
      <c r="F491" s="527" t="s">
        <v>1163</v>
      </c>
      <c r="G491" s="527" t="s">
        <v>1424</v>
      </c>
      <c r="H491" s="529">
        <v>2</v>
      </c>
      <c r="I491" s="530">
        <f>1.3*6.5+5*4.5</f>
        <v>30.950000000000003</v>
      </c>
      <c r="J491" s="630" t="s">
        <v>1164</v>
      </c>
      <c r="K491" s="531"/>
      <c r="L491" s="532">
        <f t="shared" si="39"/>
        <v>0</v>
      </c>
      <c r="M491" s="532">
        <f t="shared" si="40"/>
        <v>0</v>
      </c>
      <c r="N491" s="532">
        <f t="shared" si="41"/>
        <v>0</v>
      </c>
    </row>
    <row r="492" spans="1:14">
      <c r="A492" s="3" t="s">
        <v>1509</v>
      </c>
      <c r="B492" s="527" t="s">
        <v>133</v>
      </c>
      <c r="C492" s="134">
        <v>303</v>
      </c>
      <c r="D492" s="535" t="s">
        <v>1394</v>
      </c>
      <c r="E492" s="533" t="s">
        <v>54</v>
      </c>
      <c r="F492" s="527" t="s">
        <v>1169</v>
      </c>
      <c r="G492" s="527" t="s">
        <v>1425</v>
      </c>
      <c r="H492" s="529">
        <v>2</v>
      </c>
      <c r="I492" s="530">
        <f>6.5*16</f>
        <v>104</v>
      </c>
      <c r="J492" s="630" t="s">
        <v>1164</v>
      </c>
      <c r="K492" s="531"/>
      <c r="L492" s="532">
        <f t="shared" si="39"/>
        <v>0</v>
      </c>
      <c r="M492" s="532">
        <f t="shared" si="40"/>
        <v>0</v>
      </c>
      <c r="N492" s="532">
        <f t="shared" si="41"/>
        <v>0</v>
      </c>
    </row>
    <row r="493" spans="1:14">
      <c r="A493" s="3" t="s">
        <v>1509</v>
      </c>
      <c r="B493" s="527" t="s">
        <v>133</v>
      </c>
      <c r="C493" s="134">
        <v>303</v>
      </c>
      <c r="D493" s="535" t="s">
        <v>1394</v>
      </c>
      <c r="E493" s="533" t="s">
        <v>54</v>
      </c>
      <c r="F493" s="527" t="s">
        <v>1171</v>
      </c>
      <c r="G493" s="527" t="s">
        <v>1425</v>
      </c>
      <c r="H493" s="529">
        <v>2</v>
      </c>
      <c r="I493" s="530">
        <f>6.5*16</f>
        <v>104</v>
      </c>
      <c r="J493" s="630" t="s">
        <v>1164</v>
      </c>
      <c r="K493" s="531"/>
      <c r="L493" s="532">
        <f t="shared" si="39"/>
        <v>0</v>
      </c>
      <c r="M493" s="532">
        <f t="shared" si="40"/>
        <v>0</v>
      </c>
      <c r="N493" s="532">
        <f t="shared" si="41"/>
        <v>0</v>
      </c>
    </row>
    <row r="494" spans="1:14">
      <c r="A494" s="3" t="s">
        <v>1509</v>
      </c>
      <c r="B494" s="527" t="s">
        <v>133</v>
      </c>
      <c r="C494" s="134">
        <v>303</v>
      </c>
      <c r="D494" s="535" t="s">
        <v>1394</v>
      </c>
      <c r="E494" s="533" t="s">
        <v>54</v>
      </c>
      <c r="F494" s="527" t="s">
        <v>1169</v>
      </c>
      <c r="G494" s="527" t="s">
        <v>1426</v>
      </c>
      <c r="H494" s="529">
        <v>2</v>
      </c>
      <c r="I494" s="530">
        <f>8.9*18.5</f>
        <v>164.65</v>
      </c>
      <c r="J494" s="630" t="s">
        <v>1164</v>
      </c>
      <c r="K494" s="531"/>
      <c r="L494" s="532">
        <f t="shared" si="39"/>
        <v>0</v>
      </c>
      <c r="M494" s="532">
        <f t="shared" si="40"/>
        <v>0</v>
      </c>
      <c r="N494" s="532">
        <f t="shared" si="41"/>
        <v>0</v>
      </c>
    </row>
    <row r="495" spans="1:14">
      <c r="A495" s="3" t="s">
        <v>1509</v>
      </c>
      <c r="B495" s="527" t="s">
        <v>133</v>
      </c>
      <c r="C495" s="134">
        <v>303</v>
      </c>
      <c r="D495" s="535" t="s">
        <v>1394</v>
      </c>
      <c r="E495" s="533" t="s">
        <v>54</v>
      </c>
      <c r="F495" s="527" t="s">
        <v>1171</v>
      </c>
      <c r="G495" s="527" t="s">
        <v>1426</v>
      </c>
      <c r="H495" s="529">
        <v>2</v>
      </c>
      <c r="I495" s="530">
        <f>8.9*18.5</f>
        <v>164.65</v>
      </c>
      <c r="J495" s="630" t="s">
        <v>1161</v>
      </c>
      <c r="K495" s="531"/>
      <c r="L495" s="532">
        <f t="shared" si="39"/>
        <v>0</v>
      </c>
      <c r="M495" s="532">
        <f t="shared" si="40"/>
        <v>0</v>
      </c>
      <c r="N495" s="532">
        <f t="shared" si="41"/>
        <v>0</v>
      </c>
    </row>
    <row r="496" spans="1:14">
      <c r="A496" s="3" t="s">
        <v>1509</v>
      </c>
      <c r="B496" s="527" t="s">
        <v>133</v>
      </c>
      <c r="C496" s="134">
        <v>303</v>
      </c>
      <c r="D496" s="535" t="s">
        <v>1394</v>
      </c>
      <c r="E496" s="533" t="s">
        <v>54</v>
      </c>
      <c r="F496" s="527" t="s">
        <v>1172</v>
      </c>
      <c r="G496" s="527" t="s">
        <v>1427</v>
      </c>
      <c r="H496" s="529">
        <v>2</v>
      </c>
      <c r="I496" s="530">
        <f>0.9*3+0.6*6.1</f>
        <v>6.3599999999999994</v>
      </c>
      <c r="J496" s="630" t="s">
        <v>1161</v>
      </c>
      <c r="K496" s="531"/>
      <c r="L496" s="532">
        <f t="shared" si="39"/>
        <v>0</v>
      </c>
      <c r="M496" s="532">
        <f t="shared" si="40"/>
        <v>0</v>
      </c>
      <c r="N496" s="532">
        <f t="shared" ref="N496:N497" si="42">(M496*H496)+(L496*H496)</f>
        <v>0</v>
      </c>
    </row>
    <row r="497" spans="1:14">
      <c r="A497" s="3" t="s">
        <v>1509</v>
      </c>
      <c r="B497" s="527" t="s">
        <v>133</v>
      </c>
      <c r="C497" s="134">
        <v>303</v>
      </c>
      <c r="D497" s="535" t="s">
        <v>1394</v>
      </c>
      <c r="E497" s="533" t="s">
        <v>54</v>
      </c>
      <c r="F497" s="527" t="s">
        <v>1174</v>
      </c>
      <c r="G497" s="527" t="s">
        <v>1427</v>
      </c>
      <c r="H497" s="529">
        <v>2</v>
      </c>
      <c r="I497" s="530">
        <f>0.9*3+0.6*6.1</f>
        <v>6.3599999999999994</v>
      </c>
      <c r="J497" s="630" t="s">
        <v>1164</v>
      </c>
      <c r="K497" s="531"/>
      <c r="L497" s="532">
        <f t="shared" si="39"/>
        <v>0</v>
      </c>
      <c r="M497" s="532">
        <f t="shared" si="40"/>
        <v>0</v>
      </c>
      <c r="N497" s="532">
        <f t="shared" si="42"/>
        <v>0</v>
      </c>
    </row>
    <row r="498" spans="1:14">
      <c r="A498" s="3" t="s">
        <v>1509</v>
      </c>
      <c r="B498" s="527" t="s">
        <v>133</v>
      </c>
      <c r="C498" s="134">
        <v>303</v>
      </c>
      <c r="D498" s="535" t="s">
        <v>1394</v>
      </c>
      <c r="E498" s="533" t="s">
        <v>54</v>
      </c>
      <c r="F498" s="527" t="s">
        <v>1172</v>
      </c>
      <c r="G498" s="527" t="s">
        <v>125</v>
      </c>
      <c r="H498" s="538">
        <v>2</v>
      </c>
      <c r="I498" s="539">
        <f>0.9*3+0.6*6.1</f>
        <v>6.3599999999999994</v>
      </c>
      <c r="J498" s="630" t="s">
        <v>1161</v>
      </c>
      <c r="K498" s="531"/>
      <c r="L498" s="532">
        <f t="shared" si="39"/>
        <v>0</v>
      </c>
      <c r="M498" s="532">
        <f t="shared" si="40"/>
        <v>0</v>
      </c>
      <c r="N498" s="532">
        <f t="shared" si="41"/>
        <v>0</v>
      </c>
    </row>
    <row r="499" spans="1:14">
      <c r="A499" s="3" t="s">
        <v>1509</v>
      </c>
      <c r="B499" s="527" t="s">
        <v>133</v>
      </c>
      <c r="C499" s="134">
        <v>303</v>
      </c>
      <c r="D499" s="535" t="s">
        <v>1394</v>
      </c>
      <c r="E499" s="533" t="s">
        <v>54</v>
      </c>
      <c r="F499" s="527" t="s">
        <v>1174</v>
      </c>
      <c r="G499" s="527" t="s">
        <v>125</v>
      </c>
      <c r="H499" s="538">
        <v>2</v>
      </c>
      <c r="I499" s="539">
        <f>0.9*3+0.6*6.1</f>
        <v>6.3599999999999994</v>
      </c>
      <c r="J499" s="630" t="s">
        <v>1164</v>
      </c>
      <c r="K499" s="531"/>
      <c r="L499" s="532">
        <f t="shared" si="39"/>
        <v>0</v>
      </c>
      <c r="M499" s="532">
        <f t="shared" si="40"/>
        <v>0</v>
      </c>
      <c r="N499" s="532">
        <f t="shared" si="41"/>
        <v>0</v>
      </c>
    </row>
    <row r="500" spans="1:14">
      <c r="A500" s="3" t="s">
        <v>1509</v>
      </c>
      <c r="B500" s="153" t="s">
        <v>2053</v>
      </c>
      <c r="C500" s="134" t="s">
        <v>2057</v>
      </c>
      <c r="D500" s="535" t="s">
        <v>1394</v>
      </c>
      <c r="E500" s="533" t="s">
        <v>54</v>
      </c>
      <c r="F500" s="527" t="s">
        <v>1172</v>
      </c>
      <c r="G500" s="527" t="s">
        <v>125</v>
      </c>
      <c r="H500" s="529">
        <v>2</v>
      </c>
      <c r="I500" s="530">
        <v>60</v>
      </c>
      <c r="J500" s="630" t="s">
        <v>1161</v>
      </c>
      <c r="K500" s="531"/>
      <c r="L500" s="532">
        <f t="shared" si="39"/>
        <v>0</v>
      </c>
      <c r="M500" s="532">
        <f t="shared" si="40"/>
        <v>0</v>
      </c>
      <c r="N500" s="532">
        <f t="shared" ref="N500:N501" si="43">(M500*H500)+(L500*H500)</f>
        <v>0</v>
      </c>
    </row>
    <row r="501" spans="1:14">
      <c r="A501" s="3" t="s">
        <v>1509</v>
      </c>
      <c r="B501" s="153" t="s">
        <v>2053</v>
      </c>
      <c r="C501" s="134" t="s">
        <v>2057</v>
      </c>
      <c r="D501" s="535" t="s">
        <v>1394</v>
      </c>
      <c r="E501" s="533" t="s">
        <v>54</v>
      </c>
      <c r="F501" s="527" t="s">
        <v>1174</v>
      </c>
      <c r="G501" s="527" t="s">
        <v>125</v>
      </c>
      <c r="H501" s="529">
        <v>2</v>
      </c>
      <c r="I501" s="530">
        <v>60</v>
      </c>
      <c r="J501" s="630" t="s">
        <v>1161</v>
      </c>
      <c r="K501" s="531"/>
      <c r="L501" s="532">
        <f t="shared" si="39"/>
        <v>0</v>
      </c>
      <c r="M501" s="532">
        <f t="shared" si="40"/>
        <v>0</v>
      </c>
      <c r="N501" s="532">
        <f t="shared" si="43"/>
        <v>0</v>
      </c>
    </row>
    <row r="502" spans="1:14">
      <c r="A502" s="3" t="s">
        <v>1509</v>
      </c>
      <c r="B502" s="527" t="s">
        <v>133</v>
      </c>
      <c r="C502" s="134">
        <v>303</v>
      </c>
      <c r="D502" s="535" t="s">
        <v>1394</v>
      </c>
      <c r="E502" s="533" t="s">
        <v>54</v>
      </c>
      <c r="F502" s="527" t="s">
        <v>1163</v>
      </c>
      <c r="G502" s="527" t="s">
        <v>1428</v>
      </c>
      <c r="H502" s="529">
        <v>2</v>
      </c>
      <c r="I502" s="530">
        <f>((1.3*6.5+5*4.5)+(1.4*6+7.25*5.45+17*1.8)+(6.5*1+6.5*5.5+5*4.5)+(1.4*7.6+5.5*3.2+5.5*4.5))</f>
        <v>227.20250000000001</v>
      </c>
      <c r="J502" s="630" t="s">
        <v>1164</v>
      </c>
      <c r="K502" s="531"/>
      <c r="L502" s="532">
        <f t="shared" si="39"/>
        <v>0</v>
      </c>
      <c r="M502" s="532">
        <f t="shared" si="40"/>
        <v>0</v>
      </c>
      <c r="N502" s="532">
        <f t="shared" si="41"/>
        <v>0</v>
      </c>
    </row>
    <row r="503" spans="1:14">
      <c r="A503" s="3" t="s">
        <v>1509</v>
      </c>
      <c r="B503" s="527" t="s">
        <v>133</v>
      </c>
      <c r="C503" s="134">
        <v>303</v>
      </c>
      <c r="D503" s="535" t="s">
        <v>1394</v>
      </c>
      <c r="E503" s="533" t="s">
        <v>54</v>
      </c>
      <c r="F503" s="527" t="s">
        <v>1160</v>
      </c>
      <c r="G503" s="527" t="s">
        <v>1429</v>
      </c>
      <c r="H503" s="529">
        <v>2</v>
      </c>
      <c r="I503" s="530">
        <f>(1.4*6+7.25*5.45+17*1.8)+(6.5*1+6.5*5.5+5*4.5)+(1.4*7.6+5.5*3.2+5.5*4.5)</f>
        <v>196.2525</v>
      </c>
      <c r="J503" s="630" t="s">
        <v>1164</v>
      </c>
      <c r="K503" s="531"/>
      <c r="L503" s="532">
        <f t="shared" si="39"/>
        <v>0</v>
      </c>
      <c r="M503" s="532">
        <f t="shared" si="40"/>
        <v>0</v>
      </c>
      <c r="N503" s="532">
        <f t="shared" si="41"/>
        <v>0</v>
      </c>
    </row>
    <row r="504" spans="1:14">
      <c r="A504" s="3" t="s">
        <v>1509</v>
      </c>
      <c r="B504" s="527" t="s">
        <v>133</v>
      </c>
      <c r="C504" s="134">
        <v>303</v>
      </c>
      <c r="D504" s="535" t="s">
        <v>1394</v>
      </c>
      <c r="E504" s="533" t="s">
        <v>54</v>
      </c>
      <c r="F504" s="527" t="s">
        <v>1163</v>
      </c>
      <c r="G504" s="527" t="s">
        <v>1430</v>
      </c>
      <c r="H504" s="529">
        <v>2</v>
      </c>
      <c r="I504" s="530">
        <f>1.3*6.5+5*4.5</f>
        <v>30.950000000000003</v>
      </c>
      <c r="J504" s="630" t="s">
        <v>1164</v>
      </c>
      <c r="K504" s="531"/>
      <c r="L504" s="532">
        <f t="shared" si="39"/>
        <v>0</v>
      </c>
      <c r="M504" s="532">
        <f t="shared" si="40"/>
        <v>0</v>
      </c>
      <c r="N504" s="532">
        <f t="shared" si="41"/>
        <v>0</v>
      </c>
    </row>
    <row r="505" spans="1:14">
      <c r="A505" s="3" t="s">
        <v>1509</v>
      </c>
      <c r="B505" s="527" t="s">
        <v>133</v>
      </c>
      <c r="C505" s="134">
        <v>303</v>
      </c>
      <c r="D505" s="535" t="s">
        <v>1394</v>
      </c>
      <c r="E505" s="533" t="s">
        <v>54</v>
      </c>
      <c r="F505" s="527" t="s">
        <v>1169</v>
      </c>
      <c r="G505" s="527" t="s">
        <v>1431</v>
      </c>
      <c r="H505" s="529">
        <v>2</v>
      </c>
      <c r="I505" s="530">
        <f>3.1*4+3*(13*0.6)*2</f>
        <v>59.199999999999996</v>
      </c>
      <c r="J505" s="630" t="s">
        <v>1164</v>
      </c>
      <c r="K505" s="531"/>
      <c r="L505" s="532">
        <f t="shared" si="39"/>
        <v>0</v>
      </c>
      <c r="M505" s="532">
        <f t="shared" si="40"/>
        <v>0</v>
      </c>
      <c r="N505" s="532">
        <f t="shared" si="41"/>
        <v>0</v>
      </c>
    </row>
    <row r="506" spans="1:14">
      <c r="A506" s="3" t="s">
        <v>1509</v>
      </c>
      <c r="B506" s="527" t="s">
        <v>133</v>
      </c>
      <c r="C506" s="134">
        <v>303</v>
      </c>
      <c r="D506" s="535" t="s">
        <v>1394</v>
      </c>
      <c r="E506" s="533" t="s">
        <v>54</v>
      </c>
      <c r="F506" s="527" t="s">
        <v>1171</v>
      </c>
      <c r="G506" s="527" t="s">
        <v>1431</v>
      </c>
      <c r="H506" s="529">
        <v>2</v>
      </c>
      <c r="I506" s="530">
        <f>3.1*4+3*(13*0.6)*2</f>
        <v>59.199999999999996</v>
      </c>
      <c r="J506" s="630" t="s">
        <v>1164</v>
      </c>
      <c r="K506" s="531"/>
      <c r="L506" s="532">
        <f t="shared" si="39"/>
        <v>0</v>
      </c>
      <c r="M506" s="532">
        <f t="shared" si="40"/>
        <v>0</v>
      </c>
      <c r="N506" s="532">
        <f t="shared" si="41"/>
        <v>0</v>
      </c>
    </row>
    <row r="507" spans="1:14">
      <c r="A507" s="3" t="s">
        <v>1509</v>
      </c>
      <c r="B507" s="527" t="s">
        <v>133</v>
      </c>
      <c r="C507" s="134">
        <v>303</v>
      </c>
      <c r="D507" s="535" t="s">
        <v>1394</v>
      </c>
      <c r="E507" s="533" t="s">
        <v>54</v>
      </c>
      <c r="F507" s="527" t="s">
        <v>1169</v>
      </c>
      <c r="G507" s="527" t="s">
        <v>1432</v>
      </c>
      <c r="H507" s="529">
        <v>2</v>
      </c>
      <c r="I507" s="530">
        <f>8.9*18.6</f>
        <v>165.54000000000002</v>
      </c>
      <c r="J507" s="630" t="s">
        <v>1164</v>
      </c>
      <c r="K507" s="531"/>
      <c r="L507" s="532">
        <f t="shared" si="39"/>
        <v>0</v>
      </c>
      <c r="M507" s="532">
        <f t="shared" si="40"/>
        <v>0</v>
      </c>
      <c r="N507" s="532">
        <f t="shared" si="41"/>
        <v>0</v>
      </c>
    </row>
    <row r="508" spans="1:14">
      <c r="A508" s="3" t="s">
        <v>1509</v>
      </c>
      <c r="B508" s="527" t="s">
        <v>133</v>
      </c>
      <c r="C508" s="134">
        <v>303</v>
      </c>
      <c r="D508" s="535" t="s">
        <v>1394</v>
      </c>
      <c r="E508" s="533" t="s">
        <v>54</v>
      </c>
      <c r="F508" s="527" t="s">
        <v>1171</v>
      </c>
      <c r="G508" s="527" t="s">
        <v>1432</v>
      </c>
      <c r="H508" s="529">
        <v>2</v>
      </c>
      <c r="I508" s="530">
        <f>8.9*18.6</f>
        <v>165.54000000000002</v>
      </c>
      <c r="J508" s="630" t="s">
        <v>1161</v>
      </c>
      <c r="K508" s="531"/>
      <c r="L508" s="532">
        <f t="shared" si="39"/>
        <v>0</v>
      </c>
      <c r="M508" s="532">
        <f t="shared" si="40"/>
        <v>0</v>
      </c>
      <c r="N508" s="532">
        <f t="shared" si="41"/>
        <v>0</v>
      </c>
    </row>
    <row r="509" spans="1:14">
      <c r="A509" s="3" t="s">
        <v>1509</v>
      </c>
      <c r="B509" s="527" t="s">
        <v>133</v>
      </c>
      <c r="C509" s="134">
        <v>303</v>
      </c>
      <c r="D509" s="535" t="s">
        <v>1394</v>
      </c>
      <c r="E509" s="533" t="s">
        <v>54</v>
      </c>
      <c r="F509" s="527" t="s">
        <v>1163</v>
      </c>
      <c r="G509" s="527" t="s">
        <v>1433</v>
      </c>
      <c r="H509" s="529">
        <v>2</v>
      </c>
      <c r="I509" s="530">
        <f>1.8*(18.5+3)</f>
        <v>38.700000000000003</v>
      </c>
      <c r="J509" s="630" t="s">
        <v>1164</v>
      </c>
      <c r="K509" s="531"/>
      <c r="L509" s="532">
        <f t="shared" si="39"/>
        <v>0</v>
      </c>
      <c r="M509" s="532">
        <f t="shared" si="40"/>
        <v>0</v>
      </c>
      <c r="N509" s="532">
        <f t="shared" si="41"/>
        <v>0</v>
      </c>
    </row>
    <row r="510" spans="1:14">
      <c r="A510" s="3" t="s">
        <v>1509</v>
      </c>
      <c r="B510" s="527" t="s">
        <v>133</v>
      </c>
      <c r="C510" s="134">
        <v>303</v>
      </c>
      <c r="D510" s="535" t="s">
        <v>1394</v>
      </c>
      <c r="E510" s="533" t="s">
        <v>54</v>
      </c>
      <c r="F510" s="527" t="s">
        <v>1160</v>
      </c>
      <c r="G510" s="527" t="s">
        <v>1433</v>
      </c>
      <c r="H510" s="529">
        <v>2</v>
      </c>
      <c r="I510" s="530">
        <f>1.8*(18.5+3)</f>
        <v>38.700000000000003</v>
      </c>
      <c r="J510" s="630" t="s">
        <v>1164</v>
      </c>
      <c r="K510" s="531"/>
      <c r="L510" s="532">
        <f t="shared" si="39"/>
        <v>0</v>
      </c>
      <c r="M510" s="532">
        <f t="shared" si="40"/>
        <v>0</v>
      </c>
      <c r="N510" s="532">
        <f t="shared" si="41"/>
        <v>0</v>
      </c>
    </row>
    <row r="511" spans="1:14">
      <c r="A511" s="3" t="s">
        <v>1509</v>
      </c>
      <c r="B511" s="527" t="s">
        <v>133</v>
      </c>
      <c r="C511" s="134">
        <v>303</v>
      </c>
      <c r="D511" s="535" t="s">
        <v>1394</v>
      </c>
      <c r="E511" s="533" t="s">
        <v>54</v>
      </c>
      <c r="F511" s="527" t="s">
        <v>1169</v>
      </c>
      <c r="G511" s="527" t="s">
        <v>1433</v>
      </c>
      <c r="H511" s="529">
        <v>2</v>
      </c>
      <c r="I511" s="530">
        <f>18.5*3</f>
        <v>55.5</v>
      </c>
      <c r="J511" s="630" t="s">
        <v>1164</v>
      </c>
      <c r="K511" s="531"/>
      <c r="L511" s="532">
        <f t="shared" si="39"/>
        <v>0</v>
      </c>
      <c r="M511" s="532">
        <f t="shared" si="40"/>
        <v>0</v>
      </c>
      <c r="N511" s="532">
        <f t="shared" si="41"/>
        <v>0</v>
      </c>
    </row>
    <row r="512" spans="1:14">
      <c r="A512" s="3" t="s">
        <v>1509</v>
      </c>
      <c r="B512" s="527" t="s">
        <v>133</v>
      </c>
      <c r="C512" s="134">
        <v>303</v>
      </c>
      <c r="D512" s="535" t="s">
        <v>1394</v>
      </c>
      <c r="E512" s="533" t="s">
        <v>54</v>
      </c>
      <c r="F512" s="527" t="s">
        <v>1171</v>
      </c>
      <c r="G512" s="527" t="s">
        <v>1433</v>
      </c>
      <c r="H512" s="529">
        <v>2</v>
      </c>
      <c r="I512" s="530">
        <f>18.5*3</f>
        <v>55.5</v>
      </c>
      <c r="J512" s="630" t="s">
        <v>1164</v>
      </c>
      <c r="K512" s="531"/>
      <c r="L512" s="532">
        <f t="shared" si="39"/>
        <v>0</v>
      </c>
      <c r="M512" s="532">
        <f t="shared" si="40"/>
        <v>0</v>
      </c>
      <c r="N512" s="532">
        <f t="shared" si="41"/>
        <v>0</v>
      </c>
    </row>
    <row r="513" spans="1:14">
      <c r="A513" s="3" t="s">
        <v>1510</v>
      </c>
      <c r="B513" s="527" t="s">
        <v>133</v>
      </c>
      <c r="C513" s="134">
        <v>303</v>
      </c>
      <c r="D513" s="535" t="s">
        <v>1394</v>
      </c>
      <c r="E513" s="135"/>
      <c r="F513" s="527" t="s">
        <v>1162</v>
      </c>
      <c r="G513" s="527" t="s">
        <v>1308</v>
      </c>
      <c r="H513" s="529">
        <v>26</v>
      </c>
      <c r="I513" s="530">
        <v>49</v>
      </c>
      <c r="J513" s="630" t="s">
        <v>1161</v>
      </c>
      <c r="K513" s="531" t="s">
        <v>1309</v>
      </c>
      <c r="L513" s="532">
        <f t="shared" si="39"/>
        <v>0</v>
      </c>
      <c r="M513" s="532">
        <f t="shared" si="40"/>
        <v>0</v>
      </c>
      <c r="N513" s="532">
        <f t="shared" si="41"/>
        <v>0</v>
      </c>
    </row>
    <row r="514" spans="1:14">
      <c r="A514" s="3" t="s">
        <v>1511</v>
      </c>
      <c r="B514" s="527" t="s">
        <v>1397</v>
      </c>
      <c r="C514" s="134">
        <v>304</v>
      </c>
      <c r="D514" s="535" t="s">
        <v>1394</v>
      </c>
      <c r="E514" s="533" t="s">
        <v>54</v>
      </c>
      <c r="F514" s="527" t="s">
        <v>1160</v>
      </c>
      <c r="G514" s="527" t="s">
        <v>1434</v>
      </c>
      <c r="H514" s="529">
        <v>2</v>
      </c>
      <c r="I514" s="530">
        <f>2*(18.2*3)</f>
        <v>109.19999999999999</v>
      </c>
      <c r="J514" s="630" t="s">
        <v>1164</v>
      </c>
      <c r="K514" s="531"/>
      <c r="L514" s="532">
        <f t="shared" si="39"/>
        <v>0</v>
      </c>
      <c r="M514" s="532">
        <f t="shared" si="40"/>
        <v>0</v>
      </c>
      <c r="N514" s="532">
        <f t="shared" si="41"/>
        <v>0</v>
      </c>
    </row>
    <row r="515" spans="1:14">
      <c r="A515" s="3" t="s">
        <v>1511</v>
      </c>
      <c r="B515" s="527" t="s">
        <v>1397</v>
      </c>
      <c r="C515" s="134">
        <v>304</v>
      </c>
      <c r="D515" s="535" t="s">
        <v>1394</v>
      </c>
      <c r="E515" s="533" t="s">
        <v>54</v>
      </c>
      <c r="F515" s="527" t="s">
        <v>1160</v>
      </c>
      <c r="G515" s="527" t="s">
        <v>1435</v>
      </c>
      <c r="H515" s="529">
        <v>2</v>
      </c>
      <c r="I515" s="530">
        <f>2*((13+2.25)*3+7.2*3)</f>
        <v>134.69999999999999</v>
      </c>
      <c r="J515" s="630" t="s">
        <v>1164</v>
      </c>
      <c r="K515" s="531"/>
      <c r="L515" s="532">
        <f t="shared" si="39"/>
        <v>0</v>
      </c>
      <c r="M515" s="532">
        <f t="shared" si="40"/>
        <v>0</v>
      </c>
      <c r="N515" s="532">
        <f t="shared" si="41"/>
        <v>0</v>
      </c>
    </row>
    <row r="516" spans="1:14">
      <c r="A516" s="3" t="s">
        <v>1511</v>
      </c>
      <c r="B516" s="527" t="s">
        <v>1397</v>
      </c>
      <c r="C516" s="134">
        <v>304</v>
      </c>
      <c r="D516" s="535" t="s">
        <v>1394</v>
      </c>
      <c r="E516" s="533" t="s">
        <v>54</v>
      </c>
      <c r="F516" s="527" t="s">
        <v>1160</v>
      </c>
      <c r="G516" s="527" t="s">
        <v>1436</v>
      </c>
      <c r="H516" s="529">
        <v>2</v>
      </c>
      <c r="I516" s="530">
        <f>2*(13*3+2.25*3+7.2*3+18.2*3)</f>
        <v>243.89999999999998</v>
      </c>
      <c r="J516" s="630" t="s">
        <v>1164</v>
      </c>
      <c r="K516" s="531"/>
      <c r="L516" s="532">
        <f t="shared" si="39"/>
        <v>0</v>
      </c>
      <c r="M516" s="532">
        <f t="shared" si="40"/>
        <v>0</v>
      </c>
      <c r="N516" s="532">
        <f t="shared" si="41"/>
        <v>0</v>
      </c>
    </row>
    <row r="517" spans="1:14">
      <c r="A517" s="3" t="s">
        <v>1511</v>
      </c>
      <c r="B517" s="527" t="s">
        <v>1397</v>
      </c>
      <c r="C517" s="134">
        <v>304</v>
      </c>
      <c r="D517" s="535" t="s">
        <v>1394</v>
      </c>
      <c r="E517" s="533" t="s">
        <v>54</v>
      </c>
      <c r="F517" s="527" t="s">
        <v>1160</v>
      </c>
      <c r="G517" s="527" t="s">
        <v>1437</v>
      </c>
      <c r="H517" s="529">
        <v>2</v>
      </c>
      <c r="I517" s="530">
        <f>2*(6.6*1+18.2*1.75+4.5*1)</f>
        <v>85.899999999999991</v>
      </c>
      <c r="J517" s="630" t="s">
        <v>1164</v>
      </c>
      <c r="K517" s="531"/>
      <c r="L517" s="532">
        <f t="shared" si="39"/>
        <v>0</v>
      </c>
      <c r="M517" s="532">
        <f t="shared" si="40"/>
        <v>0</v>
      </c>
      <c r="N517" s="532">
        <f t="shared" si="41"/>
        <v>0</v>
      </c>
    </row>
    <row r="518" spans="1:14">
      <c r="A518" s="3" t="s">
        <v>1511</v>
      </c>
      <c r="B518" s="527" t="s">
        <v>1397</v>
      </c>
      <c r="C518" s="134">
        <v>304</v>
      </c>
      <c r="D518" s="535" t="s">
        <v>1394</v>
      </c>
      <c r="E518" s="533" t="s">
        <v>54</v>
      </c>
      <c r="F518" s="527" t="s">
        <v>1160</v>
      </c>
      <c r="G518" s="527" t="s">
        <v>1438</v>
      </c>
      <c r="H518" s="529">
        <v>2</v>
      </c>
      <c r="I518" s="530">
        <f>2*(6.6*1+18.2*1.75+4.5*1)</f>
        <v>85.899999999999991</v>
      </c>
      <c r="J518" s="630" t="s">
        <v>1164</v>
      </c>
      <c r="K518" s="531"/>
      <c r="L518" s="532">
        <f t="shared" si="39"/>
        <v>0</v>
      </c>
      <c r="M518" s="532">
        <f t="shared" si="40"/>
        <v>0</v>
      </c>
      <c r="N518" s="532">
        <f t="shared" si="41"/>
        <v>0</v>
      </c>
    </row>
    <row r="519" spans="1:14">
      <c r="A519" s="3" t="s">
        <v>1511</v>
      </c>
      <c r="B519" s="527" t="s">
        <v>1397</v>
      </c>
      <c r="C519" s="134">
        <v>304</v>
      </c>
      <c r="D519" s="535" t="s">
        <v>1394</v>
      </c>
      <c r="E519" s="533" t="s">
        <v>54</v>
      </c>
      <c r="F519" s="527" t="s">
        <v>1160</v>
      </c>
      <c r="G519" s="527" t="s">
        <v>1439</v>
      </c>
      <c r="H519" s="529">
        <v>2</v>
      </c>
      <c r="I519" s="530">
        <f>2*(2*(6.6*1+18.2*1.75+4.5*1))</f>
        <v>171.79999999999998</v>
      </c>
      <c r="J519" s="630" t="s">
        <v>1164</v>
      </c>
      <c r="K519" s="531"/>
      <c r="L519" s="532">
        <f t="shared" si="39"/>
        <v>0</v>
      </c>
      <c r="M519" s="532">
        <f t="shared" si="40"/>
        <v>0</v>
      </c>
      <c r="N519" s="532">
        <f t="shared" si="41"/>
        <v>0</v>
      </c>
    </row>
    <row r="520" spans="1:14">
      <c r="A520" s="3" t="s">
        <v>1511</v>
      </c>
      <c r="B520" s="527" t="s">
        <v>1397</v>
      </c>
      <c r="C520" s="134">
        <v>304</v>
      </c>
      <c r="D520" s="535" t="s">
        <v>1394</v>
      </c>
      <c r="E520" s="533" t="s">
        <v>54</v>
      </c>
      <c r="F520" s="527" t="s">
        <v>1160</v>
      </c>
      <c r="G520" s="527" t="s">
        <v>1440</v>
      </c>
      <c r="H520" s="529">
        <v>2</v>
      </c>
      <c r="I520" s="530">
        <f>2*(1.6*3)</f>
        <v>9.6000000000000014</v>
      </c>
      <c r="J520" s="630" t="s">
        <v>1164</v>
      </c>
      <c r="K520" s="531" t="s">
        <v>1223</v>
      </c>
      <c r="L520" s="532">
        <f t="shared" si="39"/>
        <v>0</v>
      </c>
      <c r="M520" s="532">
        <f t="shared" si="40"/>
        <v>0</v>
      </c>
      <c r="N520" s="532">
        <f t="shared" si="41"/>
        <v>0</v>
      </c>
    </row>
    <row r="521" spans="1:14">
      <c r="A521" s="3" t="s">
        <v>1511</v>
      </c>
      <c r="B521" s="527" t="s">
        <v>1397</v>
      </c>
      <c r="C521" s="134">
        <v>304</v>
      </c>
      <c r="D521" s="535" t="s">
        <v>1394</v>
      </c>
      <c r="E521" s="533" t="s">
        <v>1441</v>
      </c>
      <c r="F521" s="527" t="s">
        <v>1172</v>
      </c>
      <c r="G521" s="527" t="s">
        <v>1442</v>
      </c>
      <c r="H521" s="529">
        <v>2</v>
      </c>
      <c r="I521" s="530">
        <f>2*(1.9*4)</f>
        <v>15.2</v>
      </c>
      <c r="J521" s="630" t="s">
        <v>1161</v>
      </c>
      <c r="K521" s="531"/>
      <c r="L521" s="532">
        <f t="shared" si="39"/>
        <v>0</v>
      </c>
      <c r="M521" s="532">
        <f t="shared" si="40"/>
        <v>0</v>
      </c>
      <c r="N521" s="532">
        <f t="shared" si="41"/>
        <v>0</v>
      </c>
    </row>
    <row r="522" spans="1:14">
      <c r="A522" s="3" t="s">
        <v>1511</v>
      </c>
      <c r="B522" s="527" t="s">
        <v>1397</v>
      </c>
      <c r="C522" s="134">
        <v>304</v>
      </c>
      <c r="D522" s="535" t="s">
        <v>1394</v>
      </c>
      <c r="E522" s="533" t="s">
        <v>1441</v>
      </c>
      <c r="F522" s="527" t="s">
        <v>1174</v>
      </c>
      <c r="G522" s="527" t="s">
        <v>1442</v>
      </c>
      <c r="H522" s="529">
        <v>2</v>
      </c>
      <c r="I522" s="530">
        <f>2*(1.9*4)</f>
        <v>15.2</v>
      </c>
      <c r="J522" s="630" t="s">
        <v>1164</v>
      </c>
      <c r="K522" s="531"/>
      <c r="L522" s="532">
        <f t="shared" si="39"/>
        <v>0</v>
      </c>
      <c r="M522" s="532">
        <f t="shared" si="40"/>
        <v>0</v>
      </c>
      <c r="N522" s="532">
        <f t="shared" si="41"/>
        <v>0</v>
      </c>
    </row>
    <row r="523" spans="1:14">
      <c r="A523" s="3" t="s">
        <v>1511</v>
      </c>
      <c r="B523" s="527" t="s">
        <v>1397</v>
      </c>
      <c r="C523" s="134">
        <v>304</v>
      </c>
      <c r="D523" s="535" t="s">
        <v>1394</v>
      </c>
      <c r="E523" s="533" t="s">
        <v>1441</v>
      </c>
      <c r="F523" s="527" t="s">
        <v>1172</v>
      </c>
      <c r="G523" s="527" t="s">
        <v>1443</v>
      </c>
      <c r="H523" s="529">
        <v>2</v>
      </c>
      <c r="I523" s="530">
        <f>2*(3*3)</f>
        <v>18</v>
      </c>
      <c r="J523" s="630" t="s">
        <v>1161</v>
      </c>
      <c r="K523" s="531"/>
      <c r="L523" s="532">
        <f t="shared" si="39"/>
        <v>0</v>
      </c>
      <c r="M523" s="532">
        <f t="shared" si="40"/>
        <v>0</v>
      </c>
      <c r="N523" s="532">
        <f t="shared" si="41"/>
        <v>0</v>
      </c>
    </row>
    <row r="524" spans="1:14">
      <c r="A524" s="3" t="s">
        <v>1511</v>
      </c>
      <c r="B524" s="527" t="s">
        <v>1397</v>
      </c>
      <c r="C524" s="134">
        <v>304</v>
      </c>
      <c r="D524" s="535" t="s">
        <v>1394</v>
      </c>
      <c r="E524" s="533" t="s">
        <v>1441</v>
      </c>
      <c r="F524" s="527" t="s">
        <v>1174</v>
      </c>
      <c r="G524" s="527" t="s">
        <v>1443</v>
      </c>
      <c r="H524" s="529">
        <v>2</v>
      </c>
      <c r="I524" s="530">
        <f>2*(3*3)</f>
        <v>18</v>
      </c>
      <c r="J524" s="630" t="s">
        <v>1164</v>
      </c>
      <c r="K524" s="531"/>
      <c r="L524" s="532">
        <f t="shared" si="39"/>
        <v>0</v>
      </c>
      <c r="M524" s="532">
        <f t="shared" si="40"/>
        <v>0</v>
      </c>
      <c r="N524" s="532">
        <f t="shared" si="41"/>
        <v>0</v>
      </c>
    </row>
    <row r="525" spans="1:14">
      <c r="A525" s="3" t="s">
        <v>1511</v>
      </c>
      <c r="B525" s="527" t="s">
        <v>1397</v>
      </c>
      <c r="C525" s="134">
        <v>304</v>
      </c>
      <c r="D525" s="535" t="s">
        <v>1394</v>
      </c>
      <c r="E525" s="533" t="s">
        <v>1441</v>
      </c>
      <c r="F525" s="527" t="s">
        <v>1172</v>
      </c>
      <c r="G525" s="527" t="s">
        <v>1444</v>
      </c>
      <c r="H525" s="529">
        <v>2</v>
      </c>
      <c r="I525" s="530">
        <f>2*(2*9.75)</f>
        <v>39</v>
      </c>
      <c r="J525" s="630" t="s">
        <v>1161</v>
      </c>
      <c r="K525" s="531"/>
      <c r="L525" s="532">
        <f t="shared" ref="L525:L588" si="44">IF(J525="ja",0,VLOOKUP(F525,Glassoort2,2,0))*I525</f>
        <v>0</v>
      </c>
      <c r="M525" s="532">
        <f t="shared" ref="M525:M588" si="45">IF(J525="ja",VLOOKUP(F525,Glassoort2,3,0))*I525</f>
        <v>0</v>
      </c>
      <c r="N525" s="532">
        <f t="shared" si="41"/>
        <v>0</v>
      </c>
    </row>
    <row r="526" spans="1:14">
      <c r="A526" s="3" t="s">
        <v>1511</v>
      </c>
      <c r="B526" s="527" t="s">
        <v>1397</v>
      </c>
      <c r="C526" s="134">
        <v>304</v>
      </c>
      <c r="D526" s="535" t="s">
        <v>1394</v>
      </c>
      <c r="E526" s="533" t="s">
        <v>1441</v>
      </c>
      <c r="F526" s="527" t="s">
        <v>1174</v>
      </c>
      <c r="G526" s="527" t="s">
        <v>1444</v>
      </c>
      <c r="H526" s="529">
        <v>2</v>
      </c>
      <c r="I526" s="530">
        <f>2*(2*9.75)</f>
        <v>39</v>
      </c>
      <c r="J526" s="630" t="s">
        <v>1164</v>
      </c>
      <c r="K526" s="531"/>
      <c r="L526" s="532">
        <f t="shared" si="44"/>
        <v>0</v>
      </c>
      <c r="M526" s="532">
        <f t="shared" si="45"/>
        <v>0</v>
      </c>
      <c r="N526" s="532">
        <f t="shared" si="41"/>
        <v>0</v>
      </c>
    </row>
    <row r="527" spans="1:14">
      <c r="A527" s="3" t="s">
        <v>1511</v>
      </c>
      <c r="B527" s="527" t="s">
        <v>1397</v>
      </c>
      <c r="C527" s="134">
        <v>304</v>
      </c>
      <c r="D527" s="535" t="s">
        <v>1394</v>
      </c>
      <c r="E527" s="533" t="s">
        <v>1441</v>
      </c>
      <c r="F527" s="527" t="s">
        <v>1172</v>
      </c>
      <c r="G527" s="527" t="s">
        <v>1445</v>
      </c>
      <c r="H527" s="529">
        <v>2</v>
      </c>
      <c r="I527" s="530">
        <f>2*(3*9.75)</f>
        <v>58.5</v>
      </c>
      <c r="J527" s="630" t="s">
        <v>1161</v>
      </c>
      <c r="K527" s="531"/>
      <c r="L527" s="532">
        <f t="shared" si="44"/>
        <v>0</v>
      </c>
      <c r="M527" s="532">
        <f t="shared" si="45"/>
        <v>0</v>
      </c>
      <c r="N527" s="532">
        <f t="shared" si="41"/>
        <v>0</v>
      </c>
    </row>
    <row r="528" spans="1:14">
      <c r="A528" s="3" t="s">
        <v>1511</v>
      </c>
      <c r="B528" s="527" t="s">
        <v>1397</v>
      </c>
      <c r="C528" s="134">
        <v>304</v>
      </c>
      <c r="D528" s="535" t="s">
        <v>1394</v>
      </c>
      <c r="E528" s="533" t="s">
        <v>1441</v>
      </c>
      <c r="F528" s="527" t="s">
        <v>1174</v>
      </c>
      <c r="G528" s="527" t="s">
        <v>1445</v>
      </c>
      <c r="H528" s="529">
        <v>2</v>
      </c>
      <c r="I528" s="530">
        <f>2*(3*9.75)</f>
        <v>58.5</v>
      </c>
      <c r="J528" s="630" t="s">
        <v>1164</v>
      </c>
      <c r="K528" s="531"/>
      <c r="L528" s="532">
        <f t="shared" si="44"/>
        <v>0</v>
      </c>
      <c r="M528" s="532">
        <f t="shared" si="45"/>
        <v>0</v>
      </c>
      <c r="N528" s="532">
        <f t="shared" si="41"/>
        <v>0</v>
      </c>
    </row>
    <row r="529" spans="1:14">
      <c r="A529" s="3" t="s">
        <v>1512</v>
      </c>
      <c r="B529" s="527" t="s">
        <v>1397</v>
      </c>
      <c r="C529" s="134">
        <v>304</v>
      </c>
      <c r="D529" s="535" t="s">
        <v>1394</v>
      </c>
      <c r="E529" s="135"/>
      <c r="F529" s="527" t="s">
        <v>1162</v>
      </c>
      <c r="G529" s="527" t="s">
        <v>1308</v>
      </c>
      <c r="H529" s="529">
        <v>26</v>
      </c>
      <c r="I529" s="530">
        <v>164</v>
      </c>
      <c r="J529" s="630" t="s">
        <v>1161</v>
      </c>
      <c r="K529" s="531" t="s">
        <v>1309</v>
      </c>
      <c r="L529" s="532">
        <f t="shared" si="44"/>
        <v>0</v>
      </c>
      <c r="M529" s="532">
        <f t="shared" si="45"/>
        <v>0</v>
      </c>
      <c r="N529" s="532">
        <f t="shared" si="41"/>
        <v>0</v>
      </c>
    </row>
    <row r="530" spans="1:14">
      <c r="A530" s="3" t="s">
        <v>1513</v>
      </c>
      <c r="B530" s="527" t="s">
        <v>1400</v>
      </c>
      <c r="C530" s="134">
        <v>305</v>
      </c>
      <c r="D530" s="535" t="s">
        <v>1394</v>
      </c>
      <c r="E530" s="533" t="s">
        <v>54</v>
      </c>
      <c r="F530" s="527" t="s">
        <v>1160</v>
      </c>
      <c r="G530" s="527" t="s">
        <v>1434</v>
      </c>
      <c r="H530" s="529">
        <v>2</v>
      </c>
      <c r="I530" s="530">
        <f>17*3+14*3+3.5*1</f>
        <v>96.5</v>
      </c>
      <c r="J530" s="630" t="s">
        <v>1164</v>
      </c>
      <c r="K530" s="531"/>
      <c r="L530" s="532">
        <f t="shared" si="44"/>
        <v>0</v>
      </c>
      <c r="M530" s="532">
        <f t="shared" si="45"/>
        <v>0</v>
      </c>
      <c r="N530" s="532">
        <f t="shared" si="41"/>
        <v>0</v>
      </c>
    </row>
    <row r="531" spans="1:14">
      <c r="A531" s="3" t="s">
        <v>1514</v>
      </c>
      <c r="B531" s="527" t="s">
        <v>1400</v>
      </c>
      <c r="C531" s="134">
        <v>305</v>
      </c>
      <c r="D531" s="535" t="s">
        <v>1394</v>
      </c>
      <c r="E531" s="533" t="s">
        <v>54</v>
      </c>
      <c r="F531" s="527" t="s">
        <v>1160</v>
      </c>
      <c r="G531" s="527" t="s">
        <v>1436</v>
      </c>
      <c r="H531" s="529">
        <v>2</v>
      </c>
      <c r="I531" s="530">
        <f>17*3+14*3+3.5*1</f>
        <v>96.5</v>
      </c>
      <c r="J531" s="630" t="s">
        <v>1164</v>
      </c>
      <c r="K531" s="531"/>
      <c r="L531" s="532">
        <f t="shared" si="44"/>
        <v>0</v>
      </c>
      <c r="M531" s="532">
        <f t="shared" si="45"/>
        <v>0</v>
      </c>
      <c r="N531" s="532">
        <f t="shared" si="41"/>
        <v>0</v>
      </c>
    </row>
    <row r="532" spans="1:14">
      <c r="A532" s="3" t="s">
        <v>1514</v>
      </c>
      <c r="B532" s="527" t="s">
        <v>1400</v>
      </c>
      <c r="C532" s="134">
        <v>305</v>
      </c>
      <c r="D532" s="535" t="s">
        <v>1394</v>
      </c>
      <c r="E532" s="533" t="s">
        <v>54</v>
      </c>
      <c r="F532" s="527" t="s">
        <v>1160</v>
      </c>
      <c r="G532" s="527" t="s">
        <v>1437</v>
      </c>
      <c r="H532" s="529">
        <v>2</v>
      </c>
      <c r="I532" s="530">
        <f>2*(6.2*1*2+17*1.75)</f>
        <v>84.3</v>
      </c>
      <c r="J532" s="630" t="s">
        <v>1164</v>
      </c>
      <c r="K532" s="531"/>
      <c r="L532" s="532">
        <f t="shared" si="44"/>
        <v>0</v>
      </c>
      <c r="M532" s="532">
        <f t="shared" si="45"/>
        <v>0</v>
      </c>
      <c r="N532" s="532">
        <f t="shared" si="41"/>
        <v>0</v>
      </c>
    </row>
    <row r="533" spans="1:14">
      <c r="A533" s="3" t="s">
        <v>1514</v>
      </c>
      <c r="B533" s="527" t="s">
        <v>1400</v>
      </c>
      <c r="C533" s="134">
        <v>305</v>
      </c>
      <c r="D533" s="535" t="s">
        <v>1394</v>
      </c>
      <c r="E533" s="533" t="s">
        <v>54</v>
      </c>
      <c r="F533" s="527" t="s">
        <v>1160</v>
      </c>
      <c r="G533" s="527" t="s">
        <v>1439</v>
      </c>
      <c r="H533" s="529">
        <v>2</v>
      </c>
      <c r="I533" s="530">
        <f>2*(6.2*1*2+17*1.75)</f>
        <v>84.3</v>
      </c>
      <c r="J533" s="630" t="s">
        <v>1164</v>
      </c>
      <c r="K533" s="531"/>
      <c r="L533" s="532">
        <f t="shared" si="44"/>
        <v>0</v>
      </c>
      <c r="M533" s="532">
        <f t="shared" si="45"/>
        <v>0</v>
      </c>
      <c r="N533" s="532">
        <f t="shared" si="41"/>
        <v>0</v>
      </c>
    </row>
    <row r="534" spans="1:14">
      <c r="A534" s="3" t="s">
        <v>1514</v>
      </c>
      <c r="B534" s="527" t="s">
        <v>1400</v>
      </c>
      <c r="C534" s="134">
        <v>305</v>
      </c>
      <c r="D534" s="535" t="s">
        <v>1394</v>
      </c>
      <c r="E534" s="533" t="s">
        <v>64</v>
      </c>
      <c r="F534" s="527" t="s">
        <v>1160</v>
      </c>
      <c r="G534" s="527" t="s">
        <v>1446</v>
      </c>
      <c r="H534" s="529">
        <v>2</v>
      </c>
      <c r="I534" s="530">
        <f>4*4.8</f>
        <v>19.2</v>
      </c>
      <c r="J534" s="630" t="s">
        <v>1164</v>
      </c>
      <c r="K534" s="531"/>
      <c r="L534" s="532">
        <f t="shared" si="44"/>
        <v>0</v>
      </c>
      <c r="M534" s="532">
        <f t="shared" si="45"/>
        <v>0</v>
      </c>
      <c r="N534" s="532">
        <f t="shared" si="41"/>
        <v>0</v>
      </c>
    </row>
    <row r="535" spans="1:14">
      <c r="A535" s="3" t="s">
        <v>1514</v>
      </c>
      <c r="B535" s="527" t="s">
        <v>1400</v>
      </c>
      <c r="C535" s="134">
        <v>305</v>
      </c>
      <c r="D535" s="535" t="s">
        <v>1394</v>
      </c>
      <c r="E535" s="533" t="s">
        <v>64</v>
      </c>
      <c r="F535" s="527" t="s">
        <v>1160</v>
      </c>
      <c r="G535" s="527" t="s">
        <v>1447</v>
      </c>
      <c r="H535" s="529">
        <v>2</v>
      </c>
      <c r="I535" s="530">
        <f>4*4.8</f>
        <v>19.2</v>
      </c>
      <c r="J535" s="630" t="s">
        <v>1164</v>
      </c>
      <c r="K535" s="531"/>
      <c r="L535" s="532">
        <f t="shared" si="44"/>
        <v>0</v>
      </c>
      <c r="M535" s="532">
        <f t="shared" si="45"/>
        <v>0</v>
      </c>
      <c r="N535" s="532">
        <f t="shared" si="41"/>
        <v>0</v>
      </c>
    </row>
    <row r="536" spans="1:14">
      <c r="A536" s="3" t="s">
        <v>1515</v>
      </c>
      <c r="B536" s="527" t="s">
        <v>1400</v>
      </c>
      <c r="C536" s="134">
        <v>305</v>
      </c>
      <c r="D536" s="535" t="s">
        <v>1394</v>
      </c>
      <c r="E536" s="533" t="s">
        <v>54</v>
      </c>
      <c r="F536" s="527" t="s">
        <v>1162</v>
      </c>
      <c r="G536" s="527" t="s">
        <v>1448</v>
      </c>
      <c r="H536" s="529">
        <v>12</v>
      </c>
      <c r="I536" s="530">
        <f>0.7*13.2*2</f>
        <v>18.479999999999997</v>
      </c>
      <c r="J536" s="630" t="s">
        <v>1161</v>
      </c>
      <c r="K536" s="531"/>
      <c r="L536" s="532">
        <f t="shared" si="44"/>
        <v>0</v>
      </c>
      <c r="M536" s="532">
        <f t="shared" si="45"/>
        <v>0</v>
      </c>
      <c r="N536" s="532">
        <f t="shared" ref="N536:N599" si="46">(M536*H536)+(L536*H536)</f>
        <v>0</v>
      </c>
    </row>
    <row r="537" spans="1:14">
      <c r="A537" s="3" t="s">
        <v>1514</v>
      </c>
      <c r="B537" s="527" t="s">
        <v>1400</v>
      </c>
      <c r="C537" s="134">
        <v>305</v>
      </c>
      <c r="D537" s="535" t="s">
        <v>1394</v>
      </c>
      <c r="E537" s="533" t="s">
        <v>1441</v>
      </c>
      <c r="F537" s="527" t="s">
        <v>1172</v>
      </c>
      <c r="G537" s="527" t="s">
        <v>1442</v>
      </c>
      <c r="H537" s="529">
        <v>2</v>
      </c>
      <c r="I537" s="530">
        <f>1.9*4</f>
        <v>7.6</v>
      </c>
      <c r="J537" s="630" t="s">
        <v>1161</v>
      </c>
      <c r="K537" s="531"/>
      <c r="L537" s="532">
        <f t="shared" si="44"/>
        <v>0</v>
      </c>
      <c r="M537" s="532">
        <f t="shared" si="45"/>
        <v>0</v>
      </c>
      <c r="N537" s="532">
        <f t="shared" si="46"/>
        <v>0</v>
      </c>
    </row>
    <row r="538" spans="1:14">
      <c r="A538" s="3" t="s">
        <v>1514</v>
      </c>
      <c r="B538" s="527" t="s">
        <v>1400</v>
      </c>
      <c r="C538" s="134">
        <v>305</v>
      </c>
      <c r="D538" s="535" t="s">
        <v>1394</v>
      </c>
      <c r="E538" s="533" t="s">
        <v>1441</v>
      </c>
      <c r="F538" s="527" t="s">
        <v>1174</v>
      </c>
      <c r="G538" s="527" t="s">
        <v>1442</v>
      </c>
      <c r="H538" s="529">
        <v>2</v>
      </c>
      <c r="I538" s="530">
        <f>1.9*4</f>
        <v>7.6</v>
      </c>
      <c r="J538" s="630" t="s">
        <v>1164</v>
      </c>
      <c r="K538" s="531"/>
      <c r="L538" s="532">
        <f t="shared" si="44"/>
        <v>0</v>
      </c>
      <c r="M538" s="532">
        <f t="shared" si="45"/>
        <v>0</v>
      </c>
      <c r="N538" s="532">
        <f t="shared" si="46"/>
        <v>0</v>
      </c>
    </row>
    <row r="539" spans="1:14">
      <c r="A539" s="3" t="s">
        <v>1514</v>
      </c>
      <c r="B539" s="527" t="s">
        <v>1400</v>
      </c>
      <c r="C539" s="134">
        <v>305</v>
      </c>
      <c r="D539" s="535" t="s">
        <v>1394</v>
      </c>
      <c r="E539" s="533" t="s">
        <v>1441</v>
      </c>
      <c r="F539" s="527" t="s">
        <v>1172</v>
      </c>
      <c r="G539" s="527" t="s">
        <v>1449</v>
      </c>
      <c r="H539" s="529">
        <v>2</v>
      </c>
      <c r="I539" s="530">
        <f>3*3</f>
        <v>9</v>
      </c>
      <c r="J539" s="630" t="s">
        <v>1161</v>
      </c>
      <c r="K539" s="531"/>
      <c r="L539" s="532">
        <f t="shared" si="44"/>
        <v>0</v>
      </c>
      <c r="M539" s="532">
        <f t="shared" si="45"/>
        <v>0</v>
      </c>
      <c r="N539" s="532">
        <f t="shared" si="46"/>
        <v>0</v>
      </c>
    </row>
    <row r="540" spans="1:14">
      <c r="A540" s="3" t="s">
        <v>1514</v>
      </c>
      <c r="B540" s="527" t="s">
        <v>1400</v>
      </c>
      <c r="C540" s="134">
        <v>305</v>
      </c>
      <c r="D540" s="535" t="s">
        <v>1394</v>
      </c>
      <c r="E540" s="533" t="s">
        <v>1441</v>
      </c>
      <c r="F540" s="527" t="s">
        <v>1174</v>
      </c>
      <c r="G540" s="527" t="s">
        <v>1449</v>
      </c>
      <c r="H540" s="529">
        <v>2</v>
      </c>
      <c r="I540" s="530">
        <f>3*3</f>
        <v>9</v>
      </c>
      <c r="J540" s="630" t="s">
        <v>1164</v>
      </c>
      <c r="K540" s="531"/>
      <c r="L540" s="532">
        <f t="shared" si="44"/>
        <v>0</v>
      </c>
      <c r="M540" s="532">
        <f t="shared" si="45"/>
        <v>0</v>
      </c>
      <c r="N540" s="532">
        <f t="shared" si="46"/>
        <v>0</v>
      </c>
    </row>
    <row r="541" spans="1:14">
      <c r="A541" s="3" t="s">
        <v>1514</v>
      </c>
      <c r="B541" s="527" t="s">
        <v>1400</v>
      </c>
      <c r="C541" s="134">
        <v>305</v>
      </c>
      <c r="D541" s="535" t="s">
        <v>1394</v>
      </c>
      <c r="E541" s="533" t="s">
        <v>1441</v>
      </c>
      <c r="F541" s="527" t="s">
        <v>1172</v>
      </c>
      <c r="G541" s="527" t="s">
        <v>1444</v>
      </c>
      <c r="H541" s="529">
        <v>2</v>
      </c>
      <c r="I541" s="530">
        <f>2*9.75</f>
        <v>19.5</v>
      </c>
      <c r="J541" s="630" t="s">
        <v>1161</v>
      </c>
      <c r="K541" s="531"/>
      <c r="L541" s="532">
        <f t="shared" si="44"/>
        <v>0</v>
      </c>
      <c r="M541" s="532">
        <f t="shared" si="45"/>
        <v>0</v>
      </c>
      <c r="N541" s="532">
        <f t="shared" si="46"/>
        <v>0</v>
      </c>
    </row>
    <row r="542" spans="1:14">
      <c r="A542" s="3" t="s">
        <v>1514</v>
      </c>
      <c r="B542" s="527" t="s">
        <v>1400</v>
      </c>
      <c r="C542" s="134">
        <v>305</v>
      </c>
      <c r="D542" s="535" t="s">
        <v>1394</v>
      </c>
      <c r="E542" s="533" t="s">
        <v>1441</v>
      </c>
      <c r="F542" s="527" t="s">
        <v>1174</v>
      </c>
      <c r="G542" s="527" t="s">
        <v>1444</v>
      </c>
      <c r="H542" s="529">
        <v>2</v>
      </c>
      <c r="I542" s="530">
        <f>2*9.75</f>
        <v>19.5</v>
      </c>
      <c r="J542" s="630" t="s">
        <v>1164</v>
      </c>
      <c r="K542" s="531"/>
      <c r="L542" s="532">
        <f t="shared" si="44"/>
        <v>0</v>
      </c>
      <c r="M542" s="532">
        <f t="shared" si="45"/>
        <v>0</v>
      </c>
      <c r="N542" s="532">
        <f t="shared" si="46"/>
        <v>0</v>
      </c>
    </row>
    <row r="543" spans="1:14">
      <c r="A543" s="3" t="s">
        <v>1514</v>
      </c>
      <c r="B543" s="527" t="s">
        <v>1400</v>
      </c>
      <c r="C543" s="134">
        <v>305</v>
      </c>
      <c r="D543" s="535" t="s">
        <v>1394</v>
      </c>
      <c r="E543" s="533" t="s">
        <v>1441</v>
      </c>
      <c r="F543" s="527" t="s">
        <v>1172</v>
      </c>
      <c r="G543" s="527" t="s">
        <v>1445</v>
      </c>
      <c r="H543" s="529">
        <v>2</v>
      </c>
      <c r="I543" s="530">
        <f>3*9.75</f>
        <v>29.25</v>
      </c>
      <c r="J543" s="630" t="s">
        <v>1161</v>
      </c>
      <c r="K543" s="531"/>
      <c r="L543" s="532">
        <f t="shared" si="44"/>
        <v>0</v>
      </c>
      <c r="M543" s="532">
        <f t="shared" si="45"/>
        <v>0</v>
      </c>
      <c r="N543" s="532">
        <f t="shared" si="46"/>
        <v>0</v>
      </c>
    </row>
    <row r="544" spans="1:14">
      <c r="A544" s="3" t="s">
        <v>1514</v>
      </c>
      <c r="B544" s="527" t="s">
        <v>1400</v>
      </c>
      <c r="C544" s="134">
        <v>305</v>
      </c>
      <c r="D544" s="535" t="s">
        <v>1394</v>
      </c>
      <c r="E544" s="533" t="s">
        <v>1441</v>
      </c>
      <c r="F544" s="527" t="s">
        <v>1174</v>
      </c>
      <c r="G544" s="527" t="s">
        <v>1445</v>
      </c>
      <c r="H544" s="529">
        <v>2</v>
      </c>
      <c r="I544" s="530">
        <f>3*9.75</f>
        <v>29.25</v>
      </c>
      <c r="J544" s="630" t="s">
        <v>1164</v>
      </c>
      <c r="K544" s="531"/>
      <c r="L544" s="532">
        <f t="shared" si="44"/>
        <v>0</v>
      </c>
      <c r="M544" s="532">
        <f t="shared" si="45"/>
        <v>0</v>
      </c>
      <c r="N544" s="532">
        <f t="shared" si="46"/>
        <v>0</v>
      </c>
    </row>
    <row r="545" spans="1:14">
      <c r="A545" s="3" t="s">
        <v>1514</v>
      </c>
      <c r="B545" s="527" t="s">
        <v>1400</v>
      </c>
      <c r="C545" s="134">
        <v>305</v>
      </c>
      <c r="D545" s="535" t="s">
        <v>1394</v>
      </c>
      <c r="E545" s="533" t="s">
        <v>228</v>
      </c>
      <c r="F545" s="527" t="s">
        <v>1163</v>
      </c>
      <c r="G545" s="527" t="s">
        <v>1416</v>
      </c>
      <c r="H545" s="529">
        <v>2</v>
      </c>
      <c r="I545" s="530">
        <f>((1*1)*3)+(0.9*1)</f>
        <v>3.9</v>
      </c>
      <c r="J545" s="630" t="s">
        <v>1164</v>
      </c>
      <c r="K545" s="531"/>
      <c r="L545" s="532">
        <f t="shared" si="44"/>
        <v>0</v>
      </c>
      <c r="M545" s="532">
        <f t="shared" si="45"/>
        <v>0</v>
      </c>
      <c r="N545" s="532">
        <f t="shared" si="46"/>
        <v>0</v>
      </c>
    </row>
    <row r="546" spans="1:14">
      <c r="A546" s="3" t="s">
        <v>1514</v>
      </c>
      <c r="B546" s="527" t="s">
        <v>1400</v>
      </c>
      <c r="C546" s="134">
        <v>305</v>
      </c>
      <c r="D546" s="535" t="s">
        <v>1394</v>
      </c>
      <c r="E546" s="533" t="s">
        <v>228</v>
      </c>
      <c r="F546" s="527" t="s">
        <v>1160</v>
      </c>
      <c r="G546" s="527" t="s">
        <v>1421</v>
      </c>
      <c r="H546" s="529">
        <v>2</v>
      </c>
      <c r="I546" s="530">
        <f>((1*1)*3)+(0.9*1)</f>
        <v>3.9</v>
      </c>
      <c r="J546" s="630" t="s">
        <v>1164</v>
      </c>
      <c r="K546" s="531"/>
      <c r="L546" s="532">
        <f t="shared" si="44"/>
        <v>0</v>
      </c>
      <c r="M546" s="532">
        <f t="shared" si="45"/>
        <v>0</v>
      </c>
      <c r="N546" s="532">
        <f t="shared" si="46"/>
        <v>0</v>
      </c>
    </row>
    <row r="547" spans="1:14">
      <c r="A547" s="3" t="s">
        <v>1515</v>
      </c>
      <c r="B547" s="527" t="s">
        <v>1400</v>
      </c>
      <c r="C547" s="134">
        <v>305</v>
      </c>
      <c r="D547" s="535" t="s">
        <v>1394</v>
      </c>
      <c r="E547" s="533" t="s">
        <v>54</v>
      </c>
      <c r="F547" s="527" t="s">
        <v>1162</v>
      </c>
      <c r="G547" s="527" t="s">
        <v>1450</v>
      </c>
      <c r="H547" s="529">
        <v>12</v>
      </c>
      <c r="I547" s="530">
        <f>0.7*(13.4*2+3.1)*2</f>
        <v>41.86</v>
      </c>
      <c r="J547" s="630" t="s">
        <v>1161</v>
      </c>
      <c r="K547" s="531"/>
      <c r="L547" s="532">
        <f t="shared" si="44"/>
        <v>0</v>
      </c>
      <c r="M547" s="532">
        <f t="shared" si="45"/>
        <v>0</v>
      </c>
      <c r="N547" s="532">
        <f t="shared" si="46"/>
        <v>0</v>
      </c>
    </row>
    <row r="548" spans="1:14">
      <c r="A548" s="3" t="s">
        <v>1515</v>
      </c>
      <c r="B548" s="527" t="s">
        <v>1451</v>
      </c>
      <c r="C548" s="134">
        <v>305</v>
      </c>
      <c r="D548" s="535" t="s">
        <v>1394</v>
      </c>
      <c r="E548" s="135"/>
      <c r="F548" s="527" t="s">
        <v>1162</v>
      </c>
      <c r="G548" s="527" t="s">
        <v>1308</v>
      </c>
      <c r="H548" s="529">
        <v>26</v>
      </c>
      <c r="I548" s="530">
        <v>164</v>
      </c>
      <c r="J548" s="630" t="s">
        <v>1161</v>
      </c>
      <c r="K548" s="531" t="s">
        <v>1309</v>
      </c>
      <c r="L548" s="532">
        <f t="shared" si="44"/>
        <v>0</v>
      </c>
      <c r="M548" s="532">
        <f t="shared" si="45"/>
        <v>0</v>
      </c>
      <c r="N548" s="532">
        <f t="shared" si="46"/>
        <v>0</v>
      </c>
    </row>
    <row r="549" spans="1:14">
      <c r="A549" s="3" t="s">
        <v>1516</v>
      </c>
      <c r="B549" s="527" t="s">
        <v>1401</v>
      </c>
      <c r="C549" s="134">
        <v>306</v>
      </c>
      <c r="D549" s="535" t="s">
        <v>1394</v>
      </c>
      <c r="E549" s="533" t="s">
        <v>54</v>
      </c>
      <c r="F549" s="527" t="s">
        <v>1160</v>
      </c>
      <c r="G549" s="527" t="s">
        <v>1434</v>
      </c>
      <c r="H549" s="529">
        <v>2</v>
      </c>
      <c r="I549" s="530">
        <f>15.5*3+12.5*3+3.5*1</f>
        <v>87.5</v>
      </c>
      <c r="J549" s="630" t="s">
        <v>1164</v>
      </c>
      <c r="K549" s="531"/>
      <c r="L549" s="532">
        <f t="shared" si="44"/>
        <v>0</v>
      </c>
      <c r="M549" s="532">
        <f t="shared" si="45"/>
        <v>0</v>
      </c>
      <c r="N549" s="532">
        <f t="shared" si="46"/>
        <v>0</v>
      </c>
    </row>
    <row r="550" spans="1:14">
      <c r="A550" s="3" t="s">
        <v>1516</v>
      </c>
      <c r="B550" s="527" t="s">
        <v>1401</v>
      </c>
      <c r="C550" s="134">
        <v>306</v>
      </c>
      <c r="D550" s="535" t="s">
        <v>1394</v>
      </c>
      <c r="E550" s="533" t="s">
        <v>54</v>
      </c>
      <c r="F550" s="527" t="s">
        <v>1160</v>
      </c>
      <c r="G550" s="527" t="s">
        <v>1436</v>
      </c>
      <c r="H550" s="529">
        <v>2</v>
      </c>
      <c r="I550" s="530">
        <f>15.5*3+12.5*3+3.5*1</f>
        <v>87.5</v>
      </c>
      <c r="J550" s="630" t="s">
        <v>1164</v>
      </c>
      <c r="K550" s="531"/>
      <c r="L550" s="532">
        <f t="shared" si="44"/>
        <v>0</v>
      </c>
      <c r="M550" s="532">
        <f t="shared" si="45"/>
        <v>0</v>
      </c>
      <c r="N550" s="532">
        <f t="shared" si="46"/>
        <v>0</v>
      </c>
    </row>
    <row r="551" spans="1:14">
      <c r="A551" s="3" t="s">
        <v>1516</v>
      </c>
      <c r="B551" s="527" t="s">
        <v>1401</v>
      </c>
      <c r="C551" s="134">
        <v>306</v>
      </c>
      <c r="D551" s="535" t="s">
        <v>1394</v>
      </c>
      <c r="E551" s="533" t="s">
        <v>54</v>
      </c>
      <c r="F551" s="527" t="s">
        <v>1160</v>
      </c>
      <c r="G551" s="527" t="s">
        <v>1437</v>
      </c>
      <c r="H551" s="529">
        <v>2</v>
      </c>
      <c r="I551" s="530">
        <f>2*(6.2*1*2+15.5*1.75)</f>
        <v>79.05</v>
      </c>
      <c r="J551" s="630" t="s">
        <v>1164</v>
      </c>
      <c r="K551" s="531"/>
      <c r="L551" s="532">
        <f t="shared" si="44"/>
        <v>0</v>
      </c>
      <c r="M551" s="532">
        <f t="shared" si="45"/>
        <v>0</v>
      </c>
      <c r="N551" s="532">
        <f t="shared" si="46"/>
        <v>0</v>
      </c>
    </row>
    <row r="552" spans="1:14">
      <c r="A552" s="3" t="s">
        <v>1516</v>
      </c>
      <c r="B552" s="527" t="s">
        <v>1401</v>
      </c>
      <c r="C552" s="134">
        <v>306</v>
      </c>
      <c r="D552" s="535" t="s">
        <v>1394</v>
      </c>
      <c r="E552" s="533" t="s">
        <v>54</v>
      </c>
      <c r="F552" s="527" t="s">
        <v>1160</v>
      </c>
      <c r="G552" s="527" t="s">
        <v>1439</v>
      </c>
      <c r="H552" s="529">
        <v>2</v>
      </c>
      <c r="I552" s="530">
        <f>2*(6.2*1*2+15.5*1.75)</f>
        <v>79.05</v>
      </c>
      <c r="J552" s="630" t="s">
        <v>1164</v>
      </c>
      <c r="K552" s="531"/>
      <c r="L552" s="532">
        <f t="shared" si="44"/>
        <v>0</v>
      </c>
      <c r="M552" s="532">
        <f t="shared" si="45"/>
        <v>0</v>
      </c>
      <c r="N552" s="532">
        <f t="shared" si="46"/>
        <v>0</v>
      </c>
    </row>
    <row r="553" spans="1:14">
      <c r="A553" s="3" t="s">
        <v>1516</v>
      </c>
      <c r="B553" s="527" t="s">
        <v>1401</v>
      </c>
      <c r="C553" s="134">
        <v>306</v>
      </c>
      <c r="D553" s="535" t="s">
        <v>1394</v>
      </c>
      <c r="E553" s="533" t="s">
        <v>64</v>
      </c>
      <c r="F553" s="527" t="s">
        <v>1160</v>
      </c>
      <c r="G553" s="527" t="s">
        <v>1446</v>
      </c>
      <c r="H553" s="529">
        <v>2</v>
      </c>
      <c r="I553" s="530">
        <f>4*4.8</f>
        <v>19.2</v>
      </c>
      <c r="J553" s="630" t="s">
        <v>1164</v>
      </c>
      <c r="K553" s="531"/>
      <c r="L553" s="532">
        <f t="shared" si="44"/>
        <v>0</v>
      </c>
      <c r="M553" s="532">
        <f t="shared" si="45"/>
        <v>0</v>
      </c>
      <c r="N553" s="532">
        <f t="shared" si="46"/>
        <v>0</v>
      </c>
    </row>
    <row r="554" spans="1:14">
      <c r="A554" s="3" t="s">
        <v>1516</v>
      </c>
      <c r="B554" s="527" t="s">
        <v>1401</v>
      </c>
      <c r="C554" s="134">
        <v>306</v>
      </c>
      <c r="D554" s="535" t="s">
        <v>1394</v>
      </c>
      <c r="E554" s="533" t="s">
        <v>64</v>
      </c>
      <c r="F554" s="527" t="s">
        <v>1160</v>
      </c>
      <c r="G554" s="527" t="s">
        <v>1447</v>
      </c>
      <c r="H554" s="529">
        <v>2</v>
      </c>
      <c r="I554" s="530">
        <f>4*4.8</f>
        <v>19.2</v>
      </c>
      <c r="J554" s="630" t="s">
        <v>1164</v>
      </c>
      <c r="K554" s="531"/>
      <c r="L554" s="532">
        <f t="shared" si="44"/>
        <v>0</v>
      </c>
      <c r="M554" s="532">
        <f t="shared" si="45"/>
        <v>0</v>
      </c>
      <c r="N554" s="532">
        <f t="shared" si="46"/>
        <v>0</v>
      </c>
    </row>
    <row r="555" spans="1:14">
      <c r="A555" s="3" t="s">
        <v>1517</v>
      </c>
      <c r="B555" s="527" t="s">
        <v>1401</v>
      </c>
      <c r="C555" s="134">
        <v>306</v>
      </c>
      <c r="D555" s="535" t="s">
        <v>1394</v>
      </c>
      <c r="E555" s="533" t="s">
        <v>54</v>
      </c>
      <c r="F555" s="527" t="s">
        <v>1162</v>
      </c>
      <c r="G555" s="527" t="s">
        <v>1448</v>
      </c>
      <c r="H555" s="529">
        <v>12</v>
      </c>
      <c r="I555" s="530">
        <f>0.7*12*2</f>
        <v>16.799999999999997</v>
      </c>
      <c r="J555" s="630" t="s">
        <v>1161</v>
      </c>
      <c r="K555" s="531"/>
      <c r="L555" s="532">
        <f t="shared" si="44"/>
        <v>0</v>
      </c>
      <c r="M555" s="532">
        <f t="shared" si="45"/>
        <v>0</v>
      </c>
      <c r="N555" s="532">
        <f t="shared" si="46"/>
        <v>0</v>
      </c>
    </row>
    <row r="556" spans="1:14">
      <c r="A556" s="3" t="s">
        <v>1516</v>
      </c>
      <c r="B556" s="527" t="s">
        <v>1401</v>
      </c>
      <c r="C556" s="134">
        <v>306</v>
      </c>
      <c r="D556" s="535" t="s">
        <v>1394</v>
      </c>
      <c r="E556" s="533" t="s">
        <v>1441</v>
      </c>
      <c r="F556" s="527" t="s">
        <v>1172</v>
      </c>
      <c r="G556" s="527" t="s">
        <v>1442</v>
      </c>
      <c r="H556" s="529">
        <v>2</v>
      </c>
      <c r="I556" s="530">
        <f>1.9*4</f>
        <v>7.6</v>
      </c>
      <c r="J556" s="630" t="s">
        <v>1161</v>
      </c>
      <c r="K556" s="531"/>
      <c r="L556" s="532">
        <f t="shared" si="44"/>
        <v>0</v>
      </c>
      <c r="M556" s="532">
        <f t="shared" si="45"/>
        <v>0</v>
      </c>
      <c r="N556" s="532">
        <f t="shared" si="46"/>
        <v>0</v>
      </c>
    </row>
    <row r="557" spans="1:14">
      <c r="A557" s="3" t="s">
        <v>1516</v>
      </c>
      <c r="B557" s="527" t="s">
        <v>1401</v>
      </c>
      <c r="C557" s="134">
        <v>306</v>
      </c>
      <c r="D557" s="535" t="s">
        <v>1394</v>
      </c>
      <c r="E557" s="533" t="s">
        <v>1441</v>
      </c>
      <c r="F557" s="527" t="s">
        <v>1174</v>
      </c>
      <c r="G557" s="527" t="s">
        <v>1442</v>
      </c>
      <c r="H557" s="529">
        <v>2</v>
      </c>
      <c r="I557" s="530">
        <f>1.9*4</f>
        <v>7.6</v>
      </c>
      <c r="J557" s="630" t="s">
        <v>1164</v>
      </c>
      <c r="K557" s="531"/>
      <c r="L557" s="532">
        <f t="shared" si="44"/>
        <v>0</v>
      </c>
      <c r="M557" s="532">
        <f t="shared" si="45"/>
        <v>0</v>
      </c>
      <c r="N557" s="532">
        <f t="shared" si="46"/>
        <v>0</v>
      </c>
    </row>
    <row r="558" spans="1:14">
      <c r="A558" s="3" t="s">
        <v>1516</v>
      </c>
      <c r="B558" s="527" t="s">
        <v>1401</v>
      </c>
      <c r="C558" s="134">
        <v>306</v>
      </c>
      <c r="D558" s="535" t="s">
        <v>1394</v>
      </c>
      <c r="E558" s="533" t="s">
        <v>1441</v>
      </c>
      <c r="F558" s="527" t="s">
        <v>1172</v>
      </c>
      <c r="G558" s="527" t="s">
        <v>1449</v>
      </c>
      <c r="H558" s="529">
        <v>2</v>
      </c>
      <c r="I558" s="530">
        <f>3*3</f>
        <v>9</v>
      </c>
      <c r="J558" s="630" t="s">
        <v>1161</v>
      </c>
      <c r="K558" s="531"/>
      <c r="L558" s="532">
        <f t="shared" si="44"/>
        <v>0</v>
      </c>
      <c r="M558" s="532">
        <f t="shared" si="45"/>
        <v>0</v>
      </c>
      <c r="N558" s="532">
        <f t="shared" si="46"/>
        <v>0</v>
      </c>
    </row>
    <row r="559" spans="1:14">
      <c r="A559" s="3" t="s">
        <v>1516</v>
      </c>
      <c r="B559" s="527" t="s">
        <v>1401</v>
      </c>
      <c r="C559" s="134">
        <v>306</v>
      </c>
      <c r="D559" s="535" t="s">
        <v>1394</v>
      </c>
      <c r="E559" s="533" t="s">
        <v>1441</v>
      </c>
      <c r="F559" s="527" t="s">
        <v>1174</v>
      </c>
      <c r="G559" s="527" t="s">
        <v>1449</v>
      </c>
      <c r="H559" s="529">
        <v>2</v>
      </c>
      <c r="I559" s="530">
        <f>3*3</f>
        <v>9</v>
      </c>
      <c r="J559" s="630" t="s">
        <v>1164</v>
      </c>
      <c r="K559" s="531"/>
      <c r="L559" s="532">
        <f t="shared" si="44"/>
        <v>0</v>
      </c>
      <c r="M559" s="532">
        <f t="shared" si="45"/>
        <v>0</v>
      </c>
      <c r="N559" s="532">
        <f t="shared" si="46"/>
        <v>0</v>
      </c>
    </row>
    <row r="560" spans="1:14">
      <c r="A560" s="3" t="s">
        <v>1516</v>
      </c>
      <c r="B560" s="527" t="s">
        <v>1401</v>
      </c>
      <c r="C560" s="134">
        <v>306</v>
      </c>
      <c r="D560" s="535" t="s">
        <v>1394</v>
      </c>
      <c r="E560" s="533" t="s">
        <v>1441</v>
      </c>
      <c r="F560" s="527" t="s">
        <v>1172</v>
      </c>
      <c r="G560" s="527" t="s">
        <v>1444</v>
      </c>
      <c r="H560" s="529">
        <v>2</v>
      </c>
      <c r="I560" s="530">
        <f>2*9.75</f>
        <v>19.5</v>
      </c>
      <c r="J560" s="630" t="s">
        <v>1161</v>
      </c>
      <c r="K560" s="531"/>
      <c r="L560" s="532">
        <f t="shared" si="44"/>
        <v>0</v>
      </c>
      <c r="M560" s="532">
        <f t="shared" si="45"/>
        <v>0</v>
      </c>
      <c r="N560" s="532">
        <f t="shared" si="46"/>
        <v>0</v>
      </c>
    </row>
    <row r="561" spans="1:14">
      <c r="A561" s="3" t="s">
        <v>1516</v>
      </c>
      <c r="B561" s="527" t="s">
        <v>1401</v>
      </c>
      <c r="C561" s="134">
        <v>306</v>
      </c>
      <c r="D561" s="535" t="s">
        <v>1394</v>
      </c>
      <c r="E561" s="533" t="s">
        <v>1441</v>
      </c>
      <c r="F561" s="527" t="s">
        <v>1174</v>
      </c>
      <c r="G561" s="527" t="s">
        <v>1444</v>
      </c>
      <c r="H561" s="529">
        <v>2</v>
      </c>
      <c r="I561" s="530">
        <f>2*9.75</f>
        <v>19.5</v>
      </c>
      <c r="J561" s="630" t="s">
        <v>1164</v>
      </c>
      <c r="K561" s="531"/>
      <c r="L561" s="532">
        <f t="shared" si="44"/>
        <v>0</v>
      </c>
      <c r="M561" s="532">
        <f t="shared" si="45"/>
        <v>0</v>
      </c>
      <c r="N561" s="532">
        <f t="shared" si="46"/>
        <v>0</v>
      </c>
    </row>
    <row r="562" spans="1:14">
      <c r="A562" s="3" t="s">
        <v>1516</v>
      </c>
      <c r="B562" s="527" t="s">
        <v>1401</v>
      </c>
      <c r="C562" s="134">
        <v>306</v>
      </c>
      <c r="D562" s="535" t="s">
        <v>1394</v>
      </c>
      <c r="E562" s="533" t="s">
        <v>1441</v>
      </c>
      <c r="F562" s="527" t="s">
        <v>1172</v>
      </c>
      <c r="G562" s="527" t="s">
        <v>1445</v>
      </c>
      <c r="H562" s="529">
        <v>2</v>
      </c>
      <c r="I562" s="530">
        <f>3*9.75</f>
        <v>29.25</v>
      </c>
      <c r="J562" s="630" t="s">
        <v>1161</v>
      </c>
      <c r="K562" s="531"/>
      <c r="L562" s="532">
        <f t="shared" si="44"/>
        <v>0</v>
      </c>
      <c r="M562" s="532">
        <f t="shared" si="45"/>
        <v>0</v>
      </c>
      <c r="N562" s="532">
        <f t="shared" si="46"/>
        <v>0</v>
      </c>
    </row>
    <row r="563" spans="1:14">
      <c r="A563" s="3" t="s">
        <v>1516</v>
      </c>
      <c r="B563" s="527" t="s">
        <v>1401</v>
      </c>
      <c r="C563" s="134">
        <v>306</v>
      </c>
      <c r="D563" s="535" t="s">
        <v>1394</v>
      </c>
      <c r="E563" s="533" t="s">
        <v>1441</v>
      </c>
      <c r="F563" s="527" t="s">
        <v>1174</v>
      </c>
      <c r="G563" s="527" t="s">
        <v>1445</v>
      </c>
      <c r="H563" s="529">
        <v>2</v>
      </c>
      <c r="I563" s="530">
        <f>3*9.75</f>
        <v>29.25</v>
      </c>
      <c r="J563" s="630" t="s">
        <v>1164</v>
      </c>
      <c r="K563" s="531"/>
      <c r="L563" s="532">
        <f t="shared" si="44"/>
        <v>0</v>
      </c>
      <c r="M563" s="532">
        <f t="shared" si="45"/>
        <v>0</v>
      </c>
      <c r="N563" s="532">
        <f t="shared" si="46"/>
        <v>0</v>
      </c>
    </row>
    <row r="564" spans="1:14">
      <c r="A564" s="3" t="s">
        <v>1516</v>
      </c>
      <c r="B564" s="527" t="s">
        <v>1401</v>
      </c>
      <c r="C564" s="134">
        <v>306</v>
      </c>
      <c r="D564" s="535" t="s">
        <v>1394</v>
      </c>
      <c r="E564" s="533" t="s">
        <v>228</v>
      </c>
      <c r="F564" s="527" t="s">
        <v>1163</v>
      </c>
      <c r="G564" s="527" t="s">
        <v>1416</v>
      </c>
      <c r="H564" s="529">
        <v>2</v>
      </c>
      <c r="I564" s="530">
        <f>((1*1)*3)+(0.9*1)</f>
        <v>3.9</v>
      </c>
      <c r="J564" s="630" t="s">
        <v>1164</v>
      </c>
      <c r="K564" s="531"/>
      <c r="L564" s="532">
        <f t="shared" si="44"/>
        <v>0</v>
      </c>
      <c r="M564" s="532">
        <f t="shared" si="45"/>
        <v>0</v>
      </c>
      <c r="N564" s="532">
        <f t="shared" si="46"/>
        <v>0</v>
      </c>
    </row>
    <row r="565" spans="1:14">
      <c r="A565" s="3" t="s">
        <v>1516</v>
      </c>
      <c r="B565" s="527" t="s">
        <v>1401</v>
      </c>
      <c r="C565" s="134">
        <v>306</v>
      </c>
      <c r="D565" s="535" t="s">
        <v>1394</v>
      </c>
      <c r="E565" s="533" t="s">
        <v>228</v>
      </c>
      <c r="F565" s="527" t="s">
        <v>1160</v>
      </c>
      <c r="G565" s="527" t="s">
        <v>1421</v>
      </c>
      <c r="H565" s="529">
        <v>2</v>
      </c>
      <c r="I565" s="530">
        <f>((1*1)*3)+(0.9*1)</f>
        <v>3.9</v>
      </c>
      <c r="J565" s="630" t="s">
        <v>1164</v>
      </c>
      <c r="K565" s="531"/>
      <c r="L565" s="532">
        <f t="shared" si="44"/>
        <v>0</v>
      </c>
      <c r="M565" s="532">
        <f t="shared" si="45"/>
        <v>0</v>
      </c>
      <c r="N565" s="532">
        <f t="shared" si="46"/>
        <v>0</v>
      </c>
    </row>
    <row r="566" spans="1:14">
      <c r="A566" s="3" t="s">
        <v>1517</v>
      </c>
      <c r="B566" s="527" t="s">
        <v>1401</v>
      </c>
      <c r="C566" s="134">
        <v>306</v>
      </c>
      <c r="D566" s="535" t="s">
        <v>1394</v>
      </c>
      <c r="E566" s="135"/>
      <c r="F566" s="527" t="s">
        <v>1162</v>
      </c>
      <c r="G566" s="527" t="s">
        <v>1308</v>
      </c>
      <c r="H566" s="529">
        <v>26</v>
      </c>
      <c r="I566" s="530">
        <v>70</v>
      </c>
      <c r="J566" s="630" t="s">
        <v>1161</v>
      </c>
      <c r="K566" s="531" t="s">
        <v>1309</v>
      </c>
      <c r="L566" s="532">
        <f t="shared" si="44"/>
        <v>0</v>
      </c>
      <c r="M566" s="532">
        <f t="shared" si="45"/>
        <v>0</v>
      </c>
      <c r="N566" s="532">
        <f t="shared" si="46"/>
        <v>0</v>
      </c>
    </row>
    <row r="567" spans="1:14">
      <c r="A567" s="3" t="s">
        <v>1518</v>
      </c>
      <c r="B567" s="527" t="s">
        <v>1395</v>
      </c>
      <c r="C567" s="134">
        <v>307</v>
      </c>
      <c r="D567" s="535" t="s">
        <v>1394</v>
      </c>
      <c r="E567" s="533" t="s">
        <v>54</v>
      </c>
      <c r="F567" s="527" t="s">
        <v>1162</v>
      </c>
      <c r="G567" s="527" t="s">
        <v>1452</v>
      </c>
      <c r="H567" s="529">
        <v>12</v>
      </c>
      <c r="I567" s="530">
        <f>0.75*((2.2+7.4*2)+(4.3+13*2)+(4.3+15*2)+(13.75+15.5+4.3))*2</f>
        <v>172.72499999999999</v>
      </c>
      <c r="J567" s="630" t="s">
        <v>1161</v>
      </c>
      <c r="K567" s="531"/>
      <c r="L567" s="532">
        <f t="shared" si="44"/>
        <v>0</v>
      </c>
      <c r="M567" s="532">
        <f t="shared" si="45"/>
        <v>0</v>
      </c>
      <c r="N567" s="532">
        <f t="shared" si="46"/>
        <v>0</v>
      </c>
    </row>
    <row r="568" spans="1:14">
      <c r="A568" s="3" t="s">
        <v>1518</v>
      </c>
      <c r="B568" s="527" t="s">
        <v>1395</v>
      </c>
      <c r="C568" s="134">
        <v>307</v>
      </c>
      <c r="D568" s="535" t="s">
        <v>1394</v>
      </c>
      <c r="E568" s="533" t="s">
        <v>54</v>
      </c>
      <c r="F568" s="527" t="s">
        <v>1162</v>
      </c>
      <c r="G568" s="527" t="s">
        <v>1453</v>
      </c>
      <c r="H568" s="529">
        <v>12</v>
      </c>
      <c r="I568" s="530">
        <f>0.75*(2.25+4.15+4.4+1.4)*2</f>
        <v>18.3</v>
      </c>
      <c r="J568" s="630" t="s">
        <v>1164</v>
      </c>
      <c r="K568" s="531"/>
      <c r="L568" s="532">
        <f t="shared" si="44"/>
        <v>0</v>
      </c>
      <c r="M568" s="532">
        <f t="shared" si="45"/>
        <v>0</v>
      </c>
      <c r="N568" s="532">
        <f t="shared" si="46"/>
        <v>0</v>
      </c>
    </row>
    <row r="569" spans="1:14">
      <c r="A569" s="3" t="s">
        <v>1518</v>
      </c>
      <c r="B569" s="527" t="s">
        <v>1395</v>
      </c>
      <c r="C569" s="134">
        <v>307</v>
      </c>
      <c r="D569" s="535" t="s">
        <v>1394</v>
      </c>
      <c r="E569" s="533" t="s">
        <v>54</v>
      </c>
      <c r="F569" s="527" t="s">
        <v>1162</v>
      </c>
      <c r="G569" s="527" t="s">
        <v>1454</v>
      </c>
      <c r="H569" s="529">
        <v>12</v>
      </c>
      <c r="I569" s="530">
        <f>0.75*(2.25+4.15+4.4+1.4)*2</f>
        <v>18.3</v>
      </c>
      <c r="J569" s="630" t="s">
        <v>1161</v>
      </c>
      <c r="K569" s="531"/>
      <c r="L569" s="532">
        <f t="shared" si="44"/>
        <v>0</v>
      </c>
      <c r="M569" s="532">
        <f t="shared" si="45"/>
        <v>0</v>
      </c>
      <c r="N569" s="532">
        <f t="shared" si="46"/>
        <v>0</v>
      </c>
    </row>
    <row r="570" spans="1:14">
      <c r="A570" s="3" t="s">
        <v>1519</v>
      </c>
      <c r="B570" s="527" t="s">
        <v>1395</v>
      </c>
      <c r="C570" s="134">
        <v>307</v>
      </c>
      <c r="D570" s="535" t="s">
        <v>1394</v>
      </c>
      <c r="E570" s="533" t="s">
        <v>54</v>
      </c>
      <c r="F570" s="527" t="s">
        <v>1172</v>
      </c>
      <c r="G570" s="527" t="s">
        <v>1455</v>
      </c>
      <c r="H570" s="529">
        <v>2</v>
      </c>
      <c r="I570" s="530">
        <f>(11+11)*(1.6*3.14)</f>
        <v>110.52800000000002</v>
      </c>
      <c r="J570" s="630" t="s">
        <v>1161</v>
      </c>
      <c r="K570" s="531"/>
      <c r="L570" s="532">
        <f t="shared" si="44"/>
        <v>0</v>
      </c>
      <c r="M570" s="532">
        <f t="shared" si="45"/>
        <v>0</v>
      </c>
      <c r="N570" s="532">
        <f t="shared" si="46"/>
        <v>0</v>
      </c>
    </row>
    <row r="571" spans="1:14">
      <c r="A571" s="3" t="s">
        <v>1519</v>
      </c>
      <c r="B571" s="527" t="s">
        <v>1395</v>
      </c>
      <c r="C571" s="134">
        <v>307</v>
      </c>
      <c r="D571" s="535" t="s">
        <v>1394</v>
      </c>
      <c r="E571" s="533" t="s">
        <v>54</v>
      </c>
      <c r="F571" s="527" t="s">
        <v>1174</v>
      </c>
      <c r="G571" s="527" t="s">
        <v>1455</v>
      </c>
      <c r="H571" s="529">
        <v>2</v>
      </c>
      <c r="I571" s="530">
        <f>(11+11)*(1.6*3.14)</f>
        <v>110.52800000000002</v>
      </c>
      <c r="J571" s="630" t="s">
        <v>1161</v>
      </c>
      <c r="K571" s="531"/>
      <c r="L571" s="532">
        <f t="shared" si="44"/>
        <v>0</v>
      </c>
      <c r="M571" s="532">
        <f t="shared" si="45"/>
        <v>0</v>
      </c>
      <c r="N571" s="532">
        <f t="shared" si="46"/>
        <v>0</v>
      </c>
    </row>
    <row r="572" spans="1:14">
      <c r="A572" s="3" t="s">
        <v>1519</v>
      </c>
      <c r="B572" s="527" t="s">
        <v>1395</v>
      </c>
      <c r="C572" s="134">
        <v>307</v>
      </c>
      <c r="D572" s="535" t="s">
        <v>1394</v>
      </c>
      <c r="E572" s="533" t="s">
        <v>54</v>
      </c>
      <c r="F572" s="527" t="s">
        <v>1172</v>
      </c>
      <c r="G572" s="527" t="s">
        <v>1456</v>
      </c>
      <c r="H572" s="529">
        <v>2</v>
      </c>
      <c r="I572" s="530">
        <f>(1*(2.2*1.1))+(4*(0.8*1.8))*2</f>
        <v>13.940000000000001</v>
      </c>
      <c r="J572" s="630" t="s">
        <v>1161</v>
      </c>
      <c r="K572" s="531"/>
      <c r="L572" s="532">
        <f t="shared" si="44"/>
        <v>0</v>
      </c>
      <c r="M572" s="532">
        <f t="shared" si="45"/>
        <v>0</v>
      </c>
      <c r="N572" s="532">
        <f t="shared" si="46"/>
        <v>0</v>
      </c>
    </row>
    <row r="573" spans="1:14">
      <c r="A573" s="3" t="s">
        <v>1519</v>
      </c>
      <c r="B573" s="527" t="s">
        <v>1395</v>
      </c>
      <c r="C573" s="134">
        <v>307</v>
      </c>
      <c r="D573" s="535" t="s">
        <v>1394</v>
      </c>
      <c r="E573" s="533" t="s">
        <v>54</v>
      </c>
      <c r="F573" s="527" t="s">
        <v>1174</v>
      </c>
      <c r="G573" s="527" t="s">
        <v>1456</v>
      </c>
      <c r="H573" s="529">
        <v>2</v>
      </c>
      <c r="I573" s="530">
        <f>(1*(2.2*1.1))+(4*(0.8*1.8))*2</f>
        <v>13.940000000000001</v>
      </c>
      <c r="J573" s="630" t="s">
        <v>1161</v>
      </c>
      <c r="K573" s="531"/>
      <c r="L573" s="532">
        <f t="shared" si="44"/>
        <v>0</v>
      </c>
      <c r="M573" s="532">
        <f t="shared" si="45"/>
        <v>0</v>
      </c>
      <c r="N573" s="532">
        <f t="shared" si="46"/>
        <v>0</v>
      </c>
    </row>
    <row r="574" spans="1:14">
      <c r="A574" s="3" t="s">
        <v>1519</v>
      </c>
      <c r="B574" s="527" t="s">
        <v>1395</v>
      </c>
      <c r="C574" s="134">
        <v>307</v>
      </c>
      <c r="D574" s="535" t="s">
        <v>1394</v>
      </c>
      <c r="E574" s="533" t="s">
        <v>54</v>
      </c>
      <c r="F574" s="527" t="s">
        <v>1169</v>
      </c>
      <c r="G574" s="527" t="s">
        <v>1457</v>
      </c>
      <c r="H574" s="529">
        <v>2</v>
      </c>
      <c r="I574" s="530">
        <f>4.5*(5.5*24)</f>
        <v>594</v>
      </c>
      <c r="J574" s="630" t="s">
        <v>1164</v>
      </c>
      <c r="K574" s="531"/>
      <c r="L574" s="532">
        <f t="shared" si="44"/>
        <v>0</v>
      </c>
      <c r="M574" s="532">
        <f t="shared" si="45"/>
        <v>0</v>
      </c>
      <c r="N574" s="532">
        <f t="shared" si="46"/>
        <v>0</v>
      </c>
    </row>
    <row r="575" spans="1:14">
      <c r="A575" s="3" t="s">
        <v>1519</v>
      </c>
      <c r="B575" s="527" t="s">
        <v>1395</v>
      </c>
      <c r="C575" s="134">
        <v>307</v>
      </c>
      <c r="D575" s="535" t="s">
        <v>1394</v>
      </c>
      <c r="E575" s="533" t="s">
        <v>54</v>
      </c>
      <c r="F575" s="527" t="s">
        <v>1171</v>
      </c>
      <c r="G575" s="527" t="s">
        <v>1457</v>
      </c>
      <c r="H575" s="529">
        <v>2</v>
      </c>
      <c r="I575" s="530">
        <f>4.5*(5.5*24)</f>
        <v>594</v>
      </c>
      <c r="J575" s="630" t="s">
        <v>1161</v>
      </c>
      <c r="K575" s="531"/>
      <c r="L575" s="532">
        <f t="shared" si="44"/>
        <v>0</v>
      </c>
      <c r="M575" s="532">
        <f t="shared" si="45"/>
        <v>0</v>
      </c>
      <c r="N575" s="532">
        <f t="shared" si="46"/>
        <v>0</v>
      </c>
    </row>
    <row r="576" spans="1:14">
      <c r="A576" s="3" t="s">
        <v>1519</v>
      </c>
      <c r="B576" s="527" t="s">
        <v>1395</v>
      </c>
      <c r="C576" s="134">
        <v>307</v>
      </c>
      <c r="D576" s="535" t="s">
        <v>1394</v>
      </c>
      <c r="E576" s="533" t="s">
        <v>143</v>
      </c>
      <c r="F576" s="527" t="s">
        <v>1163</v>
      </c>
      <c r="G576" s="527" t="s">
        <v>1416</v>
      </c>
      <c r="H576" s="529">
        <v>2</v>
      </c>
      <c r="I576" s="530">
        <f>4.4*(3.8+15.7+0.85+4+13+4)</f>
        <v>181.94000000000003</v>
      </c>
      <c r="J576" s="630" t="s">
        <v>1161</v>
      </c>
      <c r="K576" s="531"/>
      <c r="L576" s="532">
        <f t="shared" si="44"/>
        <v>0</v>
      </c>
      <c r="M576" s="532">
        <f t="shared" si="45"/>
        <v>0</v>
      </c>
      <c r="N576" s="532">
        <f t="shared" si="46"/>
        <v>0</v>
      </c>
    </row>
    <row r="577" spans="1:14">
      <c r="A577" s="3" t="s">
        <v>1519</v>
      </c>
      <c r="B577" s="527" t="s">
        <v>1395</v>
      </c>
      <c r="C577" s="134">
        <v>307</v>
      </c>
      <c r="D577" s="535" t="s">
        <v>1394</v>
      </c>
      <c r="E577" s="533" t="s">
        <v>143</v>
      </c>
      <c r="F577" s="527" t="s">
        <v>1160</v>
      </c>
      <c r="G577" s="527" t="s">
        <v>1421</v>
      </c>
      <c r="H577" s="529">
        <v>2</v>
      </c>
      <c r="I577" s="530">
        <f>4.4*(3.8+15.7+0.85+4+13+4)</f>
        <v>181.94000000000003</v>
      </c>
      <c r="J577" s="630" t="s">
        <v>1161</v>
      </c>
      <c r="K577" s="531"/>
      <c r="L577" s="532">
        <f t="shared" si="44"/>
        <v>0</v>
      </c>
      <c r="M577" s="532">
        <f t="shared" si="45"/>
        <v>0</v>
      </c>
      <c r="N577" s="532">
        <f t="shared" si="46"/>
        <v>0</v>
      </c>
    </row>
    <row r="578" spans="1:14">
      <c r="A578" s="3" t="s">
        <v>1519</v>
      </c>
      <c r="B578" s="527" t="s">
        <v>1395</v>
      </c>
      <c r="C578" s="134">
        <v>307</v>
      </c>
      <c r="D578" s="535" t="s">
        <v>1394</v>
      </c>
      <c r="E578" s="533" t="s">
        <v>1420</v>
      </c>
      <c r="F578" s="527" t="s">
        <v>1163</v>
      </c>
      <c r="G578" s="527" t="s">
        <v>1416</v>
      </c>
      <c r="H578" s="529">
        <v>2</v>
      </c>
      <c r="I578" s="530">
        <f>12*(0.95*2.35)</f>
        <v>26.79</v>
      </c>
      <c r="J578" s="630" t="s">
        <v>1161</v>
      </c>
      <c r="K578" s="531"/>
      <c r="L578" s="532">
        <f t="shared" si="44"/>
        <v>0</v>
      </c>
      <c r="M578" s="532">
        <f t="shared" si="45"/>
        <v>0</v>
      </c>
      <c r="N578" s="532">
        <f t="shared" si="46"/>
        <v>0</v>
      </c>
    </row>
    <row r="579" spans="1:14">
      <c r="A579" s="3" t="s">
        <v>1519</v>
      </c>
      <c r="B579" s="527" t="s">
        <v>1395</v>
      </c>
      <c r="C579" s="134">
        <v>307</v>
      </c>
      <c r="D579" s="535" t="s">
        <v>1394</v>
      </c>
      <c r="E579" s="533" t="s">
        <v>1420</v>
      </c>
      <c r="F579" s="527" t="s">
        <v>1160</v>
      </c>
      <c r="G579" s="527" t="s">
        <v>1421</v>
      </c>
      <c r="H579" s="529">
        <v>2</v>
      </c>
      <c r="I579" s="530">
        <f>12*(0.95*2.35)</f>
        <v>26.79</v>
      </c>
      <c r="J579" s="630" t="s">
        <v>1161</v>
      </c>
      <c r="K579" s="531"/>
      <c r="L579" s="532">
        <f t="shared" si="44"/>
        <v>0</v>
      </c>
      <c r="M579" s="532">
        <f t="shared" si="45"/>
        <v>0</v>
      </c>
      <c r="N579" s="532">
        <f t="shared" si="46"/>
        <v>0</v>
      </c>
    </row>
    <row r="580" spans="1:14">
      <c r="A580" s="3" t="s">
        <v>1519</v>
      </c>
      <c r="B580" s="527" t="s">
        <v>1395</v>
      </c>
      <c r="C580" s="134">
        <v>307</v>
      </c>
      <c r="D580" s="535" t="s">
        <v>1394</v>
      </c>
      <c r="E580" s="533" t="s">
        <v>1458</v>
      </c>
      <c r="F580" s="527" t="s">
        <v>1163</v>
      </c>
      <c r="G580" s="527" t="s">
        <v>1416</v>
      </c>
      <c r="H580" s="529">
        <v>2</v>
      </c>
      <c r="I580" s="530">
        <f>(0.7*1.4)*2</f>
        <v>1.9599999999999997</v>
      </c>
      <c r="J580" s="630" t="s">
        <v>1161</v>
      </c>
      <c r="K580" s="531"/>
      <c r="L580" s="532">
        <f t="shared" si="44"/>
        <v>0</v>
      </c>
      <c r="M580" s="532">
        <f t="shared" si="45"/>
        <v>0</v>
      </c>
      <c r="N580" s="532">
        <f t="shared" si="46"/>
        <v>0</v>
      </c>
    </row>
    <row r="581" spans="1:14">
      <c r="A581" s="3" t="s">
        <v>1519</v>
      </c>
      <c r="B581" s="527" t="s">
        <v>1395</v>
      </c>
      <c r="C581" s="134">
        <v>307</v>
      </c>
      <c r="D581" s="535" t="s">
        <v>1394</v>
      </c>
      <c r="E581" s="533" t="s">
        <v>1458</v>
      </c>
      <c r="F581" s="527" t="s">
        <v>1160</v>
      </c>
      <c r="G581" s="527" t="s">
        <v>1421</v>
      </c>
      <c r="H581" s="529">
        <v>2</v>
      </c>
      <c r="I581" s="530">
        <f>(0.7*1.4)*2</f>
        <v>1.9599999999999997</v>
      </c>
      <c r="J581" s="630" t="s">
        <v>1161</v>
      </c>
      <c r="K581" s="531"/>
      <c r="L581" s="532">
        <f t="shared" si="44"/>
        <v>0</v>
      </c>
      <c r="M581" s="532">
        <f t="shared" si="45"/>
        <v>0</v>
      </c>
      <c r="N581" s="532">
        <f t="shared" si="46"/>
        <v>0</v>
      </c>
    </row>
    <row r="582" spans="1:14">
      <c r="A582" s="3" t="s">
        <v>1519</v>
      </c>
      <c r="B582" s="527" t="s">
        <v>1395</v>
      </c>
      <c r="C582" s="134">
        <v>307</v>
      </c>
      <c r="D582" s="535" t="s">
        <v>1394</v>
      </c>
      <c r="E582" s="533" t="s">
        <v>1459</v>
      </c>
      <c r="F582" s="527" t="s">
        <v>1163</v>
      </c>
      <c r="G582" s="527" t="s">
        <v>1416</v>
      </c>
      <c r="H582" s="529">
        <v>2</v>
      </c>
      <c r="I582" s="530">
        <f>(1.2*4.4)</f>
        <v>5.28</v>
      </c>
      <c r="J582" s="630" t="s">
        <v>1161</v>
      </c>
      <c r="K582" s="531"/>
      <c r="L582" s="532">
        <f t="shared" si="44"/>
        <v>0</v>
      </c>
      <c r="M582" s="532">
        <f t="shared" si="45"/>
        <v>0</v>
      </c>
      <c r="N582" s="532">
        <f t="shared" si="46"/>
        <v>0</v>
      </c>
    </row>
    <row r="583" spans="1:14">
      <c r="A583" s="3" t="s">
        <v>1519</v>
      </c>
      <c r="B583" s="527" t="s">
        <v>1395</v>
      </c>
      <c r="C583" s="134">
        <v>307</v>
      </c>
      <c r="D583" s="535" t="s">
        <v>1394</v>
      </c>
      <c r="E583" s="533" t="s">
        <v>1459</v>
      </c>
      <c r="F583" s="527" t="s">
        <v>1160</v>
      </c>
      <c r="G583" s="527" t="s">
        <v>1421</v>
      </c>
      <c r="H583" s="529">
        <v>2</v>
      </c>
      <c r="I583" s="530">
        <f>(1.2*4.4)*0.5</f>
        <v>2.64</v>
      </c>
      <c r="J583" s="630" t="s">
        <v>1161</v>
      </c>
      <c r="K583" s="531"/>
      <c r="L583" s="532">
        <f t="shared" si="44"/>
        <v>0</v>
      </c>
      <c r="M583" s="532">
        <f t="shared" si="45"/>
        <v>0</v>
      </c>
      <c r="N583" s="532">
        <f t="shared" si="46"/>
        <v>0</v>
      </c>
    </row>
    <row r="584" spans="1:14">
      <c r="A584" s="3" t="s">
        <v>1519</v>
      </c>
      <c r="B584" s="527" t="s">
        <v>1395</v>
      </c>
      <c r="C584" s="134">
        <v>307</v>
      </c>
      <c r="D584" s="535" t="s">
        <v>1394</v>
      </c>
      <c r="E584" s="533" t="s">
        <v>1460</v>
      </c>
      <c r="F584" s="527" t="s">
        <v>1163</v>
      </c>
      <c r="G584" s="527" t="s">
        <v>1416</v>
      </c>
      <c r="H584" s="529">
        <v>2</v>
      </c>
      <c r="I584" s="530">
        <f>(0.85*0.8)+(0.7*0.8)</f>
        <v>1.24</v>
      </c>
      <c r="J584" s="630" t="s">
        <v>1161</v>
      </c>
      <c r="K584" s="531"/>
      <c r="L584" s="532">
        <f t="shared" si="44"/>
        <v>0</v>
      </c>
      <c r="M584" s="532">
        <f t="shared" si="45"/>
        <v>0</v>
      </c>
      <c r="N584" s="532">
        <f t="shared" si="46"/>
        <v>0</v>
      </c>
    </row>
    <row r="585" spans="1:14">
      <c r="A585" s="3" t="s">
        <v>1519</v>
      </c>
      <c r="B585" s="527" t="s">
        <v>1395</v>
      </c>
      <c r="C585" s="134">
        <v>307</v>
      </c>
      <c r="D585" s="535" t="s">
        <v>1394</v>
      </c>
      <c r="E585" s="533" t="s">
        <v>1460</v>
      </c>
      <c r="F585" s="527" t="s">
        <v>1160</v>
      </c>
      <c r="G585" s="527" t="s">
        <v>1421</v>
      </c>
      <c r="H585" s="529">
        <v>2</v>
      </c>
      <c r="I585" s="530">
        <f>(0.85*0.8)+(0.7*0.8)</f>
        <v>1.24</v>
      </c>
      <c r="J585" s="630" t="s">
        <v>1161</v>
      </c>
      <c r="K585" s="531"/>
      <c r="L585" s="532">
        <f t="shared" si="44"/>
        <v>0</v>
      </c>
      <c r="M585" s="532">
        <f t="shared" si="45"/>
        <v>0</v>
      </c>
      <c r="N585" s="532">
        <f t="shared" si="46"/>
        <v>0</v>
      </c>
    </row>
    <row r="586" spans="1:14">
      <c r="A586" s="3" t="s">
        <v>1518</v>
      </c>
      <c r="B586" s="527" t="s">
        <v>1395</v>
      </c>
      <c r="C586" s="134">
        <v>307</v>
      </c>
      <c r="D586" s="535" t="s">
        <v>1394</v>
      </c>
      <c r="E586" s="135"/>
      <c r="F586" s="527" t="s">
        <v>1162</v>
      </c>
      <c r="G586" s="527" t="s">
        <v>1308</v>
      </c>
      <c r="H586" s="529">
        <v>26</v>
      </c>
      <c r="I586" s="530">
        <v>231</v>
      </c>
      <c r="J586" s="630" t="s">
        <v>1161</v>
      </c>
      <c r="K586" s="531" t="s">
        <v>1309</v>
      </c>
      <c r="L586" s="532">
        <f t="shared" si="44"/>
        <v>0</v>
      </c>
      <c r="M586" s="532">
        <f t="shared" si="45"/>
        <v>0</v>
      </c>
      <c r="N586" s="532">
        <f t="shared" si="46"/>
        <v>0</v>
      </c>
    </row>
    <row r="587" spans="1:14">
      <c r="A587" s="3" t="s">
        <v>1520</v>
      </c>
      <c r="B587" s="527" t="s">
        <v>1402</v>
      </c>
      <c r="C587" s="134">
        <v>308</v>
      </c>
      <c r="D587" s="535" t="s">
        <v>1394</v>
      </c>
      <c r="E587" s="533" t="s">
        <v>54</v>
      </c>
      <c r="F587" s="527" t="s">
        <v>1160</v>
      </c>
      <c r="G587" s="527" t="s">
        <v>1434</v>
      </c>
      <c r="H587" s="529">
        <v>2</v>
      </c>
      <c r="I587" s="530">
        <f>15.5*3+12.5*3+3.5*1</f>
        <v>87.5</v>
      </c>
      <c r="J587" s="630" t="s">
        <v>1164</v>
      </c>
      <c r="K587" s="531"/>
      <c r="L587" s="532">
        <f t="shared" si="44"/>
        <v>0</v>
      </c>
      <c r="M587" s="532">
        <f t="shared" si="45"/>
        <v>0</v>
      </c>
      <c r="N587" s="532">
        <f t="shared" si="46"/>
        <v>0</v>
      </c>
    </row>
    <row r="588" spans="1:14">
      <c r="A588" s="3" t="s">
        <v>1520</v>
      </c>
      <c r="B588" s="527" t="s">
        <v>1402</v>
      </c>
      <c r="C588" s="134">
        <v>308</v>
      </c>
      <c r="D588" s="535" t="s">
        <v>1394</v>
      </c>
      <c r="E588" s="533" t="s">
        <v>54</v>
      </c>
      <c r="F588" s="527" t="s">
        <v>1160</v>
      </c>
      <c r="G588" s="527" t="s">
        <v>1436</v>
      </c>
      <c r="H588" s="529">
        <v>2</v>
      </c>
      <c r="I588" s="530">
        <f>15.5*3+12.5*3+3.5*1</f>
        <v>87.5</v>
      </c>
      <c r="J588" s="630" t="s">
        <v>1164</v>
      </c>
      <c r="K588" s="531"/>
      <c r="L588" s="532">
        <f t="shared" si="44"/>
        <v>0</v>
      </c>
      <c r="M588" s="532">
        <f t="shared" si="45"/>
        <v>0</v>
      </c>
      <c r="N588" s="532">
        <f t="shared" si="46"/>
        <v>0</v>
      </c>
    </row>
    <row r="589" spans="1:14">
      <c r="A589" s="3" t="s">
        <v>1520</v>
      </c>
      <c r="B589" s="527" t="s">
        <v>1402</v>
      </c>
      <c r="C589" s="134">
        <v>308</v>
      </c>
      <c r="D589" s="535" t="s">
        <v>1394</v>
      </c>
      <c r="E589" s="533" t="s">
        <v>54</v>
      </c>
      <c r="F589" s="527" t="s">
        <v>1160</v>
      </c>
      <c r="G589" s="527" t="s">
        <v>1437</v>
      </c>
      <c r="H589" s="529">
        <v>2</v>
      </c>
      <c r="I589" s="530">
        <f>2*(6.2*1*2+15.5*1.75)</f>
        <v>79.05</v>
      </c>
      <c r="J589" s="630" t="s">
        <v>1164</v>
      </c>
      <c r="K589" s="531"/>
      <c r="L589" s="532">
        <f t="shared" ref="L589:L652" si="47">IF(J589="ja",0,VLOOKUP(F589,Glassoort2,2,0))*I589</f>
        <v>0</v>
      </c>
      <c r="M589" s="532">
        <f t="shared" ref="M589:M652" si="48">IF(J589="ja",VLOOKUP(F589,Glassoort2,3,0))*I589</f>
        <v>0</v>
      </c>
      <c r="N589" s="532">
        <f t="shared" si="46"/>
        <v>0</v>
      </c>
    </row>
    <row r="590" spans="1:14">
      <c r="A590" s="3" t="s">
        <v>1520</v>
      </c>
      <c r="B590" s="527" t="s">
        <v>1402</v>
      </c>
      <c r="C590" s="134">
        <v>308</v>
      </c>
      <c r="D590" s="535" t="s">
        <v>1394</v>
      </c>
      <c r="E590" s="533" t="s">
        <v>54</v>
      </c>
      <c r="F590" s="527" t="s">
        <v>1160</v>
      </c>
      <c r="G590" s="527" t="s">
        <v>1439</v>
      </c>
      <c r="H590" s="529">
        <v>2</v>
      </c>
      <c r="I590" s="530">
        <f>2*(6.2*1*2+15.5*1.75)</f>
        <v>79.05</v>
      </c>
      <c r="J590" s="630" t="s">
        <v>1164</v>
      </c>
      <c r="K590" s="531"/>
      <c r="L590" s="532">
        <f t="shared" si="47"/>
        <v>0</v>
      </c>
      <c r="M590" s="532">
        <f t="shared" si="48"/>
        <v>0</v>
      </c>
      <c r="N590" s="532">
        <f t="shared" si="46"/>
        <v>0</v>
      </c>
    </row>
    <row r="591" spans="1:14">
      <c r="A591" s="3" t="s">
        <v>1520</v>
      </c>
      <c r="B591" s="527" t="s">
        <v>1402</v>
      </c>
      <c r="C591" s="134">
        <v>308</v>
      </c>
      <c r="D591" s="535" t="s">
        <v>1394</v>
      </c>
      <c r="E591" s="533" t="s">
        <v>64</v>
      </c>
      <c r="F591" s="527" t="s">
        <v>1160</v>
      </c>
      <c r="G591" s="527" t="s">
        <v>1446</v>
      </c>
      <c r="H591" s="529">
        <v>2</v>
      </c>
      <c r="I591" s="530">
        <f>4*4.3</f>
        <v>17.2</v>
      </c>
      <c r="J591" s="630" t="s">
        <v>1164</v>
      </c>
      <c r="K591" s="531"/>
      <c r="L591" s="532">
        <f t="shared" si="47"/>
        <v>0</v>
      </c>
      <c r="M591" s="532">
        <f t="shared" si="48"/>
        <v>0</v>
      </c>
      <c r="N591" s="532">
        <f t="shared" si="46"/>
        <v>0</v>
      </c>
    </row>
    <row r="592" spans="1:14">
      <c r="A592" s="3" t="s">
        <v>1520</v>
      </c>
      <c r="B592" s="527" t="s">
        <v>1402</v>
      </c>
      <c r="C592" s="134">
        <v>308</v>
      </c>
      <c r="D592" s="535" t="s">
        <v>1394</v>
      </c>
      <c r="E592" s="533" t="s">
        <v>64</v>
      </c>
      <c r="F592" s="527" t="s">
        <v>1160</v>
      </c>
      <c r="G592" s="527" t="s">
        <v>1447</v>
      </c>
      <c r="H592" s="529">
        <v>2</v>
      </c>
      <c r="I592" s="530">
        <f>4*4.3</f>
        <v>17.2</v>
      </c>
      <c r="J592" s="630" t="s">
        <v>1164</v>
      </c>
      <c r="K592" s="531"/>
      <c r="L592" s="532">
        <f t="shared" si="47"/>
        <v>0</v>
      </c>
      <c r="M592" s="532">
        <f t="shared" si="48"/>
        <v>0</v>
      </c>
      <c r="N592" s="532">
        <f t="shared" si="46"/>
        <v>0</v>
      </c>
    </row>
    <row r="593" spans="1:14">
      <c r="A593" s="3" t="s">
        <v>1521</v>
      </c>
      <c r="B593" s="527" t="s">
        <v>1402</v>
      </c>
      <c r="C593" s="134">
        <v>308</v>
      </c>
      <c r="D593" s="535" t="s">
        <v>1394</v>
      </c>
      <c r="E593" s="533" t="s">
        <v>54</v>
      </c>
      <c r="F593" s="527" t="s">
        <v>1162</v>
      </c>
      <c r="G593" s="527" t="s">
        <v>1448</v>
      </c>
      <c r="H593" s="529">
        <v>12</v>
      </c>
      <c r="I593" s="530">
        <f>0.7*12*2</f>
        <v>16.799999999999997</v>
      </c>
      <c r="J593" s="630" t="s">
        <v>1161</v>
      </c>
      <c r="K593" s="531"/>
      <c r="L593" s="532">
        <f t="shared" si="47"/>
        <v>0</v>
      </c>
      <c r="M593" s="532">
        <f t="shared" si="48"/>
        <v>0</v>
      </c>
      <c r="N593" s="532">
        <f t="shared" si="46"/>
        <v>0</v>
      </c>
    </row>
    <row r="594" spans="1:14">
      <c r="A594" s="3" t="s">
        <v>1520</v>
      </c>
      <c r="B594" s="527" t="s">
        <v>1402</v>
      </c>
      <c r="C594" s="134">
        <v>308</v>
      </c>
      <c r="D594" s="535" t="s">
        <v>1394</v>
      </c>
      <c r="E594" s="533" t="s">
        <v>1441</v>
      </c>
      <c r="F594" s="527" t="s">
        <v>1172</v>
      </c>
      <c r="G594" s="527" t="s">
        <v>1442</v>
      </c>
      <c r="H594" s="529">
        <v>2</v>
      </c>
      <c r="I594" s="530">
        <f>1.9*4</f>
        <v>7.6</v>
      </c>
      <c r="J594" s="630" t="s">
        <v>1161</v>
      </c>
      <c r="K594" s="531"/>
      <c r="L594" s="532">
        <f t="shared" si="47"/>
        <v>0</v>
      </c>
      <c r="M594" s="532">
        <f t="shared" si="48"/>
        <v>0</v>
      </c>
      <c r="N594" s="532">
        <f t="shared" si="46"/>
        <v>0</v>
      </c>
    </row>
    <row r="595" spans="1:14">
      <c r="A595" s="3" t="s">
        <v>1520</v>
      </c>
      <c r="B595" s="527" t="s">
        <v>1402</v>
      </c>
      <c r="C595" s="134">
        <v>308</v>
      </c>
      <c r="D595" s="535" t="s">
        <v>1394</v>
      </c>
      <c r="E595" s="533" t="s">
        <v>1441</v>
      </c>
      <c r="F595" s="527" t="s">
        <v>1174</v>
      </c>
      <c r="G595" s="527" t="s">
        <v>1442</v>
      </c>
      <c r="H595" s="529">
        <v>2</v>
      </c>
      <c r="I595" s="530">
        <f>1.9*4</f>
        <v>7.6</v>
      </c>
      <c r="J595" s="630" t="s">
        <v>1164</v>
      </c>
      <c r="K595" s="531"/>
      <c r="L595" s="532">
        <f t="shared" si="47"/>
        <v>0</v>
      </c>
      <c r="M595" s="532">
        <f t="shared" si="48"/>
        <v>0</v>
      </c>
      <c r="N595" s="532">
        <f t="shared" si="46"/>
        <v>0</v>
      </c>
    </row>
    <row r="596" spans="1:14">
      <c r="A596" s="3" t="s">
        <v>1520</v>
      </c>
      <c r="B596" s="527" t="s">
        <v>1402</v>
      </c>
      <c r="C596" s="134">
        <v>308</v>
      </c>
      <c r="D596" s="535" t="s">
        <v>1394</v>
      </c>
      <c r="E596" s="533" t="s">
        <v>1441</v>
      </c>
      <c r="F596" s="527" t="s">
        <v>1172</v>
      </c>
      <c r="G596" s="527" t="s">
        <v>1449</v>
      </c>
      <c r="H596" s="529">
        <v>2</v>
      </c>
      <c r="I596" s="530">
        <f>3*3</f>
        <v>9</v>
      </c>
      <c r="J596" s="630" t="s">
        <v>1161</v>
      </c>
      <c r="K596" s="531"/>
      <c r="L596" s="532">
        <f t="shared" si="47"/>
        <v>0</v>
      </c>
      <c r="M596" s="532">
        <f t="shared" si="48"/>
        <v>0</v>
      </c>
      <c r="N596" s="532">
        <f t="shared" si="46"/>
        <v>0</v>
      </c>
    </row>
    <row r="597" spans="1:14">
      <c r="A597" s="3" t="s">
        <v>1520</v>
      </c>
      <c r="B597" s="527" t="s">
        <v>1402</v>
      </c>
      <c r="C597" s="134">
        <v>308</v>
      </c>
      <c r="D597" s="535" t="s">
        <v>1394</v>
      </c>
      <c r="E597" s="533" t="s">
        <v>1441</v>
      </c>
      <c r="F597" s="527" t="s">
        <v>1174</v>
      </c>
      <c r="G597" s="527" t="s">
        <v>1449</v>
      </c>
      <c r="H597" s="529">
        <v>2</v>
      </c>
      <c r="I597" s="530">
        <f>3*3</f>
        <v>9</v>
      </c>
      <c r="J597" s="630" t="s">
        <v>1164</v>
      </c>
      <c r="K597" s="531"/>
      <c r="L597" s="532">
        <f t="shared" si="47"/>
        <v>0</v>
      </c>
      <c r="M597" s="532">
        <f t="shared" si="48"/>
        <v>0</v>
      </c>
      <c r="N597" s="532">
        <f t="shared" si="46"/>
        <v>0</v>
      </c>
    </row>
    <row r="598" spans="1:14">
      <c r="A598" s="3" t="s">
        <v>1520</v>
      </c>
      <c r="B598" s="527" t="s">
        <v>1402</v>
      </c>
      <c r="C598" s="134">
        <v>308</v>
      </c>
      <c r="D598" s="535" t="s">
        <v>1394</v>
      </c>
      <c r="E598" s="533" t="s">
        <v>1441</v>
      </c>
      <c r="F598" s="527" t="s">
        <v>1172</v>
      </c>
      <c r="G598" s="527" t="s">
        <v>1444</v>
      </c>
      <c r="H598" s="529">
        <v>2</v>
      </c>
      <c r="I598" s="530">
        <f>2*9.75</f>
        <v>19.5</v>
      </c>
      <c r="J598" s="630" t="s">
        <v>1161</v>
      </c>
      <c r="K598" s="531"/>
      <c r="L598" s="532">
        <f t="shared" si="47"/>
        <v>0</v>
      </c>
      <c r="M598" s="532">
        <f t="shared" si="48"/>
        <v>0</v>
      </c>
      <c r="N598" s="532">
        <f t="shared" si="46"/>
        <v>0</v>
      </c>
    </row>
    <row r="599" spans="1:14">
      <c r="A599" s="3" t="s">
        <v>1520</v>
      </c>
      <c r="B599" s="527" t="s">
        <v>1402</v>
      </c>
      <c r="C599" s="134">
        <v>308</v>
      </c>
      <c r="D599" s="535" t="s">
        <v>1394</v>
      </c>
      <c r="E599" s="533" t="s">
        <v>1441</v>
      </c>
      <c r="F599" s="527" t="s">
        <v>1174</v>
      </c>
      <c r="G599" s="527" t="s">
        <v>1444</v>
      </c>
      <c r="H599" s="529">
        <v>2</v>
      </c>
      <c r="I599" s="530">
        <f>2*9.75</f>
        <v>19.5</v>
      </c>
      <c r="J599" s="630" t="s">
        <v>1164</v>
      </c>
      <c r="K599" s="531"/>
      <c r="L599" s="532">
        <f t="shared" si="47"/>
        <v>0</v>
      </c>
      <c r="M599" s="532">
        <f t="shared" si="48"/>
        <v>0</v>
      </c>
      <c r="N599" s="532">
        <f t="shared" si="46"/>
        <v>0</v>
      </c>
    </row>
    <row r="600" spans="1:14">
      <c r="A600" s="3" t="s">
        <v>1520</v>
      </c>
      <c r="B600" s="527" t="s">
        <v>1402</v>
      </c>
      <c r="C600" s="134">
        <v>308</v>
      </c>
      <c r="D600" s="535" t="s">
        <v>1394</v>
      </c>
      <c r="E600" s="533" t="s">
        <v>1441</v>
      </c>
      <c r="F600" s="527" t="s">
        <v>1172</v>
      </c>
      <c r="G600" s="527" t="s">
        <v>1445</v>
      </c>
      <c r="H600" s="529">
        <v>2</v>
      </c>
      <c r="I600" s="530">
        <f>3*9.75</f>
        <v>29.25</v>
      </c>
      <c r="J600" s="630" t="s">
        <v>1161</v>
      </c>
      <c r="K600" s="531"/>
      <c r="L600" s="532">
        <f t="shared" si="47"/>
        <v>0</v>
      </c>
      <c r="M600" s="532">
        <f t="shared" si="48"/>
        <v>0</v>
      </c>
      <c r="N600" s="532">
        <f t="shared" ref="N600:N663" si="49">(M600*H600)+(L600*H600)</f>
        <v>0</v>
      </c>
    </row>
    <row r="601" spans="1:14">
      <c r="A601" s="3" t="s">
        <v>1520</v>
      </c>
      <c r="B601" s="527" t="s">
        <v>1402</v>
      </c>
      <c r="C601" s="134">
        <v>308</v>
      </c>
      <c r="D601" s="535" t="s">
        <v>1394</v>
      </c>
      <c r="E601" s="533" t="s">
        <v>1441</v>
      </c>
      <c r="F601" s="527" t="s">
        <v>1174</v>
      </c>
      <c r="G601" s="527" t="s">
        <v>1445</v>
      </c>
      <c r="H601" s="529">
        <v>2</v>
      </c>
      <c r="I601" s="530">
        <f>3*9.75</f>
        <v>29.25</v>
      </c>
      <c r="J601" s="630" t="s">
        <v>1164</v>
      </c>
      <c r="K601" s="531"/>
      <c r="L601" s="532">
        <f t="shared" si="47"/>
        <v>0</v>
      </c>
      <c r="M601" s="532">
        <f t="shared" si="48"/>
        <v>0</v>
      </c>
      <c r="N601" s="532">
        <f t="shared" si="49"/>
        <v>0</v>
      </c>
    </row>
    <row r="602" spans="1:14">
      <c r="A602" s="3" t="s">
        <v>1520</v>
      </c>
      <c r="B602" s="527" t="s">
        <v>1402</v>
      </c>
      <c r="C602" s="134">
        <v>308</v>
      </c>
      <c r="D602" s="535" t="s">
        <v>1394</v>
      </c>
      <c r="E602" s="533" t="s">
        <v>228</v>
      </c>
      <c r="F602" s="527" t="s">
        <v>1163</v>
      </c>
      <c r="G602" s="527" t="s">
        <v>1416</v>
      </c>
      <c r="H602" s="529">
        <v>2</v>
      </c>
      <c r="I602" s="530">
        <f>((1*1)*3)+(0.9*1)</f>
        <v>3.9</v>
      </c>
      <c r="J602" s="630" t="s">
        <v>1164</v>
      </c>
      <c r="K602" s="531"/>
      <c r="L602" s="532">
        <f t="shared" si="47"/>
        <v>0</v>
      </c>
      <c r="M602" s="532">
        <f t="shared" si="48"/>
        <v>0</v>
      </c>
      <c r="N602" s="532">
        <f t="shared" si="49"/>
        <v>0</v>
      </c>
    </row>
    <row r="603" spans="1:14">
      <c r="A603" s="3" t="s">
        <v>1520</v>
      </c>
      <c r="B603" s="527" t="s">
        <v>1402</v>
      </c>
      <c r="C603" s="134">
        <v>308</v>
      </c>
      <c r="D603" s="535" t="s">
        <v>1394</v>
      </c>
      <c r="E603" s="533" t="s">
        <v>228</v>
      </c>
      <c r="F603" s="527" t="s">
        <v>1160</v>
      </c>
      <c r="G603" s="527" t="s">
        <v>1421</v>
      </c>
      <c r="H603" s="529">
        <v>2</v>
      </c>
      <c r="I603" s="530">
        <f>((1*1)*3)+(0.9*1)</f>
        <v>3.9</v>
      </c>
      <c r="J603" s="630" t="s">
        <v>1164</v>
      </c>
      <c r="K603" s="531"/>
      <c r="L603" s="532">
        <f t="shared" si="47"/>
        <v>0</v>
      </c>
      <c r="M603" s="532">
        <f t="shared" si="48"/>
        <v>0</v>
      </c>
      <c r="N603" s="532">
        <f t="shared" si="49"/>
        <v>0</v>
      </c>
    </row>
    <row r="604" spans="1:14">
      <c r="A604" s="3" t="s">
        <v>1521</v>
      </c>
      <c r="B604" s="527" t="s">
        <v>1402</v>
      </c>
      <c r="C604" s="134">
        <v>308</v>
      </c>
      <c r="D604" s="535" t="s">
        <v>1394</v>
      </c>
      <c r="E604" s="135"/>
      <c r="F604" s="527" t="s">
        <v>1162</v>
      </c>
      <c r="G604" s="527" t="s">
        <v>1308</v>
      </c>
      <c r="H604" s="529">
        <v>26</v>
      </c>
      <c r="I604" s="530">
        <v>86</v>
      </c>
      <c r="J604" s="630" t="s">
        <v>1161</v>
      </c>
      <c r="K604" s="531" t="s">
        <v>1309</v>
      </c>
      <c r="L604" s="532">
        <f t="shared" si="47"/>
        <v>0</v>
      </c>
      <c r="M604" s="532">
        <f t="shared" si="48"/>
        <v>0</v>
      </c>
      <c r="N604" s="532">
        <f t="shared" si="49"/>
        <v>0</v>
      </c>
    </row>
    <row r="605" spans="1:14">
      <c r="A605" s="3" t="s">
        <v>1522</v>
      </c>
      <c r="B605" s="527" t="s">
        <v>1461</v>
      </c>
      <c r="C605" s="134">
        <v>309</v>
      </c>
      <c r="D605" s="535" t="s">
        <v>1394</v>
      </c>
      <c r="E605" s="533" t="s">
        <v>54</v>
      </c>
      <c r="F605" s="527" t="s">
        <v>1160</v>
      </c>
      <c r="G605" s="527" t="s">
        <v>1434</v>
      </c>
      <c r="H605" s="529">
        <v>2</v>
      </c>
      <c r="I605" s="530">
        <f>15.5*3+12.5*3+3.5*1</f>
        <v>87.5</v>
      </c>
      <c r="J605" s="630" t="s">
        <v>1164</v>
      </c>
      <c r="K605" s="531"/>
      <c r="L605" s="532">
        <f t="shared" si="47"/>
        <v>0</v>
      </c>
      <c r="M605" s="532">
        <f t="shared" si="48"/>
        <v>0</v>
      </c>
      <c r="N605" s="532">
        <f t="shared" si="49"/>
        <v>0</v>
      </c>
    </row>
    <row r="606" spans="1:14">
      <c r="A606" s="3" t="s">
        <v>1522</v>
      </c>
      <c r="B606" s="527" t="s">
        <v>1461</v>
      </c>
      <c r="C606" s="134">
        <v>309</v>
      </c>
      <c r="D606" s="535" t="s">
        <v>1394</v>
      </c>
      <c r="E606" s="533" t="s">
        <v>54</v>
      </c>
      <c r="F606" s="527" t="s">
        <v>1160</v>
      </c>
      <c r="G606" s="527" t="s">
        <v>1436</v>
      </c>
      <c r="H606" s="529">
        <v>2</v>
      </c>
      <c r="I606" s="530">
        <f>15.5*3+12.5*3+3.5*1</f>
        <v>87.5</v>
      </c>
      <c r="J606" s="630" t="s">
        <v>1164</v>
      </c>
      <c r="K606" s="531"/>
      <c r="L606" s="532">
        <f t="shared" si="47"/>
        <v>0</v>
      </c>
      <c r="M606" s="532">
        <f t="shared" si="48"/>
        <v>0</v>
      </c>
      <c r="N606" s="532">
        <f t="shared" si="49"/>
        <v>0</v>
      </c>
    </row>
    <row r="607" spans="1:14">
      <c r="A607" s="3" t="s">
        <v>1522</v>
      </c>
      <c r="B607" s="527" t="s">
        <v>1461</v>
      </c>
      <c r="C607" s="134">
        <v>309</v>
      </c>
      <c r="D607" s="535" t="s">
        <v>1394</v>
      </c>
      <c r="E607" s="533" t="s">
        <v>54</v>
      </c>
      <c r="F607" s="527" t="s">
        <v>1160</v>
      </c>
      <c r="G607" s="527" t="s">
        <v>1437</v>
      </c>
      <c r="H607" s="529">
        <v>2</v>
      </c>
      <c r="I607" s="530">
        <f>2*(6.2*1*2+15.5*1.75)</f>
        <v>79.05</v>
      </c>
      <c r="J607" s="630" t="s">
        <v>1164</v>
      </c>
      <c r="K607" s="531"/>
      <c r="L607" s="532">
        <f t="shared" si="47"/>
        <v>0</v>
      </c>
      <c r="M607" s="532">
        <f t="shared" si="48"/>
        <v>0</v>
      </c>
      <c r="N607" s="532">
        <f t="shared" si="49"/>
        <v>0</v>
      </c>
    </row>
    <row r="608" spans="1:14">
      <c r="A608" s="3" t="s">
        <v>1522</v>
      </c>
      <c r="B608" s="527" t="s">
        <v>1461</v>
      </c>
      <c r="C608" s="134">
        <v>309</v>
      </c>
      <c r="D608" s="535" t="s">
        <v>1394</v>
      </c>
      <c r="E608" s="533" t="s">
        <v>54</v>
      </c>
      <c r="F608" s="527" t="s">
        <v>1160</v>
      </c>
      <c r="G608" s="527" t="s">
        <v>1439</v>
      </c>
      <c r="H608" s="529">
        <v>2</v>
      </c>
      <c r="I608" s="530">
        <f>2*(6.2*1*2+15.5*1.75)</f>
        <v>79.05</v>
      </c>
      <c r="J608" s="630" t="s">
        <v>1164</v>
      </c>
      <c r="K608" s="531"/>
      <c r="L608" s="532">
        <f t="shared" si="47"/>
        <v>0</v>
      </c>
      <c r="M608" s="532">
        <f t="shared" si="48"/>
        <v>0</v>
      </c>
      <c r="N608" s="532">
        <f t="shared" si="49"/>
        <v>0</v>
      </c>
    </row>
    <row r="609" spans="1:14">
      <c r="A609" s="3" t="s">
        <v>1522</v>
      </c>
      <c r="B609" s="527" t="s">
        <v>1461</v>
      </c>
      <c r="C609" s="134">
        <v>309</v>
      </c>
      <c r="D609" s="535" t="s">
        <v>1394</v>
      </c>
      <c r="E609" s="533" t="s">
        <v>64</v>
      </c>
      <c r="F609" s="527" t="s">
        <v>1160</v>
      </c>
      <c r="G609" s="527" t="s">
        <v>1446</v>
      </c>
      <c r="H609" s="529">
        <v>2</v>
      </c>
      <c r="I609" s="530">
        <f>4*4.3</f>
        <v>17.2</v>
      </c>
      <c r="J609" s="630" t="s">
        <v>1164</v>
      </c>
      <c r="K609" s="531"/>
      <c r="L609" s="532">
        <f t="shared" si="47"/>
        <v>0</v>
      </c>
      <c r="M609" s="532">
        <f t="shared" si="48"/>
        <v>0</v>
      </c>
      <c r="N609" s="532">
        <f t="shared" si="49"/>
        <v>0</v>
      </c>
    </row>
    <row r="610" spans="1:14">
      <c r="A610" s="3" t="s">
        <v>1522</v>
      </c>
      <c r="B610" s="527" t="s">
        <v>1461</v>
      </c>
      <c r="C610" s="134">
        <v>309</v>
      </c>
      <c r="D610" s="535" t="s">
        <v>1394</v>
      </c>
      <c r="E610" s="533" t="s">
        <v>64</v>
      </c>
      <c r="F610" s="527" t="s">
        <v>1160</v>
      </c>
      <c r="G610" s="527" t="s">
        <v>1447</v>
      </c>
      <c r="H610" s="529">
        <v>2</v>
      </c>
      <c r="I610" s="530">
        <f>4*4.3</f>
        <v>17.2</v>
      </c>
      <c r="J610" s="630" t="s">
        <v>1164</v>
      </c>
      <c r="K610" s="531"/>
      <c r="L610" s="532">
        <f t="shared" si="47"/>
        <v>0</v>
      </c>
      <c r="M610" s="532">
        <f t="shared" si="48"/>
        <v>0</v>
      </c>
      <c r="N610" s="532">
        <f t="shared" si="49"/>
        <v>0</v>
      </c>
    </row>
    <row r="611" spans="1:14">
      <c r="A611" s="3" t="s">
        <v>1523</v>
      </c>
      <c r="B611" s="527" t="s">
        <v>1461</v>
      </c>
      <c r="C611" s="134">
        <v>309</v>
      </c>
      <c r="D611" s="535" t="s">
        <v>1394</v>
      </c>
      <c r="E611" s="533" t="s">
        <v>54</v>
      </c>
      <c r="F611" s="527" t="s">
        <v>1162</v>
      </c>
      <c r="G611" s="527" t="s">
        <v>1448</v>
      </c>
      <c r="H611" s="529">
        <v>12</v>
      </c>
      <c r="I611" s="530">
        <f>0.7*12*2</f>
        <v>16.799999999999997</v>
      </c>
      <c r="J611" s="630" t="s">
        <v>1161</v>
      </c>
      <c r="K611" s="531"/>
      <c r="L611" s="532">
        <f t="shared" si="47"/>
        <v>0</v>
      </c>
      <c r="M611" s="532">
        <f t="shared" si="48"/>
        <v>0</v>
      </c>
      <c r="N611" s="532">
        <f t="shared" si="49"/>
        <v>0</v>
      </c>
    </row>
    <row r="612" spans="1:14">
      <c r="A612" s="3" t="s">
        <v>1522</v>
      </c>
      <c r="B612" s="527" t="s">
        <v>1461</v>
      </c>
      <c r="C612" s="134">
        <v>309</v>
      </c>
      <c r="D612" s="535" t="s">
        <v>1394</v>
      </c>
      <c r="E612" s="533" t="s">
        <v>1441</v>
      </c>
      <c r="F612" s="527" t="s">
        <v>1172</v>
      </c>
      <c r="G612" s="527" t="s">
        <v>1442</v>
      </c>
      <c r="H612" s="529">
        <v>2</v>
      </c>
      <c r="I612" s="530">
        <f>1.9*4</f>
        <v>7.6</v>
      </c>
      <c r="J612" s="630" t="s">
        <v>1161</v>
      </c>
      <c r="K612" s="531"/>
      <c r="L612" s="532">
        <f t="shared" si="47"/>
        <v>0</v>
      </c>
      <c r="M612" s="532">
        <f t="shared" si="48"/>
        <v>0</v>
      </c>
      <c r="N612" s="532">
        <f t="shared" si="49"/>
        <v>0</v>
      </c>
    </row>
    <row r="613" spans="1:14">
      <c r="A613" s="3" t="s">
        <v>1522</v>
      </c>
      <c r="B613" s="527" t="s">
        <v>1461</v>
      </c>
      <c r="C613" s="134">
        <v>309</v>
      </c>
      <c r="D613" s="535" t="s">
        <v>1394</v>
      </c>
      <c r="E613" s="533" t="s">
        <v>1441</v>
      </c>
      <c r="F613" s="527" t="s">
        <v>1174</v>
      </c>
      <c r="G613" s="527" t="s">
        <v>1442</v>
      </c>
      <c r="H613" s="529">
        <v>2</v>
      </c>
      <c r="I613" s="530">
        <f>1.9*4</f>
        <v>7.6</v>
      </c>
      <c r="J613" s="630" t="s">
        <v>1164</v>
      </c>
      <c r="K613" s="531"/>
      <c r="L613" s="532">
        <f t="shared" si="47"/>
        <v>0</v>
      </c>
      <c r="M613" s="532">
        <f t="shared" si="48"/>
        <v>0</v>
      </c>
      <c r="N613" s="532">
        <f t="shared" si="49"/>
        <v>0</v>
      </c>
    </row>
    <row r="614" spans="1:14">
      <c r="A614" s="3" t="s">
        <v>1522</v>
      </c>
      <c r="B614" s="527" t="s">
        <v>1461</v>
      </c>
      <c r="C614" s="134">
        <v>309</v>
      </c>
      <c r="D614" s="535" t="s">
        <v>1394</v>
      </c>
      <c r="E614" s="533" t="s">
        <v>1441</v>
      </c>
      <c r="F614" s="527" t="s">
        <v>1172</v>
      </c>
      <c r="G614" s="527" t="s">
        <v>1449</v>
      </c>
      <c r="H614" s="529">
        <v>2</v>
      </c>
      <c r="I614" s="530">
        <f>3*3</f>
        <v>9</v>
      </c>
      <c r="J614" s="630" t="s">
        <v>1161</v>
      </c>
      <c r="K614" s="531"/>
      <c r="L614" s="532">
        <f t="shared" si="47"/>
        <v>0</v>
      </c>
      <c r="M614" s="532">
        <f t="shared" si="48"/>
        <v>0</v>
      </c>
      <c r="N614" s="532">
        <f t="shared" si="49"/>
        <v>0</v>
      </c>
    </row>
    <row r="615" spans="1:14">
      <c r="A615" s="3" t="s">
        <v>1522</v>
      </c>
      <c r="B615" s="527" t="s">
        <v>1461</v>
      </c>
      <c r="C615" s="134">
        <v>309</v>
      </c>
      <c r="D615" s="535" t="s">
        <v>1394</v>
      </c>
      <c r="E615" s="533" t="s">
        <v>1441</v>
      </c>
      <c r="F615" s="527" t="s">
        <v>1174</v>
      </c>
      <c r="G615" s="527" t="s">
        <v>1449</v>
      </c>
      <c r="H615" s="529">
        <v>2</v>
      </c>
      <c r="I615" s="530">
        <f>3*3</f>
        <v>9</v>
      </c>
      <c r="J615" s="630" t="s">
        <v>1164</v>
      </c>
      <c r="K615" s="531"/>
      <c r="L615" s="532">
        <f t="shared" si="47"/>
        <v>0</v>
      </c>
      <c r="M615" s="532">
        <f t="shared" si="48"/>
        <v>0</v>
      </c>
      <c r="N615" s="532">
        <f t="shared" si="49"/>
        <v>0</v>
      </c>
    </row>
    <row r="616" spans="1:14">
      <c r="A616" s="3" t="s">
        <v>1522</v>
      </c>
      <c r="B616" s="527" t="s">
        <v>1461</v>
      </c>
      <c r="C616" s="134">
        <v>309</v>
      </c>
      <c r="D616" s="535" t="s">
        <v>1394</v>
      </c>
      <c r="E616" s="533" t="s">
        <v>1441</v>
      </c>
      <c r="F616" s="527" t="s">
        <v>1172</v>
      </c>
      <c r="G616" s="527" t="s">
        <v>1444</v>
      </c>
      <c r="H616" s="529">
        <v>2</v>
      </c>
      <c r="I616" s="530">
        <f>2*9.75</f>
        <v>19.5</v>
      </c>
      <c r="J616" s="630" t="s">
        <v>1161</v>
      </c>
      <c r="K616" s="531"/>
      <c r="L616" s="532">
        <f t="shared" si="47"/>
        <v>0</v>
      </c>
      <c r="M616" s="532">
        <f t="shared" si="48"/>
        <v>0</v>
      </c>
      <c r="N616" s="532">
        <f t="shared" si="49"/>
        <v>0</v>
      </c>
    </row>
    <row r="617" spans="1:14">
      <c r="A617" s="3" t="s">
        <v>1522</v>
      </c>
      <c r="B617" s="527" t="s">
        <v>1461</v>
      </c>
      <c r="C617" s="134">
        <v>309</v>
      </c>
      <c r="D617" s="535" t="s">
        <v>1394</v>
      </c>
      <c r="E617" s="533" t="s">
        <v>1441</v>
      </c>
      <c r="F617" s="527" t="s">
        <v>1174</v>
      </c>
      <c r="G617" s="527" t="s">
        <v>1444</v>
      </c>
      <c r="H617" s="529">
        <v>2</v>
      </c>
      <c r="I617" s="530">
        <f>2*9.75</f>
        <v>19.5</v>
      </c>
      <c r="J617" s="630" t="s">
        <v>1164</v>
      </c>
      <c r="K617" s="531"/>
      <c r="L617" s="532">
        <f t="shared" si="47"/>
        <v>0</v>
      </c>
      <c r="M617" s="532">
        <f t="shared" si="48"/>
        <v>0</v>
      </c>
      <c r="N617" s="532">
        <f t="shared" si="49"/>
        <v>0</v>
      </c>
    </row>
    <row r="618" spans="1:14">
      <c r="A618" s="3" t="s">
        <v>1522</v>
      </c>
      <c r="B618" s="527" t="s">
        <v>1461</v>
      </c>
      <c r="C618" s="134">
        <v>309</v>
      </c>
      <c r="D618" s="535" t="s">
        <v>1394</v>
      </c>
      <c r="E618" s="533" t="s">
        <v>1441</v>
      </c>
      <c r="F618" s="527" t="s">
        <v>1172</v>
      </c>
      <c r="G618" s="527" t="s">
        <v>1445</v>
      </c>
      <c r="H618" s="529">
        <v>2</v>
      </c>
      <c r="I618" s="530">
        <f>3*9.75</f>
        <v>29.25</v>
      </c>
      <c r="J618" s="630" t="s">
        <v>1161</v>
      </c>
      <c r="K618" s="531"/>
      <c r="L618" s="532">
        <f t="shared" si="47"/>
        <v>0</v>
      </c>
      <c r="M618" s="532">
        <f t="shared" si="48"/>
        <v>0</v>
      </c>
      <c r="N618" s="532">
        <f t="shared" si="49"/>
        <v>0</v>
      </c>
    </row>
    <row r="619" spans="1:14">
      <c r="A619" s="3" t="s">
        <v>1522</v>
      </c>
      <c r="B619" s="527" t="s">
        <v>1461</v>
      </c>
      <c r="C619" s="134">
        <v>309</v>
      </c>
      <c r="D619" s="535" t="s">
        <v>1394</v>
      </c>
      <c r="E619" s="533" t="s">
        <v>1441</v>
      </c>
      <c r="F619" s="527" t="s">
        <v>1174</v>
      </c>
      <c r="G619" s="527" t="s">
        <v>1445</v>
      </c>
      <c r="H619" s="529">
        <v>2</v>
      </c>
      <c r="I619" s="530">
        <f>3*9.75</f>
        <v>29.25</v>
      </c>
      <c r="J619" s="630" t="s">
        <v>1164</v>
      </c>
      <c r="K619" s="531"/>
      <c r="L619" s="532">
        <f t="shared" si="47"/>
        <v>0</v>
      </c>
      <c r="M619" s="532">
        <f t="shared" si="48"/>
        <v>0</v>
      </c>
      <c r="N619" s="532">
        <f t="shared" si="49"/>
        <v>0</v>
      </c>
    </row>
    <row r="620" spans="1:14">
      <c r="A620" s="3" t="s">
        <v>1522</v>
      </c>
      <c r="B620" s="527" t="s">
        <v>1461</v>
      </c>
      <c r="C620" s="134">
        <v>309</v>
      </c>
      <c r="D620" s="535" t="s">
        <v>1394</v>
      </c>
      <c r="E620" s="533" t="s">
        <v>228</v>
      </c>
      <c r="F620" s="527" t="s">
        <v>1163</v>
      </c>
      <c r="G620" s="527" t="s">
        <v>1416</v>
      </c>
      <c r="H620" s="529">
        <v>2</v>
      </c>
      <c r="I620" s="530">
        <f>((1*1)*3)+(0.9*1)</f>
        <v>3.9</v>
      </c>
      <c r="J620" s="630" t="s">
        <v>1161</v>
      </c>
      <c r="K620" s="531"/>
      <c r="L620" s="532">
        <f t="shared" si="47"/>
        <v>0</v>
      </c>
      <c r="M620" s="532">
        <f t="shared" si="48"/>
        <v>0</v>
      </c>
      <c r="N620" s="532">
        <f t="shared" si="49"/>
        <v>0</v>
      </c>
    </row>
    <row r="621" spans="1:14">
      <c r="A621" s="3" t="s">
        <v>1522</v>
      </c>
      <c r="B621" s="527" t="s">
        <v>1461</v>
      </c>
      <c r="C621" s="134">
        <v>309</v>
      </c>
      <c r="D621" s="535" t="s">
        <v>1394</v>
      </c>
      <c r="E621" s="533" t="s">
        <v>228</v>
      </c>
      <c r="F621" s="527" t="s">
        <v>1160</v>
      </c>
      <c r="G621" s="527" t="s">
        <v>1421</v>
      </c>
      <c r="H621" s="529">
        <v>2</v>
      </c>
      <c r="I621" s="530">
        <f>((1*1)*3)+(0.9*1)</f>
        <v>3.9</v>
      </c>
      <c r="J621" s="630" t="s">
        <v>1164</v>
      </c>
      <c r="K621" s="531"/>
      <c r="L621" s="532">
        <f t="shared" si="47"/>
        <v>0</v>
      </c>
      <c r="M621" s="532">
        <f t="shared" si="48"/>
        <v>0</v>
      </c>
      <c r="N621" s="532">
        <f t="shared" si="49"/>
        <v>0</v>
      </c>
    </row>
    <row r="622" spans="1:14">
      <c r="A622" s="3" t="s">
        <v>1523</v>
      </c>
      <c r="B622" s="527" t="s">
        <v>1461</v>
      </c>
      <c r="C622" s="134">
        <v>309</v>
      </c>
      <c r="D622" s="535" t="s">
        <v>1394</v>
      </c>
      <c r="E622" s="135"/>
      <c r="F622" s="527" t="s">
        <v>1162</v>
      </c>
      <c r="G622" s="527" t="s">
        <v>1308</v>
      </c>
      <c r="H622" s="529">
        <v>26</v>
      </c>
      <c r="I622" s="530">
        <v>97</v>
      </c>
      <c r="J622" s="630" t="s">
        <v>1161</v>
      </c>
      <c r="K622" s="531" t="s">
        <v>1309</v>
      </c>
      <c r="L622" s="532">
        <f t="shared" si="47"/>
        <v>0</v>
      </c>
      <c r="M622" s="532">
        <f t="shared" si="48"/>
        <v>0</v>
      </c>
      <c r="N622" s="532">
        <f t="shared" si="49"/>
        <v>0</v>
      </c>
    </row>
    <row r="623" spans="1:14">
      <c r="A623" s="3" t="s">
        <v>1524</v>
      </c>
      <c r="B623" s="527" t="s">
        <v>1399</v>
      </c>
      <c r="C623" s="134">
        <v>310</v>
      </c>
      <c r="D623" s="535" t="s">
        <v>1394</v>
      </c>
      <c r="E623" s="533" t="s">
        <v>54</v>
      </c>
      <c r="F623" s="527" t="s">
        <v>1160</v>
      </c>
      <c r="G623" s="527" t="s">
        <v>1434</v>
      </c>
      <c r="H623" s="529">
        <v>2</v>
      </c>
      <c r="I623" s="530">
        <f>15.5*3+12.5*3+3.5*1</f>
        <v>87.5</v>
      </c>
      <c r="J623" s="630" t="s">
        <v>1164</v>
      </c>
      <c r="K623" s="531"/>
      <c r="L623" s="532">
        <f t="shared" si="47"/>
        <v>0</v>
      </c>
      <c r="M623" s="532">
        <f t="shared" si="48"/>
        <v>0</v>
      </c>
      <c r="N623" s="532">
        <f t="shared" si="49"/>
        <v>0</v>
      </c>
    </row>
    <row r="624" spans="1:14">
      <c r="A624" s="3" t="s">
        <v>1524</v>
      </c>
      <c r="B624" s="527" t="s">
        <v>1399</v>
      </c>
      <c r="C624" s="134">
        <v>310</v>
      </c>
      <c r="D624" s="535" t="s">
        <v>1394</v>
      </c>
      <c r="E624" s="533" t="s">
        <v>54</v>
      </c>
      <c r="F624" s="527" t="s">
        <v>1160</v>
      </c>
      <c r="G624" s="527" t="s">
        <v>1436</v>
      </c>
      <c r="H624" s="529">
        <v>2</v>
      </c>
      <c r="I624" s="530">
        <f>15.5*3+12.5*3+3.5*1</f>
        <v>87.5</v>
      </c>
      <c r="J624" s="630" t="s">
        <v>1164</v>
      </c>
      <c r="K624" s="531"/>
      <c r="L624" s="532">
        <f t="shared" si="47"/>
        <v>0</v>
      </c>
      <c r="M624" s="532">
        <f t="shared" si="48"/>
        <v>0</v>
      </c>
      <c r="N624" s="532">
        <f t="shared" si="49"/>
        <v>0</v>
      </c>
    </row>
    <row r="625" spans="1:14">
      <c r="A625" s="3" t="s">
        <v>1524</v>
      </c>
      <c r="B625" s="527" t="s">
        <v>1399</v>
      </c>
      <c r="C625" s="134">
        <v>310</v>
      </c>
      <c r="D625" s="535" t="s">
        <v>1394</v>
      </c>
      <c r="E625" s="533" t="s">
        <v>54</v>
      </c>
      <c r="F625" s="527" t="s">
        <v>1160</v>
      </c>
      <c r="G625" s="527" t="s">
        <v>1437</v>
      </c>
      <c r="H625" s="529">
        <v>2</v>
      </c>
      <c r="I625" s="530">
        <f>2*(6.2*1*2+15.5*1.75)</f>
        <v>79.05</v>
      </c>
      <c r="J625" s="630" t="s">
        <v>1164</v>
      </c>
      <c r="K625" s="531"/>
      <c r="L625" s="532">
        <f t="shared" si="47"/>
        <v>0</v>
      </c>
      <c r="M625" s="532">
        <f t="shared" si="48"/>
        <v>0</v>
      </c>
      <c r="N625" s="532">
        <f t="shared" si="49"/>
        <v>0</v>
      </c>
    </row>
    <row r="626" spans="1:14">
      <c r="A626" s="3" t="s">
        <v>1524</v>
      </c>
      <c r="B626" s="527" t="s">
        <v>1399</v>
      </c>
      <c r="C626" s="134">
        <v>310</v>
      </c>
      <c r="D626" s="535" t="s">
        <v>1394</v>
      </c>
      <c r="E626" s="533" t="s">
        <v>54</v>
      </c>
      <c r="F626" s="527" t="s">
        <v>1160</v>
      </c>
      <c r="G626" s="527" t="s">
        <v>1439</v>
      </c>
      <c r="H626" s="529">
        <v>2</v>
      </c>
      <c r="I626" s="530">
        <f>2*(6.2*1*2+15.5*1.75)</f>
        <v>79.05</v>
      </c>
      <c r="J626" s="630" t="s">
        <v>1164</v>
      </c>
      <c r="K626" s="531"/>
      <c r="L626" s="532">
        <f t="shared" si="47"/>
        <v>0</v>
      </c>
      <c r="M626" s="532">
        <f t="shared" si="48"/>
        <v>0</v>
      </c>
      <c r="N626" s="532">
        <f t="shared" si="49"/>
        <v>0</v>
      </c>
    </row>
    <row r="627" spans="1:14">
      <c r="A627" s="3" t="s">
        <v>1524</v>
      </c>
      <c r="B627" s="527" t="s">
        <v>1399</v>
      </c>
      <c r="C627" s="134">
        <v>310</v>
      </c>
      <c r="D627" s="535" t="s">
        <v>1394</v>
      </c>
      <c r="E627" s="533" t="s">
        <v>64</v>
      </c>
      <c r="F627" s="527" t="s">
        <v>1160</v>
      </c>
      <c r="G627" s="527" t="s">
        <v>1446</v>
      </c>
      <c r="H627" s="529">
        <v>2</v>
      </c>
      <c r="I627" s="530">
        <f>4*4.3</f>
        <v>17.2</v>
      </c>
      <c r="J627" s="630" t="s">
        <v>1164</v>
      </c>
      <c r="K627" s="531"/>
      <c r="L627" s="532">
        <f t="shared" si="47"/>
        <v>0</v>
      </c>
      <c r="M627" s="532">
        <f t="shared" si="48"/>
        <v>0</v>
      </c>
      <c r="N627" s="532">
        <f t="shared" si="49"/>
        <v>0</v>
      </c>
    </row>
    <row r="628" spans="1:14">
      <c r="A628" s="3" t="s">
        <v>1524</v>
      </c>
      <c r="B628" s="527" t="s">
        <v>1399</v>
      </c>
      <c r="C628" s="134">
        <v>310</v>
      </c>
      <c r="D628" s="535" t="s">
        <v>1394</v>
      </c>
      <c r="E628" s="533" t="s">
        <v>64</v>
      </c>
      <c r="F628" s="527" t="s">
        <v>1160</v>
      </c>
      <c r="G628" s="527" t="s">
        <v>1447</v>
      </c>
      <c r="H628" s="529">
        <v>2</v>
      </c>
      <c r="I628" s="530">
        <f>4*4.3</f>
        <v>17.2</v>
      </c>
      <c r="J628" s="630" t="s">
        <v>1164</v>
      </c>
      <c r="K628" s="531"/>
      <c r="L628" s="532">
        <f t="shared" si="47"/>
        <v>0</v>
      </c>
      <c r="M628" s="532">
        <f t="shared" si="48"/>
        <v>0</v>
      </c>
      <c r="N628" s="532">
        <f t="shared" si="49"/>
        <v>0</v>
      </c>
    </row>
    <row r="629" spans="1:14">
      <c r="A629" s="3" t="s">
        <v>1525</v>
      </c>
      <c r="B629" s="527" t="s">
        <v>1399</v>
      </c>
      <c r="C629" s="134">
        <v>310</v>
      </c>
      <c r="D629" s="535" t="s">
        <v>1394</v>
      </c>
      <c r="E629" s="533" t="s">
        <v>54</v>
      </c>
      <c r="F629" s="527" t="s">
        <v>1162</v>
      </c>
      <c r="G629" s="527" t="s">
        <v>1448</v>
      </c>
      <c r="H629" s="529">
        <v>12</v>
      </c>
      <c r="I629" s="530">
        <f>0.7*12*2</f>
        <v>16.799999999999997</v>
      </c>
      <c r="J629" s="630" t="s">
        <v>1161</v>
      </c>
      <c r="K629" s="531"/>
      <c r="L629" s="532">
        <f t="shared" si="47"/>
        <v>0</v>
      </c>
      <c r="M629" s="532">
        <f t="shared" si="48"/>
        <v>0</v>
      </c>
      <c r="N629" s="532">
        <f t="shared" si="49"/>
        <v>0</v>
      </c>
    </row>
    <row r="630" spans="1:14">
      <c r="A630" s="3" t="s">
        <v>1524</v>
      </c>
      <c r="B630" s="527" t="s">
        <v>1399</v>
      </c>
      <c r="C630" s="134">
        <v>310</v>
      </c>
      <c r="D630" s="535" t="s">
        <v>1394</v>
      </c>
      <c r="E630" s="533" t="s">
        <v>1441</v>
      </c>
      <c r="F630" s="527" t="s">
        <v>1172</v>
      </c>
      <c r="G630" s="527" t="s">
        <v>1442</v>
      </c>
      <c r="H630" s="529">
        <v>2</v>
      </c>
      <c r="I630" s="530">
        <f>1.9*4</f>
        <v>7.6</v>
      </c>
      <c r="J630" s="630" t="s">
        <v>1161</v>
      </c>
      <c r="K630" s="531"/>
      <c r="L630" s="532">
        <f t="shared" si="47"/>
        <v>0</v>
      </c>
      <c r="M630" s="532">
        <f t="shared" si="48"/>
        <v>0</v>
      </c>
      <c r="N630" s="532">
        <f t="shared" si="49"/>
        <v>0</v>
      </c>
    </row>
    <row r="631" spans="1:14">
      <c r="A631" s="3" t="s">
        <v>1524</v>
      </c>
      <c r="B631" s="527" t="s">
        <v>1399</v>
      </c>
      <c r="C631" s="134">
        <v>310</v>
      </c>
      <c r="D631" s="535" t="s">
        <v>1394</v>
      </c>
      <c r="E631" s="533" t="s">
        <v>1441</v>
      </c>
      <c r="F631" s="527" t="s">
        <v>1174</v>
      </c>
      <c r="G631" s="527" t="s">
        <v>1442</v>
      </c>
      <c r="H631" s="529">
        <v>2</v>
      </c>
      <c r="I631" s="530">
        <f>1.9*4</f>
        <v>7.6</v>
      </c>
      <c r="J631" s="630" t="s">
        <v>1164</v>
      </c>
      <c r="K631" s="531"/>
      <c r="L631" s="532">
        <f t="shared" si="47"/>
        <v>0</v>
      </c>
      <c r="M631" s="532">
        <f t="shared" si="48"/>
        <v>0</v>
      </c>
      <c r="N631" s="532">
        <f t="shared" si="49"/>
        <v>0</v>
      </c>
    </row>
    <row r="632" spans="1:14">
      <c r="A632" s="3" t="s">
        <v>1524</v>
      </c>
      <c r="B632" s="527" t="s">
        <v>1399</v>
      </c>
      <c r="C632" s="134">
        <v>310</v>
      </c>
      <c r="D632" s="535" t="s">
        <v>1394</v>
      </c>
      <c r="E632" s="533" t="s">
        <v>1441</v>
      </c>
      <c r="F632" s="527" t="s">
        <v>1172</v>
      </c>
      <c r="G632" s="527" t="s">
        <v>1449</v>
      </c>
      <c r="H632" s="529">
        <v>2</v>
      </c>
      <c r="I632" s="530">
        <f>3*3</f>
        <v>9</v>
      </c>
      <c r="J632" s="630" t="s">
        <v>1161</v>
      </c>
      <c r="K632" s="531"/>
      <c r="L632" s="532">
        <f t="shared" si="47"/>
        <v>0</v>
      </c>
      <c r="M632" s="532">
        <f t="shared" si="48"/>
        <v>0</v>
      </c>
      <c r="N632" s="532">
        <f t="shared" si="49"/>
        <v>0</v>
      </c>
    </row>
    <row r="633" spans="1:14">
      <c r="A633" s="3" t="s">
        <v>1524</v>
      </c>
      <c r="B633" s="527" t="s">
        <v>1399</v>
      </c>
      <c r="C633" s="134">
        <v>310</v>
      </c>
      <c r="D633" s="535" t="s">
        <v>1394</v>
      </c>
      <c r="E633" s="533" t="s">
        <v>1441</v>
      </c>
      <c r="F633" s="527" t="s">
        <v>1174</v>
      </c>
      <c r="G633" s="527" t="s">
        <v>1449</v>
      </c>
      <c r="H633" s="529">
        <v>2</v>
      </c>
      <c r="I633" s="530">
        <f>3*3</f>
        <v>9</v>
      </c>
      <c r="J633" s="630" t="s">
        <v>1164</v>
      </c>
      <c r="K633" s="531"/>
      <c r="L633" s="532">
        <f t="shared" si="47"/>
        <v>0</v>
      </c>
      <c r="M633" s="532">
        <f t="shared" si="48"/>
        <v>0</v>
      </c>
      <c r="N633" s="532">
        <f t="shared" si="49"/>
        <v>0</v>
      </c>
    </row>
    <row r="634" spans="1:14">
      <c r="A634" s="3" t="s">
        <v>1524</v>
      </c>
      <c r="B634" s="527" t="s">
        <v>1399</v>
      </c>
      <c r="C634" s="134">
        <v>310</v>
      </c>
      <c r="D634" s="535" t="s">
        <v>1394</v>
      </c>
      <c r="E634" s="533" t="s">
        <v>1441</v>
      </c>
      <c r="F634" s="527" t="s">
        <v>1172</v>
      </c>
      <c r="G634" s="527" t="s">
        <v>1444</v>
      </c>
      <c r="H634" s="529">
        <v>2</v>
      </c>
      <c r="I634" s="530">
        <f>2*9.75</f>
        <v>19.5</v>
      </c>
      <c r="J634" s="630" t="s">
        <v>1161</v>
      </c>
      <c r="K634" s="531"/>
      <c r="L634" s="532">
        <f t="shared" si="47"/>
        <v>0</v>
      </c>
      <c r="M634" s="532">
        <f t="shared" si="48"/>
        <v>0</v>
      </c>
      <c r="N634" s="532">
        <f t="shared" si="49"/>
        <v>0</v>
      </c>
    </row>
    <row r="635" spans="1:14">
      <c r="A635" s="3" t="s">
        <v>1524</v>
      </c>
      <c r="B635" s="527" t="s">
        <v>1399</v>
      </c>
      <c r="C635" s="134">
        <v>310</v>
      </c>
      <c r="D635" s="535" t="s">
        <v>1394</v>
      </c>
      <c r="E635" s="533" t="s">
        <v>1441</v>
      </c>
      <c r="F635" s="527" t="s">
        <v>1174</v>
      </c>
      <c r="G635" s="527" t="s">
        <v>1444</v>
      </c>
      <c r="H635" s="529">
        <v>2</v>
      </c>
      <c r="I635" s="530">
        <f>2*9.75</f>
        <v>19.5</v>
      </c>
      <c r="J635" s="630" t="s">
        <v>1164</v>
      </c>
      <c r="K635" s="531"/>
      <c r="L635" s="532">
        <f t="shared" si="47"/>
        <v>0</v>
      </c>
      <c r="M635" s="532">
        <f t="shared" si="48"/>
        <v>0</v>
      </c>
      <c r="N635" s="532">
        <f t="shared" si="49"/>
        <v>0</v>
      </c>
    </row>
    <row r="636" spans="1:14">
      <c r="A636" s="3" t="s">
        <v>1524</v>
      </c>
      <c r="B636" s="527" t="s">
        <v>1399</v>
      </c>
      <c r="C636" s="134">
        <v>310</v>
      </c>
      <c r="D636" s="535" t="s">
        <v>1394</v>
      </c>
      <c r="E636" s="533" t="s">
        <v>1441</v>
      </c>
      <c r="F636" s="527" t="s">
        <v>1172</v>
      </c>
      <c r="G636" s="527" t="s">
        <v>1445</v>
      </c>
      <c r="H636" s="529">
        <v>2</v>
      </c>
      <c r="I636" s="530">
        <f>3*9.75</f>
        <v>29.25</v>
      </c>
      <c r="J636" s="630" t="s">
        <v>1161</v>
      </c>
      <c r="K636" s="531"/>
      <c r="L636" s="532">
        <f t="shared" si="47"/>
        <v>0</v>
      </c>
      <c r="M636" s="532">
        <f t="shared" si="48"/>
        <v>0</v>
      </c>
      <c r="N636" s="532">
        <f t="shared" si="49"/>
        <v>0</v>
      </c>
    </row>
    <row r="637" spans="1:14">
      <c r="A637" s="3" t="s">
        <v>1524</v>
      </c>
      <c r="B637" s="527" t="s">
        <v>1399</v>
      </c>
      <c r="C637" s="134">
        <v>310</v>
      </c>
      <c r="D637" s="535" t="s">
        <v>1394</v>
      </c>
      <c r="E637" s="533" t="s">
        <v>1441</v>
      </c>
      <c r="F637" s="527" t="s">
        <v>1174</v>
      </c>
      <c r="G637" s="527" t="s">
        <v>1445</v>
      </c>
      <c r="H637" s="529">
        <v>2</v>
      </c>
      <c r="I637" s="530">
        <f>3*9.75</f>
        <v>29.25</v>
      </c>
      <c r="J637" s="630" t="s">
        <v>1164</v>
      </c>
      <c r="K637" s="531"/>
      <c r="L637" s="532">
        <f t="shared" si="47"/>
        <v>0</v>
      </c>
      <c r="M637" s="532">
        <f t="shared" si="48"/>
        <v>0</v>
      </c>
      <c r="N637" s="532">
        <f t="shared" si="49"/>
        <v>0</v>
      </c>
    </row>
    <row r="638" spans="1:14">
      <c r="A638" s="3" t="s">
        <v>1525</v>
      </c>
      <c r="B638" s="527" t="s">
        <v>1399</v>
      </c>
      <c r="C638" s="134">
        <v>310</v>
      </c>
      <c r="D638" s="535" t="s">
        <v>1394</v>
      </c>
      <c r="E638" s="135"/>
      <c r="F638" s="527" t="s">
        <v>1162</v>
      </c>
      <c r="G638" s="527" t="s">
        <v>1308</v>
      </c>
      <c r="H638" s="529">
        <v>26</v>
      </c>
      <c r="I638" s="530">
        <v>84</v>
      </c>
      <c r="J638" s="630" t="s">
        <v>1161</v>
      </c>
      <c r="K638" s="531" t="s">
        <v>1309</v>
      </c>
      <c r="L638" s="532">
        <f t="shared" si="47"/>
        <v>0</v>
      </c>
      <c r="M638" s="532">
        <f t="shared" si="48"/>
        <v>0</v>
      </c>
      <c r="N638" s="532">
        <f t="shared" si="49"/>
        <v>0</v>
      </c>
    </row>
    <row r="639" spans="1:14">
      <c r="A639" s="3" t="s">
        <v>1526</v>
      </c>
      <c r="B639" s="527" t="s">
        <v>1396</v>
      </c>
      <c r="C639" s="134">
        <v>311</v>
      </c>
      <c r="D639" s="535" t="s">
        <v>1394</v>
      </c>
      <c r="E639" s="533" t="s">
        <v>54</v>
      </c>
      <c r="F639" s="527" t="s">
        <v>1169</v>
      </c>
      <c r="G639" s="527" t="s">
        <v>1462</v>
      </c>
      <c r="H639" s="529">
        <v>2</v>
      </c>
      <c r="I639" s="530">
        <f>9.1*42*2</f>
        <v>764.4</v>
      </c>
      <c r="J639" s="630" t="s">
        <v>1164</v>
      </c>
      <c r="K639" s="531"/>
      <c r="L639" s="532">
        <f t="shared" si="47"/>
        <v>0</v>
      </c>
      <c r="M639" s="532">
        <f t="shared" si="48"/>
        <v>0</v>
      </c>
      <c r="N639" s="532">
        <f t="shared" si="49"/>
        <v>0</v>
      </c>
    </row>
    <row r="640" spans="1:14">
      <c r="A640" s="3" t="s">
        <v>1526</v>
      </c>
      <c r="B640" s="527" t="s">
        <v>1396</v>
      </c>
      <c r="C640" s="134">
        <v>311</v>
      </c>
      <c r="D640" s="535" t="s">
        <v>1394</v>
      </c>
      <c r="E640" s="533" t="s">
        <v>54</v>
      </c>
      <c r="F640" s="527" t="s">
        <v>1171</v>
      </c>
      <c r="G640" s="527" t="s">
        <v>1462</v>
      </c>
      <c r="H640" s="529">
        <v>2</v>
      </c>
      <c r="I640" s="530">
        <f>9.1*42*2</f>
        <v>764.4</v>
      </c>
      <c r="J640" s="630" t="s">
        <v>1161</v>
      </c>
      <c r="K640" s="531"/>
      <c r="L640" s="532">
        <f t="shared" si="47"/>
        <v>0</v>
      </c>
      <c r="M640" s="532">
        <f t="shared" si="48"/>
        <v>0</v>
      </c>
      <c r="N640" s="532">
        <f t="shared" si="49"/>
        <v>0</v>
      </c>
    </row>
    <row r="641" spans="1:14">
      <c r="A641" s="3" t="s">
        <v>1526</v>
      </c>
      <c r="B641" s="527" t="s">
        <v>1396</v>
      </c>
      <c r="C641" s="134">
        <v>311</v>
      </c>
      <c r="D641" s="535" t="s">
        <v>1394</v>
      </c>
      <c r="E641" s="533" t="s">
        <v>54</v>
      </c>
      <c r="F641" s="527" t="s">
        <v>1169</v>
      </c>
      <c r="G641" s="527" t="s">
        <v>1463</v>
      </c>
      <c r="H641" s="529">
        <v>2</v>
      </c>
      <c r="I641" s="530">
        <f>5*42*2</f>
        <v>420</v>
      </c>
      <c r="J641" s="630" t="s">
        <v>1164</v>
      </c>
      <c r="K641" s="531"/>
      <c r="L641" s="532">
        <f t="shared" si="47"/>
        <v>0</v>
      </c>
      <c r="M641" s="532">
        <f t="shared" si="48"/>
        <v>0</v>
      </c>
      <c r="N641" s="532">
        <f t="shared" si="49"/>
        <v>0</v>
      </c>
    </row>
    <row r="642" spans="1:14">
      <c r="A642" s="3" t="s">
        <v>1526</v>
      </c>
      <c r="B642" s="527" t="s">
        <v>1396</v>
      </c>
      <c r="C642" s="134">
        <v>311</v>
      </c>
      <c r="D642" s="535" t="s">
        <v>1394</v>
      </c>
      <c r="E642" s="533" t="s">
        <v>54</v>
      </c>
      <c r="F642" s="527" t="s">
        <v>1171</v>
      </c>
      <c r="G642" s="527" t="s">
        <v>1463</v>
      </c>
      <c r="H642" s="529">
        <v>2</v>
      </c>
      <c r="I642" s="530">
        <f>5*42*2</f>
        <v>420</v>
      </c>
      <c r="J642" s="630" t="s">
        <v>1161</v>
      </c>
      <c r="K642" s="531"/>
      <c r="L642" s="532">
        <f t="shared" si="47"/>
        <v>0</v>
      </c>
      <c r="M642" s="532">
        <f t="shared" si="48"/>
        <v>0</v>
      </c>
      <c r="N642" s="532">
        <f t="shared" si="49"/>
        <v>0</v>
      </c>
    </row>
    <row r="643" spans="1:14">
      <c r="A643" s="3" t="s">
        <v>1527</v>
      </c>
      <c r="B643" s="527" t="s">
        <v>1396</v>
      </c>
      <c r="C643" s="134">
        <v>311</v>
      </c>
      <c r="D643" s="535" t="s">
        <v>1394</v>
      </c>
      <c r="E643" s="533" t="s">
        <v>54</v>
      </c>
      <c r="F643" s="527" t="s">
        <v>1162</v>
      </c>
      <c r="G643" s="527" t="s">
        <v>1464</v>
      </c>
      <c r="H643" s="529">
        <v>12</v>
      </c>
      <c r="I643" s="530">
        <f>0.6*(14+14+12.5+12.5+4.45+4.45+5.5+5.5+19.2+19.2)*2</f>
        <v>133.56</v>
      </c>
      <c r="J643" s="630" t="s">
        <v>1161</v>
      </c>
      <c r="K643" s="531"/>
      <c r="L643" s="532">
        <f t="shared" si="47"/>
        <v>0</v>
      </c>
      <c r="M643" s="532">
        <f t="shared" si="48"/>
        <v>0</v>
      </c>
      <c r="N643" s="532">
        <f t="shared" si="49"/>
        <v>0</v>
      </c>
    </row>
    <row r="644" spans="1:14">
      <c r="A644" s="3" t="s">
        <v>1527</v>
      </c>
      <c r="B644" s="527" t="s">
        <v>1396</v>
      </c>
      <c r="C644" s="134">
        <v>311</v>
      </c>
      <c r="D644" s="535" t="s">
        <v>1394</v>
      </c>
      <c r="E644" s="533" t="s">
        <v>54</v>
      </c>
      <c r="F644" s="527" t="s">
        <v>1162</v>
      </c>
      <c r="G644" s="527" t="s">
        <v>1465</v>
      </c>
      <c r="H644" s="529">
        <v>12</v>
      </c>
      <c r="I644" s="530">
        <f>2.15*(4.25+4.25+4.25+4.25)*2</f>
        <v>73.099999999999994</v>
      </c>
      <c r="J644" s="630" t="s">
        <v>1161</v>
      </c>
      <c r="K644" s="531"/>
      <c r="L644" s="532">
        <f t="shared" si="47"/>
        <v>0</v>
      </c>
      <c r="M644" s="532">
        <f t="shared" si="48"/>
        <v>0</v>
      </c>
      <c r="N644" s="532">
        <f t="shared" si="49"/>
        <v>0</v>
      </c>
    </row>
    <row r="645" spans="1:14">
      <c r="A645" s="3" t="s">
        <v>1526</v>
      </c>
      <c r="B645" s="153" t="s">
        <v>2054</v>
      </c>
      <c r="C645" s="134" t="s">
        <v>2056</v>
      </c>
      <c r="D645" s="535" t="s">
        <v>1394</v>
      </c>
      <c r="E645" s="533" t="s">
        <v>54</v>
      </c>
      <c r="F645" s="527" t="s">
        <v>1172</v>
      </c>
      <c r="G645" s="527" t="s">
        <v>125</v>
      </c>
      <c r="H645" s="529">
        <v>2</v>
      </c>
      <c r="I645" s="530">
        <v>60</v>
      </c>
      <c r="J645" s="630" t="s">
        <v>1161</v>
      </c>
      <c r="K645" s="531"/>
      <c r="L645" s="532">
        <f t="shared" si="47"/>
        <v>0</v>
      </c>
      <c r="M645" s="532">
        <f t="shared" si="48"/>
        <v>0</v>
      </c>
      <c r="N645" s="532">
        <f t="shared" si="49"/>
        <v>0</v>
      </c>
    </row>
    <row r="646" spans="1:14">
      <c r="A646" s="3" t="s">
        <v>1526</v>
      </c>
      <c r="B646" s="153" t="s">
        <v>2054</v>
      </c>
      <c r="C646" s="134" t="s">
        <v>2056</v>
      </c>
      <c r="D646" s="535" t="s">
        <v>1394</v>
      </c>
      <c r="E646" s="533" t="s">
        <v>54</v>
      </c>
      <c r="F646" s="527" t="s">
        <v>1174</v>
      </c>
      <c r="G646" s="527" t="s">
        <v>125</v>
      </c>
      <c r="H646" s="529">
        <v>2</v>
      </c>
      <c r="I646" s="530">
        <v>60</v>
      </c>
      <c r="J646" s="630" t="s">
        <v>1161</v>
      </c>
      <c r="K646" s="531"/>
      <c r="L646" s="532">
        <f t="shared" si="47"/>
        <v>0</v>
      </c>
      <c r="M646" s="532">
        <f t="shared" si="48"/>
        <v>0</v>
      </c>
      <c r="N646" s="532">
        <f t="shared" si="49"/>
        <v>0</v>
      </c>
    </row>
    <row r="647" spans="1:14">
      <c r="A647" s="3" t="s">
        <v>1527</v>
      </c>
      <c r="B647" s="527" t="s">
        <v>1396</v>
      </c>
      <c r="C647" s="134">
        <v>311</v>
      </c>
      <c r="D647" s="535" t="s">
        <v>1394</v>
      </c>
      <c r="E647" s="533" t="s">
        <v>1466</v>
      </c>
      <c r="F647" s="527" t="s">
        <v>1162</v>
      </c>
      <c r="G647" s="527" t="s">
        <v>1467</v>
      </c>
      <c r="H647" s="529">
        <v>12</v>
      </c>
      <c r="I647" s="530">
        <f>2*((0.4*(4.8+5))+(0.5*0.9)+(0.7*4.8))*2</f>
        <v>30.92</v>
      </c>
      <c r="J647" s="630" t="s">
        <v>1161</v>
      </c>
      <c r="K647" s="531"/>
      <c r="L647" s="532">
        <f t="shared" si="47"/>
        <v>0</v>
      </c>
      <c r="M647" s="532">
        <f t="shared" si="48"/>
        <v>0</v>
      </c>
      <c r="N647" s="532">
        <f t="shared" si="49"/>
        <v>0</v>
      </c>
    </row>
    <row r="648" spans="1:14">
      <c r="A648" s="3" t="s">
        <v>1526</v>
      </c>
      <c r="B648" s="527" t="s">
        <v>1396</v>
      </c>
      <c r="C648" s="134">
        <v>311</v>
      </c>
      <c r="D648" s="535" t="s">
        <v>1394</v>
      </c>
      <c r="E648" s="533" t="s">
        <v>143</v>
      </c>
      <c r="F648" s="527" t="s">
        <v>1163</v>
      </c>
      <c r="G648" s="527" t="s">
        <v>1468</v>
      </c>
      <c r="H648" s="529">
        <v>2</v>
      </c>
      <c r="I648" s="530">
        <f>2.25*(8+15.5+11.5+8+4.5+4.5)</f>
        <v>117</v>
      </c>
      <c r="J648" s="630" t="s">
        <v>1161</v>
      </c>
      <c r="K648" s="531"/>
      <c r="L648" s="532">
        <f t="shared" si="47"/>
        <v>0</v>
      </c>
      <c r="M648" s="532">
        <f t="shared" si="48"/>
        <v>0</v>
      </c>
      <c r="N648" s="532">
        <f t="shared" si="49"/>
        <v>0</v>
      </c>
    </row>
    <row r="649" spans="1:14">
      <c r="A649" s="3" t="s">
        <v>1526</v>
      </c>
      <c r="B649" s="527" t="s">
        <v>1396</v>
      </c>
      <c r="C649" s="134">
        <v>311</v>
      </c>
      <c r="D649" s="535" t="s">
        <v>1394</v>
      </c>
      <c r="E649" s="533" t="s">
        <v>143</v>
      </c>
      <c r="F649" s="527" t="s">
        <v>1162</v>
      </c>
      <c r="G649" s="527" t="s">
        <v>125</v>
      </c>
      <c r="H649" s="529">
        <v>2</v>
      </c>
      <c r="I649" s="530">
        <f>0.6*((2*1.1)+(2*0.15)+(4.4+3.8))*2</f>
        <v>12.839999999999998</v>
      </c>
      <c r="J649" s="630" t="s">
        <v>1161</v>
      </c>
      <c r="K649" s="531"/>
      <c r="L649" s="532">
        <f t="shared" si="47"/>
        <v>0</v>
      </c>
      <c r="M649" s="532">
        <f t="shared" si="48"/>
        <v>0</v>
      </c>
      <c r="N649" s="532">
        <f t="shared" si="49"/>
        <v>0</v>
      </c>
    </row>
    <row r="650" spans="1:14">
      <c r="A650" s="3" t="s">
        <v>1527</v>
      </c>
      <c r="B650" s="527" t="s">
        <v>1396</v>
      </c>
      <c r="C650" s="134">
        <v>311</v>
      </c>
      <c r="D650" s="535" t="s">
        <v>1394</v>
      </c>
      <c r="E650" s="135"/>
      <c r="F650" s="527" t="s">
        <v>1162</v>
      </c>
      <c r="G650" s="527" t="s">
        <v>1308</v>
      </c>
      <c r="H650" s="529">
        <v>26</v>
      </c>
      <c r="I650" s="530">
        <v>61.2</v>
      </c>
      <c r="J650" s="630" t="s">
        <v>1161</v>
      </c>
      <c r="K650" s="531" t="s">
        <v>1309</v>
      </c>
      <c r="L650" s="532">
        <f t="shared" si="47"/>
        <v>0</v>
      </c>
      <c r="M650" s="532">
        <f t="shared" si="48"/>
        <v>0</v>
      </c>
      <c r="N650" s="532">
        <f t="shared" si="49"/>
        <v>0</v>
      </c>
    </row>
    <row r="651" spans="1:14">
      <c r="A651" s="3" t="s">
        <v>1528</v>
      </c>
      <c r="B651" s="527" t="s">
        <v>1411</v>
      </c>
      <c r="C651" s="134">
        <v>312</v>
      </c>
      <c r="D651" s="535" t="s">
        <v>1394</v>
      </c>
      <c r="E651" s="533" t="s">
        <v>1469</v>
      </c>
      <c r="F651" s="527" t="s">
        <v>1163</v>
      </c>
      <c r="G651" s="527" t="s">
        <v>1416</v>
      </c>
      <c r="H651" s="529">
        <v>2</v>
      </c>
      <c r="I651" s="530">
        <f>((2.85*2.5)*2)+((2.65*2.5)*7)+((2.7*2.5)*1)</f>
        <v>67.375</v>
      </c>
      <c r="J651" s="630" t="s">
        <v>1161</v>
      </c>
      <c r="K651" s="531"/>
      <c r="L651" s="532">
        <f t="shared" si="47"/>
        <v>0</v>
      </c>
      <c r="M651" s="532">
        <f t="shared" si="48"/>
        <v>0</v>
      </c>
      <c r="N651" s="532">
        <f t="shared" si="49"/>
        <v>0</v>
      </c>
    </row>
    <row r="652" spans="1:14">
      <c r="A652" s="3" t="s">
        <v>1528</v>
      </c>
      <c r="B652" s="527" t="s">
        <v>1411</v>
      </c>
      <c r="C652" s="134">
        <v>312</v>
      </c>
      <c r="D652" s="535" t="s">
        <v>1394</v>
      </c>
      <c r="E652" s="533" t="s">
        <v>1469</v>
      </c>
      <c r="F652" s="527" t="s">
        <v>1160</v>
      </c>
      <c r="G652" s="527" t="s">
        <v>1421</v>
      </c>
      <c r="H652" s="529">
        <v>2</v>
      </c>
      <c r="I652" s="530">
        <f>((2.85*2.5)*2)+((2.65*2.5)*7)+((2.7*2.5)*1)</f>
        <v>67.375</v>
      </c>
      <c r="J652" s="630" t="s">
        <v>1164</v>
      </c>
      <c r="K652" s="531"/>
      <c r="L652" s="532">
        <f t="shared" si="47"/>
        <v>0</v>
      </c>
      <c r="M652" s="532">
        <f t="shared" si="48"/>
        <v>0</v>
      </c>
      <c r="N652" s="532">
        <f t="shared" si="49"/>
        <v>0</v>
      </c>
    </row>
    <row r="653" spans="1:14">
      <c r="A653" s="3" t="s">
        <v>1529</v>
      </c>
      <c r="B653" s="527" t="s">
        <v>1411</v>
      </c>
      <c r="C653" s="134">
        <v>312</v>
      </c>
      <c r="D653" s="535" t="s">
        <v>1394</v>
      </c>
      <c r="E653" s="533" t="s">
        <v>54</v>
      </c>
      <c r="F653" s="527" t="s">
        <v>1162</v>
      </c>
      <c r="G653" s="527" t="s">
        <v>1470</v>
      </c>
      <c r="H653" s="529">
        <v>12</v>
      </c>
      <c r="I653" s="530">
        <f>0.7*(14.3+14.3+6.3)*2</f>
        <v>48.859999999999992</v>
      </c>
      <c r="J653" s="630" t="s">
        <v>1164</v>
      </c>
      <c r="K653" s="531"/>
      <c r="L653" s="532">
        <f t="shared" ref="L653:L712" si="50">IF(J653="ja",0,VLOOKUP(F653,Glassoort2,2,0))*I653</f>
        <v>0</v>
      </c>
      <c r="M653" s="532">
        <f t="shared" ref="M653:M712" si="51">IF(J653="ja",VLOOKUP(F653,Glassoort2,3,0))*I653</f>
        <v>0</v>
      </c>
      <c r="N653" s="532">
        <f t="shared" si="49"/>
        <v>0</v>
      </c>
    </row>
    <row r="654" spans="1:14">
      <c r="A654" s="3" t="s">
        <v>1528</v>
      </c>
      <c r="B654" s="527" t="s">
        <v>1411</v>
      </c>
      <c r="C654" s="134">
        <v>312</v>
      </c>
      <c r="D654" s="535" t="s">
        <v>1394</v>
      </c>
      <c r="E654" s="533" t="s">
        <v>54</v>
      </c>
      <c r="F654" s="527" t="s">
        <v>1162</v>
      </c>
      <c r="G654" s="527" t="s">
        <v>1440</v>
      </c>
      <c r="H654" s="529">
        <v>2</v>
      </c>
      <c r="I654" s="530">
        <f>1.65*3*2</f>
        <v>9.8999999999999986</v>
      </c>
      <c r="J654" s="630" t="s">
        <v>1164</v>
      </c>
      <c r="K654" s="531"/>
      <c r="L654" s="532">
        <f t="shared" si="50"/>
        <v>0</v>
      </c>
      <c r="M654" s="532">
        <f t="shared" si="51"/>
        <v>0</v>
      </c>
      <c r="N654" s="532">
        <f t="shared" si="49"/>
        <v>0</v>
      </c>
    </row>
    <row r="655" spans="1:14">
      <c r="A655" s="3" t="s">
        <v>1528</v>
      </c>
      <c r="B655" s="527" t="s">
        <v>1411</v>
      </c>
      <c r="C655" s="134">
        <v>312</v>
      </c>
      <c r="D655" s="535" t="s">
        <v>1394</v>
      </c>
      <c r="E655" s="533" t="s">
        <v>54</v>
      </c>
      <c r="F655" s="527" t="s">
        <v>1160</v>
      </c>
      <c r="G655" s="527" t="s">
        <v>1435</v>
      </c>
      <c r="H655" s="529">
        <v>2</v>
      </c>
      <c r="I655" s="530">
        <f>13.25*3+17*3</f>
        <v>90.75</v>
      </c>
      <c r="J655" s="630" t="s">
        <v>1164</v>
      </c>
      <c r="K655" s="531"/>
      <c r="L655" s="532">
        <f t="shared" si="50"/>
        <v>0</v>
      </c>
      <c r="M655" s="532">
        <f t="shared" si="51"/>
        <v>0</v>
      </c>
      <c r="N655" s="532">
        <f t="shared" si="49"/>
        <v>0</v>
      </c>
    </row>
    <row r="656" spans="1:14">
      <c r="A656" s="3" t="s">
        <v>1528</v>
      </c>
      <c r="B656" s="527" t="s">
        <v>1411</v>
      </c>
      <c r="C656" s="134">
        <v>312</v>
      </c>
      <c r="D656" s="535" t="s">
        <v>1394</v>
      </c>
      <c r="E656" s="533" t="s">
        <v>54</v>
      </c>
      <c r="F656" s="527" t="s">
        <v>1160</v>
      </c>
      <c r="G656" s="527" t="s">
        <v>1436</v>
      </c>
      <c r="H656" s="529">
        <v>2</v>
      </c>
      <c r="I656" s="530">
        <f>13.25*3+17*3</f>
        <v>90.75</v>
      </c>
      <c r="J656" s="630" t="s">
        <v>1164</v>
      </c>
      <c r="K656" s="531"/>
      <c r="L656" s="532">
        <f t="shared" si="50"/>
        <v>0</v>
      </c>
      <c r="M656" s="532">
        <f t="shared" si="51"/>
        <v>0</v>
      </c>
      <c r="N656" s="532">
        <f t="shared" si="49"/>
        <v>0</v>
      </c>
    </row>
    <row r="657" spans="1:14">
      <c r="A657" s="3" t="s">
        <v>1528</v>
      </c>
      <c r="B657" s="527" t="s">
        <v>1411</v>
      </c>
      <c r="C657" s="134">
        <v>312</v>
      </c>
      <c r="D657" s="535" t="s">
        <v>1394</v>
      </c>
      <c r="E657" s="533" t="s">
        <v>54</v>
      </c>
      <c r="F657" s="527" t="s">
        <v>1160</v>
      </c>
      <c r="G657" s="527" t="s">
        <v>1438</v>
      </c>
      <c r="H657" s="529">
        <v>2</v>
      </c>
      <c r="I657" s="530">
        <f>2*(6.2*1*2+17*1.75)</f>
        <v>84.3</v>
      </c>
      <c r="J657" s="630" t="s">
        <v>1164</v>
      </c>
      <c r="K657" s="531"/>
      <c r="L657" s="532">
        <f t="shared" si="50"/>
        <v>0</v>
      </c>
      <c r="M657" s="532">
        <f t="shared" si="51"/>
        <v>0</v>
      </c>
      <c r="N657" s="532">
        <f t="shared" si="49"/>
        <v>0</v>
      </c>
    </row>
    <row r="658" spans="1:14">
      <c r="A658" s="3" t="s">
        <v>1528</v>
      </c>
      <c r="B658" s="527" t="s">
        <v>1411</v>
      </c>
      <c r="C658" s="134">
        <v>312</v>
      </c>
      <c r="D658" s="535" t="s">
        <v>1394</v>
      </c>
      <c r="E658" s="533" t="s">
        <v>54</v>
      </c>
      <c r="F658" s="527" t="s">
        <v>1160</v>
      </c>
      <c r="G658" s="527" t="s">
        <v>1439</v>
      </c>
      <c r="H658" s="529">
        <v>2</v>
      </c>
      <c r="I658" s="530">
        <f>2*(6.2*1*2+17*1.75)</f>
        <v>84.3</v>
      </c>
      <c r="J658" s="630" t="s">
        <v>1164</v>
      </c>
      <c r="K658" s="531"/>
      <c r="L658" s="532">
        <f t="shared" si="50"/>
        <v>0</v>
      </c>
      <c r="M658" s="532">
        <f t="shared" si="51"/>
        <v>0</v>
      </c>
      <c r="N658" s="532">
        <f t="shared" si="49"/>
        <v>0</v>
      </c>
    </row>
    <row r="659" spans="1:14">
      <c r="A659" s="3" t="s">
        <v>1528</v>
      </c>
      <c r="B659" s="527" t="s">
        <v>1411</v>
      </c>
      <c r="C659" s="134">
        <v>312</v>
      </c>
      <c r="D659" s="535" t="s">
        <v>1394</v>
      </c>
      <c r="E659" s="533" t="s">
        <v>64</v>
      </c>
      <c r="F659" s="527" t="s">
        <v>1160</v>
      </c>
      <c r="G659" s="527" t="s">
        <v>1446</v>
      </c>
      <c r="H659" s="529">
        <v>2</v>
      </c>
      <c r="I659" s="530">
        <f>4*4.3</f>
        <v>17.2</v>
      </c>
      <c r="J659" s="630" t="s">
        <v>1164</v>
      </c>
      <c r="K659" s="531"/>
      <c r="L659" s="532">
        <f t="shared" si="50"/>
        <v>0</v>
      </c>
      <c r="M659" s="532">
        <f t="shared" si="51"/>
        <v>0</v>
      </c>
      <c r="N659" s="532">
        <f t="shared" si="49"/>
        <v>0</v>
      </c>
    </row>
    <row r="660" spans="1:14">
      <c r="A660" s="3" t="s">
        <v>1528</v>
      </c>
      <c r="B660" s="527" t="s">
        <v>1411</v>
      </c>
      <c r="C660" s="134">
        <v>312</v>
      </c>
      <c r="D660" s="535" t="s">
        <v>1394</v>
      </c>
      <c r="E660" s="533" t="s">
        <v>64</v>
      </c>
      <c r="F660" s="527" t="s">
        <v>1160</v>
      </c>
      <c r="G660" s="527" t="s">
        <v>1447</v>
      </c>
      <c r="H660" s="529">
        <v>2</v>
      </c>
      <c r="I660" s="530">
        <f>4*4.3</f>
        <v>17.2</v>
      </c>
      <c r="J660" s="630" t="s">
        <v>1164</v>
      </c>
      <c r="K660" s="531"/>
      <c r="L660" s="532">
        <f t="shared" si="50"/>
        <v>0</v>
      </c>
      <c r="M660" s="532">
        <f t="shared" si="51"/>
        <v>0</v>
      </c>
      <c r="N660" s="532">
        <f t="shared" si="49"/>
        <v>0</v>
      </c>
    </row>
    <row r="661" spans="1:14">
      <c r="A661" s="3" t="s">
        <v>1528</v>
      </c>
      <c r="B661" s="527" t="s">
        <v>1411</v>
      </c>
      <c r="C661" s="134">
        <v>312</v>
      </c>
      <c r="D661" s="535" t="s">
        <v>1394</v>
      </c>
      <c r="E661" s="533" t="s">
        <v>1441</v>
      </c>
      <c r="F661" s="527" t="s">
        <v>1172</v>
      </c>
      <c r="G661" s="527" t="s">
        <v>1442</v>
      </c>
      <c r="H661" s="529">
        <v>2</v>
      </c>
      <c r="I661" s="530">
        <f>1.8*4</f>
        <v>7.2</v>
      </c>
      <c r="J661" s="630" t="s">
        <v>1161</v>
      </c>
      <c r="K661" s="531"/>
      <c r="L661" s="532">
        <f t="shared" si="50"/>
        <v>0</v>
      </c>
      <c r="M661" s="532">
        <f t="shared" si="51"/>
        <v>0</v>
      </c>
      <c r="N661" s="532">
        <f t="shared" si="49"/>
        <v>0</v>
      </c>
    </row>
    <row r="662" spans="1:14">
      <c r="A662" s="3" t="s">
        <v>1528</v>
      </c>
      <c r="B662" s="527" t="s">
        <v>1411</v>
      </c>
      <c r="C662" s="134">
        <v>312</v>
      </c>
      <c r="D662" s="535" t="s">
        <v>1394</v>
      </c>
      <c r="E662" s="533" t="s">
        <v>1441</v>
      </c>
      <c r="F662" s="527" t="s">
        <v>1174</v>
      </c>
      <c r="G662" s="527" t="s">
        <v>1442</v>
      </c>
      <c r="H662" s="529">
        <v>2</v>
      </c>
      <c r="I662" s="530">
        <f>1.8*4</f>
        <v>7.2</v>
      </c>
      <c r="J662" s="630" t="s">
        <v>1164</v>
      </c>
      <c r="K662" s="531"/>
      <c r="L662" s="532">
        <f t="shared" si="50"/>
        <v>0</v>
      </c>
      <c r="M662" s="532">
        <f t="shared" si="51"/>
        <v>0</v>
      </c>
      <c r="N662" s="532">
        <f t="shared" si="49"/>
        <v>0</v>
      </c>
    </row>
    <row r="663" spans="1:14">
      <c r="A663" s="3" t="s">
        <v>1528</v>
      </c>
      <c r="B663" s="527" t="s">
        <v>1411</v>
      </c>
      <c r="C663" s="134">
        <v>312</v>
      </c>
      <c r="D663" s="535" t="s">
        <v>1394</v>
      </c>
      <c r="E663" s="533" t="s">
        <v>1441</v>
      </c>
      <c r="F663" s="527" t="s">
        <v>1172</v>
      </c>
      <c r="G663" s="527" t="s">
        <v>1443</v>
      </c>
      <c r="H663" s="529">
        <v>2</v>
      </c>
      <c r="I663" s="530">
        <f>3.45*3</f>
        <v>10.350000000000001</v>
      </c>
      <c r="J663" s="630" t="s">
        <v>1161</v>
      </c>
      <c r="K663" s="531"/>
      <c r="L663" s="532">
        <f t="shared" si="50"/>
        <v>0</v>
      </c>
      <c r="M663" s="532">
        <f t="shared" si="51"/>
        <v>0</v>
      </c>
      <c r="N663" s="532">
        <f t="shared" si="49"/>
        <v>0</v>
      </c>
    </row>
    <row r="664" spans="1:14">
      <c r="A664" s="3" t="s">
        <v>1528</v>
      </c>
      <c r="B664" s="527" t="s">
        <v>1411</v>
      </c>
      <c r="C664" s="134">
        <v>312</v>
      </c>
      <c r="D664" s="535" t="s">
        <v>1394</v>
      </c>
      <c r="E664" s="533" t="s">
        <v>1441</v>
      </c>
      <c r="F664" s="527" t="s">
        <v>1174</v>
      </c>
      <c r="G664" s="527" t="s">
        <v>1443</v>
      </c>
      <c r="H664" s="529">
        <v>2</v>
      </c>
      <c r="I664" s="530">
        <f>3.45*3</f>
        <v>10.350000000000001</v>
      </c>
      <c r="J664" s="630" t="s">
        <v>1164</v>
      </c>
      <c r="K664" s="531"/>
      <c r="L664" s="532">
        <f t="shared" si="50"/>
        <v>0</v>
      </c>
      <c r="M664" s="532">
        <f t="shared" si="51"/>
        <v>0</v>
      </c>
      <c r="N664" s="532">
        <f t="shared" ref="N664:N712" si="52">(M664*H664)+(L664*H664)</f>
        <v>0</v>
      </c>
    </row>
    <row r="665" spans="1:14">
      <c r="A665" s="3" t="s">
        <v>1528</v>
      </c>
      <c r="B665" s="527" t="s">
        <v>1411</v>
      </c>
      <c r="C665" s="134">
        <v>312</v>
      </c>
      <c r="D665" s="535" t="s">
        <v>1394</v>
      </c>
      <c r="E665" s="533" t="s">
        <v>1441</v>
      </c>
      <c r="F665" s="527" t="s">
        <v>1172</v>
      </c>
      <c r="G665" s="527" t="s">
        <v>1444</v>
      </c>
      <c r="H665" s="529">
        <v>2</v>
      </c>
      <c r="I665" s="530">
        <f>2*9.75</f>
        <v>19.5</v>
      </c>
      <c r="J665" s="630" t="s">
        <v>1161</v>
      </c>
      <c r="K665" s="531"/>
      <c r="L665" s="532">
        <f t="shared" si="50"/>
        <v>0</v>
      </c>
      <c r="M665" s="532">
        <f t="shared" si="51"/>
        <v>0</v>
      </c>
      <c r="N665" s="532">
        <f t="shared" si="52"/>
        <v>0</v>
      </c>
    </row>
    <row r="666" spans="1:14">
      <c r="A666" s="3" t="s">
        <v>1528</v>
      </c>
      <c r="B666" s="527" t="s">
        <v>1411</v>
      </c>
      <c r="C666" s="134">
        <v>312</v>
      </c>
      <c r="D666" s="535" t="s">
        <v>1394</v>
      </c>
      <c r="E666" s="533" t="s">
        <v>1441</v>
      </c>
      <c r="F666" s="527" t="s">
        <v>1174</v>
      </c>
      <c r="G666" s="527" t="s">
        <v>1444</v>
      </c>
      <c r="H666" s="529">
        <v>2</v>
      </c>
      <c r="I666" s="530">
        <f>2*9.75</f>
        <v>19.5</v>
      </c>
      <c r="J666" s="630" t="s">
        <v>1164</v>
      </c>
      <c r="K666" s="531"/>
      <c r="L666" s="532">
        <f t="shared" si="50"/>
        <v>0</v>
      </c>
      <c r="M666" s="532">
        <f t="shared" si="51"/>
        <v>0</v>
      </c>
      <c r="N666" s="532">
        <f t="shared" si="52"/>
        <v>0</v>
      </c>
    </row>
    <row r="667" spans="1:14">
      <c r="A667" s="3" t="s">
        <v>1528</v>
      </c>
      <c r="B667" s="527" t="s">
        <v>1411</v>
      </c>
      <c r="C667" s="134">
        <v>312</v>
      </c>
      <c r="D667" s="535" t="s">
        <v>1394</v>
      </c>
      <c r="E667" s="533" t="s">
        <v>1441</v>
      </c>
      <c r="F667" s="527" t="s">
        <v>1172</v>
      </c>
      <c r="G667" s="527" t="s">
        <v>1445</v>
      </c>
      <c r="H667" s="529">
        <v>2</v>
      </c>
      <c r="I667" s="530">
        <f>3.45*9.75</f>
        <v>33.637500000000003</v>
      </c>
      <c r="J667" s="630" t="s">
        <v>1161</v>
      </c>
      <c r="K667" s="531"/>
      <c r="L667" s="532">
        <f t="shared" si="50"/>
        <v>0</v>
      </c>
      <c r="M667" s="532">
        <f t="shared" si="51"/>
        <v>0</v>
      </c>
      <c r="N667" s="532">
        <f t="shared" si="52"/>
        <v>0</v>
      </c>
    </row>
    <row r="668" spans="1:14">
      <c r="A668" s="3" t="s">
        <v>1528</v>
      </c>
      <c r="B668" s="527" t="s">
        <v>1411</v>
      </c>
      <c r="C668" s="134">
        <v>312</v>
      </c>
      <c r="D668" s="535" t="s">
        <v>1394</v>
      </c>
      <c r="E668" s="533" t="s">
        <v>1441</v>
      </c>
      <c r="F668" s="527" t="s">
        <v>1174</v>
      </c>
      <c r="G668" s="527" t="s">
        <v>1445</v>
      </c>
      <c r="H668" s="529">
        <v>2</v>
      </c>
      <c r="I668" s="530">
        <f>3.45*9.75</f>
        <v>33.637500000000003</v>
      </c>
      <c r="J668" s="630" t="s">
        <v>1164</v>
      </c>
      <c r="K668" s="531"/>
      <c r="L668" s="532">
        <f t="shared" si="50"/>
        <v>0</v>
      </c>
      <c r="M668" s="532">
        <f t="shared" si="51"/>
        <v>0</v>
      </c>
      <c r="N668" s="532">
        <f t="shared" si="52"/>
        <v>0</v>
      </c>
    </row>
    <row r="669" spans="1:14">
      <c r="B669" s="527" t="s">
        <v>1411</v>
      </c>
      <c r="C669" s="134">
        <v>312</v>
      </c>
      <c r="D669" s="535" t="s">
        <v>1394</v>
      </c>
      <c r="E669" s="533" t="s">
        <v>54</v>
      </c>
      <c r="F669" s="527" t="s">
        <v>1162</v>
      </c>
      <c r="G669" s="527" t="s">
        <v>1308</v>
      </c>
      <c r="H669" s="529">
        <v>26</v>
      </c>
      <c r="I669" s="530">
        <v>54</v>
      </c>
      <c r="J669" s="630" t="s">
        <v>1161</v>
      </c>
      <c r="K669" s="531" t="s">
        <v>1309</v>
      </c>
      <c r="L669" s="532">
        <f t="shared" si="50"/>
        <v>0</v>
      </c>
      <c r="M669" s="532">
        <f t="shared" si="51"/>
        <v>0</v>
      </c>
      <c r="N669" s="532">
        <f t="shared" si="52"/>
        <v>0</v>
      </c>
    </row>
    <row r="670" spans="1:14">
      <c r="A670" s="3" t="s">
        <v>1530</v>
      </c>
      <c r="B670" s="527" t="s">
        <v>1471</v>
      </c>
      <c r="C670" s="134">
        <v>401</v>
      </c>
      <c r="D670" s="535" t="s">
        <v>1472</v>
      </c>
      <c r="E670" s="533" t="s">
        <v>1473</v>
      </c>
      <c r="F670" s="527" t="s">
        <v>1163</v>
      </c>
      <c r="G670" s="527" t="s">
        <v>1474</v>
      </c>
      <c r="H670" s="529">
        <v>2</v>
      </c>
      <c r="I670" s="530">
        <f>1.8*0.8+0.85*2.1</f>
        <v>3.2250000000000001</v>
      </c>
      <c r="J670" s="630" t="s">
        <v>1161</v>
      </c>
      <c r="K670" s="531" t="s">
        <v>1475</v>
      </c>
      <c r="L670" s="532">
        <f t="shared" si="50"/>
        <v>0</v>
      </c>
      <c r="M670" s="532">
        <f t="shared" si="51"/>
        <v>0</v>
      </c>
      <c r="N670" s="532">
        <f t="shared" si="52"/>
        <v>0</v>
      </c>
    </row>
    <row r="671" spans="1:14">
      <c r="A671" s="3" t="s">
        <v>1530</v>
      </c>
      <c r="B671" s="527" t="s">
        <v>1471</v>
      </c>
      <c r="C671" s="134">
        <v>401</v>
      </c>
      <c r="D671" s="535" t="s">
        <v>1472</v>
      </c>
      <c r="E671" s="533" t="s">
        <v>1473</v>
      </c>
      <c r="F671" s="527" t="s">
        <v>1160</v>
      </c>
      <c r="G671" s="527" t="s">
        <v>1474</v>
      </c>
      <c r="H671" s="529">
        <v>2</v>
      </c>
      <c r="I671" s="530">
        <f>1.8*0.8+0.85*2.1</f>
        <v>3.2250000000000001</v>
      </c>
      <c r="J671" s="630" t="s">
        <v>1161</v>
      </c>
      <c r="K671" s="531" t="s">
        <v>1476</v>
      </c>
      <c r="L671" s="532">
        <f t="shared" si="50"/>
        <v>0</v>
      </c>
      <c r="M671" s="532">
        <f t="shared" si="51"/>
        <v>0</v>
      </c>
      <c r="N671" s="532">
        <f t="shared" si="52"/>
        <v>0</v>
      </c>
    </row>
    <row r="672" spans="1:14">
      <c r="A672" s="3" t="s">
        <v>1530</v>
      </c>
      <c r="B672" s="527" t="s">
        <v>1471</v>
      </c>
      <c r="C672" s="134">
        <v>401</v>
      </c>
      <c r="D672" s="535" t="s">
        <v>1472</v>
      </c>
      <c r="E672" s="533" t="s">
        <v>1477</v>
      </c>
      <c r="F672" s="527" t="s">
        <v>1163</v>
      </c>
      <c r="G672" s="527" t="s">
        <v>1478</v>
      </c>
      <c r="H672" s="529">
        <v>2</v>
      </c>
      <c r="I672" s="530">
        <f>2*0.9*3</f>
        <v>5.4</v>
      </c>
      <c r="J672" s="630" t="s">
        <v>1161</v>
      </c>
      <c r="K672" s="531" t="s">
        <v>1476</v>
      </c>
      <c r="L672" s="532">
        <f t="shared" si="50"/>
        <v>0</v>
      </c>
      <c r="M672" s="532">
        <f t="shared" si="51"/>
        <v>0</v>
      </c>
      <c r="N672" s="532">
        <f t="shared" si="52"/>
        <v>0</v>
      </c>
    </row>
    <row r="673" spans="1:14">
      <c r="A673" s="3" t="s">
        <v>1530</v>
      </c>
      <c r="B673" s="527" t="s">
        <v>1471</v>
      </c>
      <c r="C673" s="134">
        <v>401</v>
      </c>
      <c r="D673" s="535" t="s">
        <v>1472</v>
      </c>
      <c r="E673" s="533" t="s">
        <v>1477</v>
      </c>
      <c r="F673" s="527" t="s">
        <v>1160</v>
      </c>
      <c r="G673" s="527" t="s">
        <v>1478</v>
      </c>
      <c r="H673" s="529">
        <v>2</v>
      </c>
      <c r="I673" s="530">
        <f>2*0.9*3</f>
        <v>5.4</v>
      </c>
      <c r="J673" s="630" t="s">
        <v>1161</v>
      </c>
      <c r="K673" s="531" t="s">
        <v>1476</v>
      </c>
      <c r="L673" s="532">
        <f t="shared" si="50"/>
        <v>0</v>
      </c>
      <c r="M673" s="532">
        <f t="shared" si="51"/>
        <v>0</v>
      </c>
      <c r="N673" s="532">
        <f t="shared" si="52"/>
        <v>0</v>
      </c>
    </row>
    <row r="674" spans="1:14">
      <c r="A674" s="3" t="s">
        <v>1530</v>
      </c>
      <c r="B674" s="527" t="s">
        <v>1471</v>
      </c>
      <c r="C674" s="134">
        <v>401</v>
      </c>
      <c r="D674" s="535" t="s">
        <v>1472</v>
      </c>
      <c r="E674" s="533" t="s">
        <v>1479</v>
      </c>
      <c r="F674" s="527" t="s">
        <v>1163</v>
      </c>
      <c r="G674" s="527" t="s">
        <v>1480</v>
      </c>
      <c r="H674" s="529">
        <v>2</v>
      </c>
      <c r="I674" s="530">
        <f>2*0.9*3</f>
        <v>5.4</v>
      </c>
      <c r="J674" s="630" t="s">
        <v>1161</v>
      </c>
      <c r="K674" s="531" t="s">
        <v>1476</v>
      </c>
      <c r="L674" s="532">
        <f t="shared" si="50"/>
        <v>0</v>
      </c>
      <c r="M674" s="532">
        <f t="shared" si="51"/>
        <v>0</v>
      </c>
      <c r="N674" s="532">
        <f t="shared" si="52"/>
        <v>0</v>
      </c>
    </row>
    <row r="675" spans="1:14">
      <c r="A675" s="3" t="s">
        <v>1530</v>
      </c>
      <c r="B675" s="527" t="s">
        <v>1471</v>
      </c>
      <c r="C675" s="134">
        <v>401</v>
      </c>
      <c r="D675" s="535" t="s">
        <v>1472</v>
      </c>
      <c r="E675" s="533" t="s">
        <v>1479</v>
      </c>
      <c r="F675" s="527" t="s">
        <v>1160</v>
      </c>
      <c r="G675" s="527" t="s">
        <v>1480</v>
      </c>
      <c r="H675" s="529">
        <v>2</v>
      </c>
      <c r="I675" s="530">
        <f>2*0.9*3</f>
        <v>5.4</v>
      </c>
      <c r="J675" s="630" t="s">
        <v>1161</v>
      </c>
      <c r="K675" s="531" t="s">
        <v>1476</v>
      </c>
      <c r="L675" s="532">
        <f t="shared" si="50"/>
        <v>0</v>
      </c>
      <c r="M675" s="532">
        <f t="shared" si="51"/>
        <v>0</v>
      </c>
      <c r="N675" s="532">
        <f t="shared" si="52"/>
        <v>0</v>
      </c>
    </row>
    <row r="676" spans="1:14">
      <c r="A676" s="3" t="s">
        <v>1531</v>
      </c>
      <c r="B676" s="527" t="s">
        <v>1481</v>
      </c>
      <c r="C676" s="134">
        <v>402</v>
      </c>
      <c r="D676" s="535" t="s">
        <v>1472</v>
      </c>
      <c r="E676" s="533" t="s">
        <v>1482</v>
      </c>
      <c r="F676" s="527" t="s">
        <v>1163</v>
      </c>
      <c r="G676" s="527" t="s">
        <v>1474</v>
      </c>
      <c r="H676" s="529">
        <v>2</v>
      </c>
      <c r="I676" s="530">
        <f>1.8*0.8+0.85*2.1</f>
        <v>3.2250000000000001</v>
      </c>
      <c r="J676" s="630" t="s">
        <v>1161</v>
      </c>
      <c r="K676" s="531" t="s">
        <v>1483</v>
      </c>
      <c r="L676" s="532">
        <f t="shared" si="50"/>
        <v>0</v>
      </c>
      <c r="M676" s="532">
        <f t="shared" si="51"/>
        <v>0</v>
      </c>
      <c r="N676" s="532">
        <f t="shared" si="52"/>
        <v>0</v>
      </c>
    </row>
    <row r="677" spans="1:14">
      <c r="A677" s="3" t="s">
        <v>1531</v>
      </c>
      <c r="B677" s="527" t="s">
        <v>1481</v>
      </c>
      <c r="C677" s="134">
        <v>402</v>
      </c>
      <c r="D677" s="535" t="s">
        <v>1472</v>
      </c>
      <c r="E677" s="533" t="s">
        <v>1482</v>
      </c>
      <c r="F677" s="527" t="s">
        <v>1160</v>
      </c>
      <c r="G677" s="527" t="s">
        <v>1474</v>
      </c>
      <c r="H677" s="529">
        <v>2</v>
      </c>
      <c r="I677" s="530">
        <f>1.8*0.8+0.85*2.1</f>
        <v>3.2250000000000001</v>
      </c>
      <c r="J677" s="630" t="s">
        <v>1161</v>
      </c>
      <c r="K677" s="531"/>
      <c r="L677" s="532">
        <f t="shared" si="50"/>
        <v>0</v>
      </c>
      <c r="M677" s="532">
        <f t="shared" si="51"/>
        <v>0</v>
      </c>
      <c r="N677" s="532">
        <f t="shared" si="52"/>
        <v>0</v>
      </c>
    </row>
    <row r="678" spans="1:14">
      <c r="A678" s="3" t="s">
        <v>1531</v>
      </c>
      <c r="B678" s="527" t="s">
        <v>1481</v>
      </c>
      <c r="C678" s="134">
        <v>402</v>
      </c>
      <c r="D678" s="535" t="s">
        <v>1472</v>
      </c>
      <c r="E678" s="533" t="s">
        <v>1484</v>
      </c>
      <c r="F678" s="527" t="s">
        <v>1163</v>
      </c>
      <c r="G678" s="527" t="s">
        <v>1478</v>
      </c>
      <c r="H678" s="529">
        <v>2</v>
      </c>
      <c r="I678" s="530">
        <f>2*0.9*3</f>
        <v>5.4</v>
      </c>
      <c r="J678" s="630" t="s">
        <v>1161</v>
      </c>
      <c r="K678" s="531"/>
      <c r="L678" s="532">
        <f t="shared" si="50"/>
        <v>0</v>
      </c>
      <c r="M678" s="532">
        <f t="shared" si="51"/>
        <v>0</v>
      </c>
      <c r="N678" s="532">
        <f t="shared" si="52"/>
        <v>0</v>
      </c>
    </row>
    <row r="679" spans="1:14">
      <c r="A679" s="3" t="s">
        <v>1531</v>
      </c>
      <c r="B679" s="527" t="s">
        <v>1481</v>
      </c>
      <c r="C679" s="134">
        <v>402</v>
      </c>
      <c r="D679" s="535" t="s">
        <v>1472</v>
      </c>
      <c r="E679" s="533" t="s">
        <v>1484</v>
      </c>
      <c r="F679" s="527" t="s">
        <v>1160</v>
      </c>
      <c r="G679" s="527" t="s">
        <v>1478</v>
      </c>
      <c r="H679" s="529">
        <v>2</v>
      </c>
      <c r="I679" s="530">
        <f>2*0.9*3</f>
        <v>5.4</v>
      </c>
      <c r="J679" s="630" t="s">
        <v>1161</v>
      </c>
      <c r="K679" s="531" t="s">
        <v>1485</v>
      </c>
      <c r="L679" s="532">
        <f t="shared" si="50"/>
        <v>0</v>
      </c>
      <c r="M679" s="532">
        <f t="shared" si="51"/>
        <v>0</v>
      </c>
      <c r="N679" s="532">
        <f t="shared" si="52"/>
        <v>0</v>
      </c>
    </row>
    <row r="680" spans="1:14">
      <c r="A680" s="3" t="s">
        <v>1531</v>
      </c>
      <c r="B680" s="527" t="s">
        <v>1481</v>
      </c>
      <c r="C680" s="134">
        <v>402</v>
      </c>
      <c r="D680" s="535" t="s">
        <v>1472</v>
      </c>
      <c r="E680" s="533" t="s">
        <v>1486</v>
      </c>
      <c r="F680" s="527" t="s">
        <v>1163</v>
      </c>
      <c r="G680" s="527" t="s">
        <v>1480</v>
      </c>
      <c r="H680" s="529">
        <v>2</v>
      </c>
      <c r="I680" s="530">
        <f>2*0.9*3</f>
        <v>5.4</v>
      </c>
      <c r="J680" s="630" t="s">
        <v>1161</v>
      </c>
      <c r="K680" s="531"/>
      <c r="L680" s="532">
        <f t="shared" si="50"/>
        <v>0</v>
      </c>
      <c r="M680" s="532">
        <f t="shared" si="51"/>
        <v>0</v>
      </c>
      <c r="N680" s="532">
        <f t="shared" si="52"/>
        <v>0</v>
      </c>
    </row>
    <row r="681" spans="1:14">
      <c r="A681" s="3" t="s">
        <v>1531</v>
      </c>
      <c r="B681" s="527" t="s">
        <v>1481</v>
      </c>
      <c r="C681" s="134">
        <v>402</v>
      </c>
      <c r="D681" s="535" t="s">
        <v>1472</v>
      </c>
      <c r="E681" s="533" t="s">
        <v>1486</v>
      </c>
      <c r="F681" s="527" t="s">
        <v>1160</v>
      </c>
      <c r="G681" s="527" t="s">
        <v>1480</v>
      </c>
      <c r="H681" s="529">
        <v>2</v>
      </c>
      <c r="I681" s="530">
        <f>2*0.9*3</f>
        <v>5.4</v>
      </c>
      <c r="J681" s="630" t="s">
        <v>1161</v>
      </c>
      <c r="K681" s="531" t="s">
        <v>1485</v>
      </c>
      <c r="L681" s="532">
        <f t="shared" si="50"/>
        <v>0</v>
      </c>
      <c r="M681" s="532">
        <f t="shared" si="51"/>
        <v>0</v>
      </c>
      <c r="N681" s="532">
        <f t="shared" si="52"/>
        <v>0</v>
      </c>
    </row>
    <row r="682" spans="1:14">
      <c r="A682" s="3" t="s">
        <v>1532</v>
      </c>
      <c r="B682" s="527" t="s">
        <v>1489</v>
      </c>
      <c r="C682" s="134">
        <v>405</v>
      </c>
      <c r="D682" s="535" t="s">
        <v>1472</v>
      </c>
      <c r="E682" s="533" t="s">
        <v>1482</v>
      </c>
      <c r="F682" s="527" t="s">
        <v>1163</v>
      </c>
      <c r="G682" s="527" t="s">
        <v>1474</v>
      </c>
      <c r="H682" s="529">
        <v>2</v>
      </c>
      <c r="I682" s="530">
        <f>1.8*0.8+0.85*2.1</f>
        <v>3.2250000000000001</v>
      </c>
      <c r="J682" s="630" t="s">
        <v>1161</v>
      </c>
      <c r="K682" s="531" t="s">
        <v>1490</v>
      </c>
      <c r="L682" s="532">
        <f t="shared" si="50"/>
        <v>0</v>
      </c>
      <c r="M682" s="532">
        <f t="shared" si="51"/>
        <v>0</v>
      </c>
      <c r="N682" s="532">
        <f t="shared" si="52"/>
        <v>0</v>
      </c>
    </row>
    <row r="683" spans="1:14">
      <c r="A683" s="3" t="s">
        <v>1532</v>
      </c>
      <c r="B683" s="527" t="s">
        <v>1489</v>
      </c>
      <c r="C683" s="134">
        <v>405</v>
      </c>
      <c r="D683" s="535" t="s">
        <v>1472</v>
      </c>
      <c r="E683" s="533" t="s">
        <v>1482</v>
      </c>
      <c r="F683" s="527" t="s">
        <v>1160</v>
      </c>
      <c r="G683" s="527" t="s">
        <v>1474</v>
      </c>
      <c r="H683" s="529">
        <v>2</v>
      </c>
      <c r="I683" s="530">
        <f>1.8*0.8+0.85*2.1</f>
        <v>3.2250000000000001</v>
      </c>
      <c r="J683" s="630" t="s">
        <v>1161</v>
      </c>
      <c r="K683" s="531"/>
      <c r="L683" s="532">
        <f t="shared" si="50"/>
        <v>0</v>
      </c>
      <c r="M683" s="532">
        <f t="shared" si="51"/>
        <v>0</v>
      </c>
      <c r="N683" s="532">
        <f t="shared" si="52"/>
        <v>0</v>
      </c>
    </row>
    <row r="684" spans="1:14">
      <c r="A684" s="3" t="s">
        <v>1532</v>
      </c>
      <c r="B684" s="527" t="s">
        <v>1489</v>
      </c>
      <c r="C684" s="134">
        <v>405</v>
      </c>
      <c r="D684" s="535" t="s">
        <v>1472</v>
      </c>
      <c r="E684" s="533" t="s">
        <v>1484</v>
      </c>
      <c r="F684" s="527" t="s">
        <v>1163</v>
      </c>
      <c r="G684" s="527" t="s">
        <v>1478</v>
      </c>
      <c r="H684" s="529">
        <v>2</v>
      </c>
      <c r="I684" s="530">
        <f>2*0.9*3</f>
        <v>5.4</v>
      </c>
      <c r="J684" s="630" t="s">
        <v>1161</v>
      </c>
      <c r="K684" s="531"/>
      <c r="L684" s="532">
        <f t="shared" si="50"/>
        <v>0</v>
      </c>
      <c r="M684" s="532">
        <f t="shared" si="51"/>
        <v>0</v>
      </c>
      <c r="N684" s="532">
        <f t="shared" si="52"/>
        <v>0</v>
      </c>
    </row>
    <row r="685" spans="1:14">
      <c r="A685" s="3" t="s">
        <v>1532</v>
      </c>
      <c r="B685" s="527" t="s">
        <v>1489</v>
      </c>
      <c r="C685" s="134">
        <v>405</v>
      </c>
      <c r="D685" s="535" t="s">
        <v>1472</v>
      </c>
      <c r="E685" s="533" t="s">
        <v>1484</v>
      </c>
      <c r="F685" s="527" t="s">
        <v>1160</v>
      </c>
      <c r="G685" s="527" t="s">
        <v>1478</v>
      </c>
      <c r="H685" s="529">
        <v>2</v>
      </c>
      <c r="I685" s="530">
        <f>2*0.9*3</f>
        <v>5.4</v>
      </c>
      <c r="J685" s="630" t="s">
        <v>1161</v>
      </c>
      <c r="K685" s="531" t="s">
        <v>1491</v>
      </c>
      <c r="L685" s="532">
        <f t="shared" si="50"/>
        <v>0</v>
      </c>
      <c r="M685" s="532">
        <f t="shared" si="51"/>
        <v>0</v>
      </c>
      <c r="N685" s="532">
        <f t="shared" si="52"/>
        <v>0</v>
      </c>
    </row>
    <row r="686" spans="1:14">
      <c r="A686" s="3" t="s">
        <v>1532</v>
      </c>
      <c r="B686" s="527" t="s">
        <v>1489</v>
      </c>
      <c r="C686" s="134">
        <v>405</v>
      </c>
      <c r="D686" s="535" t="s">
        <v>1472</v>
      </c>
      <c r="E686" s="533" t="s">
        <v>1486</v>
      </c>
      <c r="F686" s="527" t="s">
        <v>1163</v>
      </c>
      <c r="G686" s="527" t="s">
        <v>1480</v>
      </c>
      <c r="H686" s="529">
        <v>2</v>
      </c>
      <c r="I686" s="530">
        <f>2*0.9*3</f>
        <v>5.4</v>
      </c>
      <c r="J686" s="630" t="s">
        <v>1161</v>
      </c>
      <c r="K686" s="531"/>
      <c r="L686" s="532">
        <f t="shared" si="50"/>
        <v>0</v>
      </c>
      <c r="M686" s="532">
        <f t="shared" si="51"/>
        <v>0</v>
      </c>
      <c r="N686" s="532">
        <f t="shared" si="52"/>
        <v>0</v>
      </c>
    </row>
    <row r="687" spans="1:14">
      <c r="A687" s="3" t="s">
        <v>1532</v>
      </c>
      <c r="B687" s="527" t="s">
        <v>1489</v>
      </c>
      <c r="C687" s="134">
        <v>405</v>
      </c>
      <c r="D687" s="535" t="s">
        <v>1472</v>
      </c>
      <c r="E687" s="533" t="s">
        <v>1486</v>
      </c>
      <c r="F687" s="527" t="s">
        <v>1160</v>
      </c>
      <c r="G687" s="527" t="s">
        <v>1480</v>
      </c>
      <c r="H687" s="529">
        <v>2</v>
      </c>
      <c r="I687" s="530">
        <f>2*0.9*3</f>
        <v>5.4</v>
      </c>
      <c r="J687" s="630" t="s">
        <v>1161</v>
      </c>
      <c r="K687" s="531"/>
      <c r="L687" s="532">
        <f t="shared" si="50"/>
        <v>0</v>
      </c>
      <c r="M687" s="532">
        <f t="shared" si="51"/>
        <v>0</v>
      </c>
      <c r="N687" s="532">
        <f t="shared" si="52"/>
        <v>0</v>
      </c>
    </row>
    <row r="688" spans="1:14">
      <c r="A688" s="3" t="s">
        <v>1533</v>
      </c>
      <c r="B688" s="527" t="s">
        <v>1492</v>
      </c>
      <c r="C688" s="134">
        <v>406</v>
      </c>
      <c r="D688" s="535" t="s">
        <v>1472</v>
      </c>
      <c r="E688" s="533" t="s">
        <v>1482</v>
      </c>
      <c r="F688" s="527" t="s">
        <v>1163</v>
      </c>
      <c r="G688" s="527" t="s">
        <v>1474</v>
      </c>
      <c r="H688" s="529">
        <v>2</v>
      </c>
      <c r="I688" s="530">
        <f>1.8*0.8+0.85*2.1</f>
        <v>3.2250000000000001</v>
      </c>
      <c r="J688" s="630" t="s">
        <v>1161</v>
      </c>
      <c r="K688" s="531" t="s">
        <v>1493</v>
      </c>
      <c r="L688" s="532">
        <f t="shared" si="50"/>
        <v>0</v>
      </c>
      <c r="M688" s="532">
        <f t="shared" si="51"/>
        <v>0</v>
      </c>
      <c r="N688" s="532">
        <f t="shared" si="52"/>
        <v>0</v>
      </c>
    </row>
    <row r="689" spans="1:14">
      <c r="A689" s="3" t="s">
        <v>1533</v>
      </c>
      <c r="B689" s="527" t="s">
        <v>1492</v>
      </c>
      <c r="C689" s="134">
        <v>406</v>
      </c>
      <c r="D689" s="535" t="s">
        <v>1472</v>
      </c>
      <c r="E689" s="533" t="s">
        <v>1482</v>
      </c>
      <c r="F689" s="527" t="s">
        <v>1160</v>
      </c>
      <c r="G689" s="527" t="s">
        <v>1474</v>
      </c>
      <c r="H689" s="529">
        <v>2</v>
      </c>
      <c r="I689" s="530">
        <f>1.8*0.8</f>
        <v>1.4400000000000002</v>
      </c>
      <c r="J689" s="630" t="s">
        <v>1161</v>
      </c>
      <c r="K689" s="531"/>
      <c r="L689" s="532">
        <f t="shared" si="50"/>
        <v>0</v>
      </c>
      <c r="M689" s="532">
        <f t="shared" si="51"/>
        <v>0</v>
      </c>
      <c r="N689" s="532">
        <f t="shared" si="52"/>
        <v>0</v>
      </c>
    </row>
    <row r="690" spans="1:14">
      <c r="A690" s="3" t="s">
        <v>1533</v>
      </c>
      <c r="B690" s="527" t="s">
        <v>1492</v>
      </c>
      <c r="C690" s="134">
        <v>406</v>
      </c>
      <c r="D690" s="535" t="s">
        <v>1472</v>
      </c>
      <c r="E690" s="533" t="s">
        <v>1484</v>
      </c>
      <c r="F690" s="527" t="s">
        <v>1163</v>
      </c>
      <c r="G690" s="527" t="s">
        <v>1478</v>
      </c>
      <c r="H690" s="529">
        <v>2</v>
      </c>
      <c r="I690" s="530">
        <f>2*0.9*2.1</f>
        <v>3.7800000000000002</v>
      </c>
      <c r="J690" s="630" t="s">
        <v>1161</v>
      </c>
      <c r="K690" s="531"/>
      <c r="L690" s="532">
        <f t="shared" si="50"/>
        <v>0</v>
      </c>
      <c r="M690" s="532">
        <f t="shared" si="51"/>
        <v>0</v>
      </c>
      <c r="N690" s="532">
        <f t="shared" si="52"/>
        <v>0</v>
      </c>
    </row>
    <row r="691" spans="1:14">
      <c r="A691" s="3" t="s">
        <v>1533</v>
      </c>
      <c r="B691" s="527" t="s">
        <v>1492</v>
      </c>
      <c r="C691" s="134">
        <v>406</v>
      </c>
      <c r="D691" s="535" t="s">
        <v>1472</v>
      </c>
      <c r="E691" s="533" t="s">
        <v>1486</v>
      </c>
      <c r="F691" s="527" t="s">
        <v>1163</v>
      </c>
      <c r="G691" s="527" t="s">
        <v>1480</v>
      </c>
      <c r="H691" s="529">
        <v>2</v>
      </c>
      <c r="I691" s="530">
        <f>1*0.9*0.9+2*0.9*2.1</f>
        <v>4.59</v>
      </c>
      <c r="J691" s="630" t="s">
        <v>1161</v>
      </c>
      <c r="K691" s="531"/>
      <c r="L691" s="532">
        <f t="shared" si="50"/>
        <v>0</v>
      </c>
      <c r="M691" s="532">
        <f t="shared" si="51"/>
        <v>0</v>
      </c>
      <c r="N691" s="532">
        <f t="shared" si="52"/>
        <v>0</v>
      </c>
    </row>
    <row r="692" spans="1:14">
      <c r="A692" s="3" t="s">
        <v>1533</v>
      </c>
      <c r="B692" s="527" t="s">
        <v>1492</v>
      </c>
      <c r="C692" s="134">
        <v>406</v>
      </c>
      <c r="D692" s="535" t="s">
        <v>1472</v>
      </c>
      <c r="E692" s="533" t="s">
        <v>1486</v>
      </c>
      <c r="F692" s="527" t="s">
        <v>1160</v>
      </c>
      <c r="G692" s="527" t="s">
        <v>1480</v>
      </c>
      <c r="H692" s="529">
        <v>2</v>
      </c>
      <c r="I692" s="530">
        <f>1*0.9*0.9</f>
        <v>0.81</v>
      </c>
      <c r="J692" s="630" t="s">
        <v>1161</v>
      </c>
      <c r="K692" s="531"/>
      <c r="L692" s="532">
        <f t="shared" si="50"/>
        <v>0</v>
      </c>
      <c r="M692" s="532">
        <f t="shared" si="51"/>
        <v>0</v>
      </c>
      <c r="N692" s="532">
        <f t="shared" si="52"/>
        <v>0</v>
      </c>
    </row>
    <row r="693" spans="1:14">
      <c r="A693" s="3" t="s">
        <v>1534</v>
      </c>
      <c r="B693" s="527" t="s">
        <v>1494</v>
      </c>
      <c r="C693" s="134">
        <v>407</v>
      </c>
      <c r="D693" s="535" t="s">
        <v>1472</v>
      </c>
      <c r="E693" s="533" t="s">
        <v>1482</v>
      </c>
      <c r="F693" s="527" t="s">
        <v>1163</v>
      </c>
      <c r="G693" s="527" t="s">
        <v>1474</v>
      </c>
      <c r="H693" s="529">
        <v>2</v>
      </c>
      <c r="I693" s="530">
        <f>1.8*0.8+0.85*2.1</f>
        <v>3.2250000000000001</v>
      </c>
      <c r="J693" s="630" t="s">
        <v>1161</v>
      </c>
      <c r="K693" s="531" t="s">
        <v>1495</v>
      </c>
      <c r="L693" s="532">
        <f t="shared" si="50"/>
        <v>0</v>
      </c>
      <c r="M693" s="532">
        <f t="shared" si="51"/>
        <v>0</v>
      </c>
      <c r="N693" s="532">
        <f t="shared" si="52"/>
        <v>0</v>
      </c>
    </row>
    <row r="694" spans="1:14">
      <c r="A694" s="3" t="s">
        <v>1534</v>
      </c>
      <c r="B694" s="527" t="s">
        <v>1494</v>
      </c>
      <c r="C694" s="134">
        <v>407</v>
      </c>
      <c r="D694" s="535" t="s">
        <v>1472</v>
      </c>
      <c r="E694" s="533" t="s">
        <v>1482</v>
      </c>
      <c r="F694" s="527" t="s">
        <v>1160</v>
      </c>
      <c r="G694" s="527" t="s">
        <v>1474</v>
      </c>
      <c r="H694" s="529">
        <v>2</v>
      </c>
      <c r="I694" s="530">
        <f>1.8*0.8+0.85*2.1</f>
        <v>3.2250000000000001</v>
      </c>
      <c r="J694" s="630" t="s">
        <v>1161</v>
      </c>
      <c r="K694" s="531" t="s">
        <v>1496</v>
      </c>
      <c r="L694" s="532">
        <f t="shared" si="50"/>
        <v>0</v>
      </c>
      <c r="M694" s="532">
        <f t="shared" si="51"/>
        <v>0</v>
      </c>
      <c r="N694" s="532">
        <f t="shared" si="52"/>
        <v>0</v>
      </c>
    </row>
    <row r="695" spans="1:14">
      <c r="A695" s="3" t="s">
        <v>1534</v>
      </c>
      <c r="B695" s="527" t="s">
        <v>1494</v>
      </c>
      <c r="C695" s="134">
        <v>407</v>
      </c>
      <c r="D695" s="535" t="s">
        <v>1472</v>
      </c>
      <c r="E695" s="533" t="s">
        <v>1484</v>
      </c>
      <c r="F695" s="527" t="s">
        <v>1163</v>
      </c>
      <c r="G695" s="527" t="s">
        <v>1478</v>
      </c>
      <c r="H695" s="529">
        <v>2</v>
      </c>
      <c r="I695" s="530">
        <f>1*0.9*3+0.9*0.9+0.9*1</f>
        <v>4.41</v>
      </c>
      <c r="J695" s="630" t="s">
        <v>1161</v>
      </c>
      <c r="K695" s="531"/>
      <c r="L695" s="532">
        <f t="shared" si="50"/>
        <v>0</v>
      </c>
      <c r="M695" s="532">
        <f t="shared" si="51"/>
        <v>0</v>
      </c>
      <c r="N695" s="532">
        <f t="shared" si="52"/>
        <v>0</v>
      </c>
    </row>
    <row r="696" spans="1:14">
      <c r="A696" s="3" t="s">
        <v>1534</v>
      </c>
      <c r="B696" s="527" t="s">
        <v>1494</v>
      </c>
      <c r="C696" s="134">
        <v>407</v>
      </c>
      <c r="D696" s="535" t="s">
        <v>1472</v>
      </c>
      <c r="E696" s="533" t="s">
        <v>1484</v>
      </c>
      <c r="F696" s="527" t="s">
        <v>1160</v>
      </c>
      <c r="G696" s="527" t="s">
        <v>1478</v>
      </c>
      <c r="H696" s="529">
        <v>2</v>
      </c>
      <c r="I696" s="530">
        <f>1*0.9*3+0.9*0.9</f>
        <v>3.5100000000000002</v>
      </c>
      <c r="J696" s="630" t="s">
        <v>1161</v>
      </c>
      <c r="K696" s="531" t="s">
        <v>1496</v>
      </c>
      <c r="L696" s="532">
        <f t="shared" si="50"/>
        <v>0</v>
      </c>
      <c r="M696" s="532">
        <f t="shared" si="51"/>
        <v>0</v>
      </c>
      <c r="N696" s="532">
        <f t="shared" si="52"/>
        <v>0</v>
      </c>
    </row>
    <row r="697" spans="1:14">
      <c r="A697" s="3" t="s">
        <v>1534</v>
      </c>
      <c r="B697" s="527" t="s">
        <v>1494</v>
      </c>
      <c r="C697" s="134">
        <v>407</v>
      </c>
      <c r="D697" s="535" t="s">
        <v>1472</v>
      </c>
      <c r="E697" s="533" t="s">
        <v>1486</v>
      </c>
      <c r="F697" s="527" t="s">
        <v>1163</v>
      </c>
      <c r="G697" s="527" t="s">
        <v>1480</v>
      </c>
      <c r="H697" s="529">
        <v>2</v>
      </c>
      <c r="I697" s="530">
        <f>2*0.9*3</f>
        <v>5.4</v>
      </c>
      <c r="J697" s="630" t="s">
        <v>1161</v>
      </c>
      <c r="K697" s="531"/>
      <c r="L697" s="532">
        <f t="shared" si="50"/>
        <v>0</v>
      </c>
      <c r="M697" s="532">
        <f t="shared" si="51"/>
        <v>0</v>
      </c>
      <c r="N697" s="532">
        <f t="shared" si="52"/>
        <v>0</v>
      </c>
    </row>
    <row r="698" spans="1:14">
      <c r="A698" s="3" t="s">
        <v>1534</v>
      </c>
      <c r="B698" s="527" t="s">
        <v>1494</v>
      </c>
      <c r="C698" s="134">
        <v>407</v>
      </c>
      <c r="D698" s="535" t="s">
        <v>1472</v>
      </c>
      <c r="E698" s="533" t="s">
        <v>1486</v>
      </c>
      <c r="F698" s="527" t="s">
        <v>1160</v>
      </c>
      <c r="G698" s="527" t="s">
        <v>1480</v>
      </c>
      <c r="H698" s="529">
        <v>2</v>
      </c>
      <c r="I698" s="530">
        <f>2*0.9*3</f>
        <v>5.4</v>
      </c>
      <c r="J698" s="630" t="s">
        <v>1161</v>
      </c>
      <c r="K698" s="531" t="s">
        <v>1485</v>
      </c>
      <c r="L698" s="532">
        <f t="shared" si="50"/>
        <v>0</v>
      </c>
      <c r="M698" s="532">
        <f t="shared" si="51"/>
        <v>0</v>
      </c>
      <c r="N698" s="532">
        <f t="shared" si="52"/>
        <v>0</v>
      </c>
    </row>
    <row r="699" spans="1:14">
      <c r="A699" s="3" t="s">
        <v>1535</v>
      </c>
      <c r="B699" s="527" t="s">
        <v>1497</v>
      </c>
      <c r="C699" s="134">
        <v>408</v>
      </c>
      <c r="D699" s="535" t="s">
        <v>1472</v>
      </c>
      <c r="E699" s="533" t="s">
        <v>1482</v>
      </c>
      <c r="F699" s="527" t="s">
        <v>1163</v>
      </c>
      <c r="G699" s="527" t="s">
        <v>1474</v>
      </c>
      <c r="H699" s="529">
        <v>2</v>
      </c>
      <c r="I699" s="530">
        <f>1.8*0.8+0.85*2.1</f>
        <v>3.2250000000000001</v>
      </c>
      <c r="J699" s="630" t="s">
        <v>1161</v>
      </c>
      <c r="K699" s="531" t="s">
        <v>1498</v>
      </c>
      <c r="L699" s="532">
        <f t="shared" si="50"/>
        <v>0</v>
      </c>
      <c r="M699" s="532">
        <f t="shared" si="51"/>
        <v>0</v>
      </c>
      <c r="N699" s="532">
        <f t="shared" si="52"/>
        <v>0</v>
      </c>
    </row>
    <row r="700" spans="1:14">
      <c r="A700" s="3" t="s">
        <v>1535</v>
      </c>
      <c r="B700" s="527" t="s">
        <v>1497</v>
      </c>
      <c r="C700" s="134">
        <v>408</v>
      </c>
      <c r="D700" s="535" t="s">
        <v>1472</v>
      </c>
      <c r="E700" s="533" t="s">
        <v>1482</v>
      </c>
      <c r="F700" s="527" t="s">
        <v>1160</v>
      </c>
      <c r="G700" s="527" t="s">
        <v>1474</v>
      </c>
      <c r="H700" s="529">
        <v>2</v>
      </c>
      <c r="I700" s="530">
        <f>1.8*0.8</f>
        <v>1.4400000000000002</v>
      </c>
      <c r="J700" s="630" t="s">
        <v>1161</v>
      </c>
      <c r="K700" s="531" t="s">
        <v>1476</v>
      </c>
      <c r="L700" s="532">
        <f t="shared" si="50"/>
        <v>0</v>
      </c>
      <c r="M700" s="532">
        <f t="shared" si="51"/>
        <v>0</v>
      </c>
      <c r="N700" s="532">
        <f t="shared" si="52"/>
        <v>0</v>
      </c>
    </row>
    <row r="701" spans="1:14">
      <c r="A701" s="3" t="s">
        <v>1535</v>
      </c>
      <c r="B701" s="527" t="s">
        <v>1497</v>
      </c>
      <c r="C701" s="134">
        <v>408</v>
      </c>
      <c r="D701" s="535" t="s">
        <v>1472</v>
      </c>
      <c r="E701" s="533" t="s">
        <v>1484</v>
      </c>
      <c r="F701" s="527" t="s">
        <v>1163</v>
      </c>
      <c r="G701" s="527" t="s">
        <v>1478</v>
      </c>
      <c r="H701" s="529">
        <v>2</v>
      </c>
      <c r="I701" s="530">
        <f>2*0.9*0.9+2*0.9*2.1</f>
        <v>5.4</v>
      </c>
      <c r="J701" s="630" t="s">
        <v>1161</v>
      </c>
      <c r="K701" s="531" t="s">
        <v>1476</v>
      </c>
      <c r="L701" s="532">
        <f t="shared" si="50"/>
        <v>0</v>
      </c>
      <c r="M701" s="532">
        <f t="shared" si="51"/>
        <v>0</v>
      </c>
      <c r="N701" s="532">
        <f t="shared" si="52"/>
        <v>0</v>
      </c>
    </row>
    <row r="702" spans="1:14">
      <c r="A702" s="3" t="s">
        <v>1535</v>
      </c>
      <c r="B702" s="527" t="s">
        <v>1497</v>
      </c>
      <c r="C702" s="134">
        <v>408</v>
      </c>
      <c r="D702" s="535" t="s">
        <v>1472</v>
      </c>
      <c r="E702" s="533" t="s">
        <v>1484</v>
      </c>
      <c r="F702" s="527" t="s">
        <v>1160</v>
      </c>
      <c r="G702" s="527" t="s">
        <v>1478</v>
      </c>
      <c r="H702" s="529">
        <v>2</v>
      </c>
      <c r="I702" s="530">
        <f>2*0.9*0.9</f>
        <v>1.62</v>
      </c>
      <c r="J702" s="630" t="s">
        <v>1161</v>
      </c>
      <c r="K702" s="531" t="s">
        <v>1476</v>
      </c>
      <c r="L702" s="532">
        <f t="shared" si="50"/>
        <v>0</v>
      </c>
      <c r="M702" s="532">
        <f t="shared" si="51"/>
        <v>0</v>
      </c>
      <c r="N702" s="532">
        <f t="shared" si="52"/>
        <v>0</v>
      </c>
    </row>
    <row r="703" spans="1:14">
      <c r="A703" s="3" t="s">
        <v>1535</v>
      </c>
      <c r="B703" s="527" t="s">
        <v>1497</v>
      </c>
      <c r="C703" s="134">
        <v>408</v>
      </c>
      <c r="D703" s="535" t="s">
        <v>1472</v>
      </c>
      <c r="E703" s="533" t="s">
        <v>1486</v>
      </c>
      <c r="F703" s="527" t="s">
        <v>1163</v>
      </c>
      <c r="G703" s="527" t="s">
        <v>1480</v>
      </c>
      <c r="H703" s="529">
        <v>2</v>
      </c>
      <c r="I703" s="530">
        <f>0.9*1+0.9*2+0.9*0.9+0.9*2.1</f>
        <v>5.4</v>
      </c>
      <c r="J703" s="630" t="s">
        <v>1161</v>
      </c>
      <c r="K703" s="531" t="s">
        <v>1476</v>
      </c>
      <c r="L703" s="532">
        <f t="shared" si="50"/>
        <v>0</v>
      </c>
      <c r="M703" s="532">
        <f t="shared" si="51"/>
        <v>0</v>
      </c>
      <c r="N703" s="532">
        <f t="shared" si="52"/>
        <v>0</v>
      </c>
    </row>
    <row r="704" spans="1:14">
      <c r="A704" s="3" t="s">
        <v>1535</v>
      </c>
      <c r="B704" s="527" t="s">
        <v>1497</v>
      </c>
      <c r="C704" s="134">
        <v>408</v>
      </c>
      <c r="D704" s="535" t="s">
        <v>1472</v>
      </c>
      <c r="E704" s="533" t="s">
        <v>1486</v>
      </c>
      <c r="F704" s="527" t="s">
        <v>1160</v>
      </c>
      <c r="G704" s="527" t="s">
        <v>1480</v>
      </c>
      <c r="H704" s="529">
        <v>2</v>
      </c>
      <c r="I704" s="530">
        <f>0.9*2+0.9*0.9</f>
        <v>2.6100000000000003</v>
      </c>
      <c r="J704" s="630" t="s">
        <v>1161</v>
      </c>
      <c r="K704" s="531" t="s">
        <v>1476</v>
      </c>
      <c r="L704" s="532">
        <f t="shared" ref="L704:L708" si="53">IF(J704="ja",0,VLOOKUP(F704,Glassoort2,2,0))*I704</f>
        <v>0</v>
      </c>
      <c r="M704" s="532">
        <f t="shared" ref="M704:M708" si="54">IF(J704="ja",VLOOKUP(F704,Glassoort2,3,0))*I704</f>
        <v>0</v>
      </c>
      <c r="N704" s="532">
        <f t="shared" ref="N704:N708" si="55">(M704*H704)+(L704*H704)</f>
        <v>0</v>
      </c>
    </row>
    <row r="705" spans="1:14">
      <c r="A705" s="3" t="str">
        <f t="shared" ref="A705:A708" si="56">CONCATENATE(C705,H705)</f>
        <v>10012</v>
      </c>
      <c r="B705" s="28" t="s">
        <v>1038</v>
      </c>
      <c r="C705" s="134">
        <v>1001</v>
      </c>
      <c r="D705" s="528" t="s">
        <v>1042</v>
      </c>
      <c r="E705" s="135" t="s">
        <v>99</v>
      </c>
      <c r="F705" s="527" t="s">
        <v>1172</v>
      </c>
      <c r="G705" s="527" t="s">
        <v>1173</v>
      </c>
      <c r="H705" s="529">
        <v>2</v>
      </c>
      <c r="I705" s="530">
        <v>48</v>
      </c>
      <c r="J705" s="630" t="s">
        <v>1161</v>
      </c>
      <c r="K705" s="531"/>
      <c r="L705" s="532">
        <f t="shared" si="53"/>
        <v>0</v>
      </c>
      <c r="M705" s="532">
        <f t="shared" si="54"/>
        <v>0</v>
      </c>
      <c r="N705" s="532">
        <f t="shared" si="55"/>
        <v>0</v>
      </c>
    </row>
    <row r="706" spans="1:14">
      <c r="A706" s="3" t="str">
        <f t="shared" si="56"/>
        <v>10012</v>
      </c>
      <c r="B706" s="28" t="s">
        <v>1038</v>
      </c>
      <c r="C706" s="134">
        <v>1001</v>
      </c>
      <c r="D706" s="528" t="s">
        <v>1042</v>
      </c>
      <c r="E706" s="135" t="s">
        <v>99</v>
      </c>
      <c r="F706" s="527" t="s">
        <v>1174</v>
      </c>
      <c r="G706" s="527" t="s">
        <v>1173</v>
      </c>
      <c r="H706" s="529">
        <v>2</v>
      </c>
      <c r="I706" s="530">
        <v>48</v>
      </c>
      <c r="J706" s="630" t="s">
        <v>1164</v>
      </c>
      <c r="K706" s="531"/>
      <c r="L706" s="532">
        <f t="shared" si="53"/>
        <v>0</v>
      </c>
      <c r="M706" s="532">
        <f t="shared" si="54"/>
        <v>0</v>
      </c>
      <c r="N706" s="532">
        <f t="shared" si="55"/>
        <v>0</v>
      </c>
    </row>
    <row r="707" spans="1:14">
      <c r="A707" s="3" t="str">
        <f t="shared" si="56"/>
        <v>10012</v>
      </c>
      <c r="B707" s="28" t="s">
        <v>1038</v>
      </c>
      <c r="C707" s="134">
        <v>1001</v>
      </c>
      <c r="D707" s="528" t="s">
        <v>1042</v>
      </c>
      <c r="E707" s="135" t="s">
        <v>99</v>
      </c>
      <c r="F707" s="527" t="s">
        <v>1175</v>
      </c>
      <c r="G707" s="527" t="s">
        <v>1176</v>
      </c>
      <c r="H707" s="529">
        <v>2</v>
      </c>
      <c r="I707" s="530">
        <v>18</v>
      </c>
      <c r="J707" s="630" t="s">
        <v>1161</v>
      </c>
      <c r="K707" s="531"/>
      <c r="L707" s="532">
        <f t="shared" si="53"/>
        <v>0</v>
      </c>
      <c r="M707" s="532">
        <f t="shared" si="54"/>
        <v>0</v>
      </c>
      <c r="N707" s="532">
        <f t="shared" si="55"/>
        <v>0</v>
      </c>
    </row>
    <row r="708" spans="1:14">
      <c r="A708" s="3" t="str">
        <f t="shared" si="56"/>
        <v>10012</v>
      </c>
      <c r="B708" s="28" t="s">
        <v>1038</v>
      </c>
      <c r="C708" s="134">
        <v>1001</v>
      </c>
      <c r="D708" s="528" t="s">
        <v>1042</v>
      </c>
      <c r="E708" s="135" t="s">
        <v>99</v>
      </c>
      <c r="F708" s="527" t="s">
        <v>1177</v>
      </c>
      <c r="G708" s="527" t="s">
        <v>1176</v>
      </c>
      <c r="H708" s="529">
        <v>2</v>
      </c>
      <c r="I708" s="530">
        <v>18</v>
      </c>
      <c r="J708" s="630" t="s">
        <v>1161</v>
      </c>
      <c r="K708" s="531"/>
      <c r="L708" s="532">
        <f t="shared" si="53"/>
        <v>0</v>
      </c>
      <c r="M708" s="532">
        <f t="shared" si="54"/>
        <v>0</v>
      </c>
      <c r="N708" s="532">
        <f t="shared" si="55"/>
        <v>0</v>
      </c>
    </row>
    <row r="709" spans="1:14">
      <c r="A709" s="3" t="str">
        <f t="shared" ref="A709:A712" si="57">CONCATENATE(C709,H709)</f>
        <v>10022</v>
      </c>
      <c r="B709" s="28" t="s">
        <v>1069</v>
      </c>
      <c r="C709" s="134">
        <v>1002</v>
      </c>
      <c r="D709" s="528" t="s">
        <v>1042</v>
      </c>
      <c r="E709" s="135" t="s">
        <v>99</v>
      </c>
      <c r="F709" s="527" t="s">
        <v>1172</v>
      </c>
      <c r="G709" s="527" t="s">
        <v>1173</v>
      </c>
      <c r="H709" s="529">
        <v>2</v>
      </c>
      <c r="I709" s="530">
        <v>96</v>
      </c>
      <c r="J709" s="630" t="s">
        <v>1161</v>
      </c>
      <c r="K709" s="531"/>
      <c r="L709" s="532">
        <f t="shared" si="50"/>
        <v>0</v>
      </c>
      <c r="M709" s="532">
        <f t="shared" si="51"/>
        <v>0</v>
      </c>
      <c r="N709" s="532">
        <f t="shared" si="52"/>
        <v>0</v>
      </c>
    </row>
    <row r="710" spans="1:14">
      <c r="A710" s="3" t="str">
        <f t="shared" si="57"/>
        <v>10022</v>
      </c>
      <c r="B710" s="28" t="s">
        <v>1069</v>
      </c>
      <c r="C710" s="134">
        <v>1002</v>
      </c>
      <c r="D710" s="528" t="s">
        <v>1042</v>
      </c>
      <c r="E710" s="135" t="s">
        <v>99</v>
      </c>
      <c r="F710" s="527" t="s">
        <v>1174</v>
      </c>
      <c r="G710" s="527" t="s">
        <v>1173</v>
      </c>
      <c r="H710" s="529">
        <v>2</v>
      </c>
      <c r="I710" s="530">
        <v>96</v>
      </c>
      <c r="J710" s="630" t="s">
        <v>1164</v>
      </c>
      <c r="K710" s="531"/>
      <c r="L710" s="532">
        <f t="shared" si="50"/>
        <v>0</v>
      </c>
      <c r="M710" s="532">
        <f t="shared" si="51"/>
        <v>0</v>
      </c>
      <c r="N710" s="532">
        <f t="shared" si="52"/>
        <v>0</v>
      </c>
    </row>
    <row r="711" spans="1:14">
      <c r="A711" s="3" t="str">
        <f t="shared" si="57"/>
        <v>10022</v>
      </c>
      <c r="B711" s="28" t="s">
        <v>1069</v>
      </c>
      <c r="C711" s="134">
        <v>1002</v>
      </c>
      <c r="D711" s="528" t="s">
        <v>1042</v>
      </c>
      <c r="E711" s="135" t="s">
        <v>99</v>
      </c>
      <c r="F711" s="527" t="s">
        <v>1175</v>
      </c>
      <c r="G711" s="527" t="s">
        <v>1176</v>
      </c>
      <c r="H711" s="529">
        <v>2</v>
      </c>
      <c r="I711" s="530">
        <v>18</v>
      </c>
      <c r="J711" s="630" t="s">
        <v>1161</v>
      </c>
      <c r="K711" s="531"/>
      <c r="L711" s="532">
        <f t="shared" si="50"/>
        <v>0</v>
      </c>
      <c r="M711" s="532">
        <f t="shared" si="51"/>
        <v>0</v>
      </c>
      <c r="N711" s="532">
        <f t="shared" si="52"/>
        <v>0</v>
      </c>
    </row>
    <row r="712" spans="1:14">
      <c r="A712" s="3" t="str">
        <f t="shared" si="57"/>
        <v>10022</v>
      </c>
      <c r="B712" s="28" t="s">
        <v>1069</v>
      </c>
      <c r="C712" s="134">
        <v>1002</v>
      </c>
      <c r="D712" s="528" t="s">
        <v>1042</v>
      </c>
      <c r="E712" s="135" t="s">
        <v>99</v>
      </c>
      <c r="F712" s="527" t="s">
        <v>1177</v>
      </c>
      <c r="G712" s="527" t="s">
        <v>1176</v>
      </c>
      <c r="H712" s="529">
        <v>2</v>
      </c>
      <c r="I712" s="530">
        <v>18</v>
      </c>
      <c r="J712" s="630" t="s">
        <v>1161</v>
      </c>
      <c r="K712" s="531"/>
      <c r="L712" s="532">
        <f t="shared" si="50"/>
        <v>0</v>
      </c>
      <c r="M712" s="532">
        <f t="shared" si="51"/>
        <v>0</v>
      </c>
      <c r="N712" s="532">
        <f t="shared" si="52"/>
        <v>0</v>
      </c>
    </row>
    <row r="713" spans="1:14">
      <c r="C713" s="138"/>
      <c r="D713" s="139"/>
      <c r="E713" s="140"/>
      <c r="F713" s="141"/>
      <c r="G713" s="142"/>
      <c r="H713" s="143"/>
    </row>
    <row r="714" spans="1:14">
      <c r="B714" s="321" t="s">
        <v>5</v>
      </c>
      <c r="C714" s="322"/>
      <c r="D714" s="323"/>
      <c r="E714" s="324"/>
      <c r="F714" s="325"/>
      <c r="G714" s="326"/>
      <c r="H714" s="327"/>
      <c r="I714" s="324"/>
      <c r="J714" s="324"/>
      <c r="K714" s="324"/>
      <c r="L714" s="324"/>
      <c r="M714" s="324"/>
      <c r="N714" s="320">
        <f>SUM(N12:N713)</f>
        <v>0</v>
      </c>
    </row>
    <row r="715" spans="1:14">
      <c r="C715" s="138"/>
      <c r="D715" s="139"/>
      <c r="E715" s="140"/>
      <c r="F715" s="141"/>
      <c r="G715" s="142"/>
      <c r="H715" s="143"/>
    </row>
    <row r="716" spans="1:14">
      <c r="C716" s="138"/>
      <c r="D716" s="139"/>
      <c r="E716" s="140"/>
      <c r="F716" s="141"/>
      <c r="G716" s="142"/>
      <c r="H716" s="143"/>
    </row>
    <row r="717" spans="1:14">
      <c r="C717" s="138"/>
      <c r="D717" s="139"/>
      <c r="E717" s="140"/>
      <c r="F717" s="141"/>
      <c r="G717" s="142"/>
      <c r="H717" s="143"/>
    </row>
    <row r="718" spans="1:14">
      <c r="C718" s="138"/>
      <c r="D718" s="139"/>
      <c r="E718" s="140"/>
      <c r="F718" s="141"/>
      <c r="G718" s="142"/>
      <c r="H718" s="143"/>
    </row>
    <row r="719" spans="1:14">
      <c r="C719" s="138"/>
      <c r="D719" s="139"/>
      <c r="E719" s="140"/>
      <c r="F719" s="141"/>
      <c r="G719" s="142"/>
      <c r="H719" s="143"/>
    </row>
    <row r="720" spans="1:14">
      <c r="C720" s="138"/>
      <c r="D720" s="139"/>
      <c r="E720" s="140"/>
      <c r="F720" s="141"/>
      <c r="G720" s="142"/>
      <c r="H720" s="143"/>
    </row>
    <row r="721" spans="3:8">
      <c r="C721" s="138"/>
      <c r="D721" s="139"/>
      <c r="E721" s="140"/>
      <c r="F721" s="141"/>
      <c r="G721" s="142"/>
      <c r="H721" s="143"/>
    </row>
    <row r="722" spans="3:8">
      <c r="C722" s="138"/>
      <c r="D722" s="139"/>
      <c r="E722" s="140"/>
      <c r="F722" s="141"/>
      <c r="G722" s="142"/>
      <c r="H722" s="143"/>
    </row>
    <row r="723" spans="3:8">
      <c r="C723" s="138"/>
      <c r="D723" s="139"/>
      <c r="E723" s="140"/>
      <c r="F723" s="141"/>
      <c r="G723" s="142"/>
      <c r="H723" s="143"/>
    </row>
    <row r="724" spans="3:8">
      <c r="C724" s="138"/>
      <c r="D724" s="139"/>
      <c r="E724" s="140"/>
      <c r="F724" s="141"/>
      <c r="G724" s="142"/>
      <c r="H724" s="143"/>
    </row>
    <row r="725" spans="3:8">
      <c r="C725" s="138"/>
      <c r="D725" s="139"/>
      <c r="E725" s="140"/>
      <c r="F725" s="141"/>
      <c r="G725" s="142"/>
      <c r="H725" s="143"/>
    </row>
    <row r="726" spans="3:8">
      <c r="C726" s="138"/>
      <c r="D726" s="139"/>
      <c r="E726" s="140"/>
      <c r="F726" s="141"/>
      <c r="G726" s="142"/>
      <c r="H726" s="143"/>
    </row>
    <row r="727" spans="3:8">
      <c r="C727" s="138"/>
      <c r="D727" s="139"/>
      <c r="E727" s="140"/>
      <c r="F727" s="141"/>
      <c r="G727" s="142"/>
      <c r="H727" s="143"/>
    </row>
    <row r="728" spans="3:8">
      <c r="C728" s="138"/>
      <c r="D728" s="139"/>
      <c r="E728" s="140"/>
      <c r="F728" s="141"/>
      <c r="G728" s="142"/>
      <c r="H728" s="143"/>
    </row>
    <row r="729" spans="3:8">
      <c r="C729" s="138"/>
      <c r="D729" s="139"/>
      <c r="E729" s="140"/>
      <c r="F729" s="141"/>
      <c r="G729" s="142"/>
      <c r="H729" s="143"/>
    </row>
    <row r="730" spans="3:8">
      <c r="C730" s="138"/>
      <c r="D730" s="139"/>
      <c r="E730" s="140"/>
      <c r="F730" s="141"/>
      <c r="G730" s="142"/>
      <c r="H730" s="143"/>
    </row>
    <row r="731" spans="3:8">
      <c r="C731" s="138"/>
      <c r="D731" s="139"/>
      <c r="E731" s="140"/>
      <c r="F731" s="141"/>
      <c r="G731" s="142"/>
      <c r="H731" s="143"/>
    </row>
    <row r="732" spans="3:8">
      <c r="C732" s="138"/>
      <c r="D732" s="139"/>
      <c r="E732" s="140"/>
      <c r="F732" s="141"/>
      <c r="G732" s="142"/>
      <c r="H732" s="143"/>
    </row>
    <row r="733" spans="3:8">
      <c r="C733" s="138"/>
      <c r="D733" s="139"/>
      <c r="E733" s="140"/>
      <c r="F733" s="141"/>
      <c r="G733" s="142"/>
      <c r="H733" s="143"/>
    </row>
    <row r="734" spans="3:8">
      <c r="C734" s="138"/>
      <c r="D734" s="139"/>
      <c r="E734" s="140"/>
      <c r="F734" s="141"/>
      <c r="G734" s="142"/>
      <c r="H734" s="143"/>
    </row>
    <row r="735" spans="3:8">
      <c r="C735" s="138"/>
      <c r="D735" s="139"/>
      <c r="E735" s="140"/>
      <c r="F735" s="141"/>
      <c r="G735" s="142"/>
      <c r="H735" s="143"/>
    </row>
    <row r="736" spans="3:8">
      <c r="C736" s="138"/>
      <c r="D736" s="139"/>
      <c r="E736" s="140"/>
      <c r="F736" s="141"/>
      <c r="G736" s="142"/>
      <c r="H736" s="143"/>
    </row>
    <row r="737" spans="3:8">
      <c r="C737" s="138"/>
      <c r="D737" s="139"/>
      <c r="E737" s="140"/>
      <c r="F737" s="141"/>
      <c r="G737" s="142"/>
      <c r="H737" s="143"/>
    </row>
    <row r="738" spans="3:8">
      <c r="C738" s="138"/>
      <c r="D738" s="139"/>
      <c r="E738" s="140"/>
      <c r="F738" s="141"/>
      <c r="G738" s="142"/>
      <c r="H738" s="143"/>
    </row>
    <row r="739" spans="3:8">
      <c r="C739" s="138"/>
      <c r="D739" s="139"/>
      <c r="E739" s="140"/>
      <c r="F739" s="141"/>
      <c r="G739" s="142"/>
      <c r="H739" s="143"/>
    </row>
    <row r="740" spans="3:8">
      <c r="C740" s="138"/>
      <c r="D740" s="139"/>
      <c r="E740" s="140"/>
      <c r="F740" s="141"/>
      <c r="G740" s="142"/>
      <c r="H740" s="143"/>
    </row>
    <row r="741" spans="3:8">
      <c r="C741" s="138"/>
      <c r="D741" s="139"/>
      <c r="E741" s="140"/>
      <c r="F741" s="141"/>
      <c r="G741" s="142"/>
      <c r="H741" s="143"/>
    </row>
    <row r="742" spans="3:8">
      <c r="C742" s="138"/>
      <c r="D742" s="139"/>
      <c r="E742" s="140"/>
      <c r="F742" s="141"/>
      <c r="G742" s="142"/>
      <c r="H742" s="143"/>
    </row>
    <row r="743" spans="3:8">
      <c r="C743" s="138"/>
      <c r="D743" s="139"/>
      <c r="E743" s="140"/>
      <c r="F743" s="141"/>
      <c r="G743" s="142"/>
      <c r="H743" s="143"/>
    </row>
    <row r="744" spans="3:8">
      <c r="C744" s="138"/>
      <c r="D744" s="139"/>
      <c r="E744" s="140"/>
      <c r="F744" s="141"/>
      <c r="G744" s="142"/>
      <c r="H744" s="143"/>
    </row>
    <row r="745" spans="3:8">
      <c r="C745" s="138"/>
      <c r="D745" s="139"/>
      <c r="E745" s="140"/>
      <c r="F745" s="141"/>
      <c r="G745" s="142"/>
      <c r="H745" s="143"/>
    </row>
    <row r="746" spans="3:8">
      <c r="C746" s="138"/>
      <c r="D746" s="139"/>
      <c r="E746" s="140"/>
      <c r="F746" s="141"/>
      <c r="G746" s="142"/>
      <c r="H746" s="143"/>
    </row>
    <row r="747" spans="3:8">
      <c r="C747" s="138"/>
      <c r="D747" s="139"/>
      <c r="E747" s="140"/>
      <c r="F747" s="141"/>
      <c r="G747" s="142"/>
      <c r="H747" s="143"/>
    </row>
    <row r="748" spans="3:8">
      <c r="C748" s="138"/>
      <c r="D748" s="139"/>
      <c r="E748" s="140"/>
      <c r="F748" s="141"/>
      <c r="G748" s="142"/>
      <c r="H748" s="143"/>
    </row>
    <row r="749" spans="3:8">
      <c r="C749" s="138"/>
      <c r="D749" s="139"/>
      <c r="E749" s="140"/>
      <c r="F749" s="141"/>
      <c r="G749" s="142"/>
      <c r="H749" s="143"/>
    </row>
    <row r="750" spans="3:8">
      <c r="C750" s="138"/>
      <c r="D750" s="139"/>
      <c r="E750" s="140"/>
      <c r="F750" s="141"/>
      <c r="G750" s="142"/>
      <c r="H750" s="143"/>
    </row>
    <row r="751" spans="3:8">
      <c r="C751" s="138"/>
      <c r="D751" s="139"/>
      <c r="E751" s="140"/>
      <c r="F751" s="141"/>
      <c r="G751" s="142"/>
      <c r="H751" s="143"/>
    </row>
    <row r="752" spans="3:8">
      <c r="C752" s="138"/>
      <c r="D752" s="139"/>
      <c r="E752" s="140"/>
      <c r="F752" s="141"/>
      <c r="G752" s="142"/>
      <c r="H752" s="143"/>
    </row>
    <row r="753" spans="3:8">
      <c r="C753" s="138"/>
      <c r="D753" s="139"/>
      <c r="E753" s="140"/>
      <c r="F753" s="141"/>
      <c r="G753" s="142"/>
      <c r="H753" s="143"/>
    </row>
    <row r="754" spans="3:8">
      <c r="C754" s="138"/>
      <c r="D754" s="139"/>
      <c r="E754" s="140"/>
      <c r="F754" s="141"/>
      <c r="G754" s="142"/>
      <c r="H754" s="143"/>
    </row>
    <row r="755" spans="3:8">
      <c r="C755" s="138"/>
      <c r="D755" s="139"/>
      <c r="E755" s="140"/>
      <c r="F755" s="141"/>
      <c r="G755" s="142"/>
      <c r="H755" s="143"/>
    </row>
    <row r="756" spans="3:8">
      <c r="C756" s="138"/>
      <c r="D756" s="139"/>
      <c r="E756" s="140"/>
      <c r="F756" s="141"/>
      <c r="G756" s="142"/>
      <c r="H756" s="143"/>
    </row>
    <row r="757" spans="3:8">
      <c r="C757" s="138"/>
      <c r="D757" s="139"/>
      <c r="E757" s="140"/>
      <c r="F757" s="141"/>
      <c r="G757" s="142"/>
      <c r="H757" s="143"/>
    </row>
    <row r="758" spans="3:8">
      <c r="C758" s="138"/>
      <c r="D758" s="139"/>
      <c r="E758" s="140"/>
      <c r="F758" s="141"/>
      <c r="G758" s="142"/>
      <c r="H758" s="143"/>
    </row>
    <row r="759" spans="3:8">
      <c r="C759" s="138"/>
      <c r="D759" s="139"/>
      <c r="E759" s="140"/>
      <c r="F759" s="141"/>
      <c r="G759" s="142"/>
      <c r="H759" s="143"/>
    </row>
    <row r="760" spans="3:8">
      <c r="C760" s="138"/>
      <c r="D760" s="139"/>
      <c r="E760" s="140"/>
      <c r="F760" s="141"/>
      <c r="G760" s="142"/>
      <c r="H760" s="143"/>
    </row>
    <row r="761" spans="3:8">
      <c r="C761" s="138"/>
      <c r="D761" s="139"/>
      <c r="E761" s="140"/>
      <c r="F761" s="141"/>
      <c r="G761" s="142"/>
      <c r="H761" s="143"/>
    </row>
    <row r="762" spans="3:8">
      <c r="C762" s="138"/>
      <c r="D762" s="139"/>
      <c r="E762" s="140"/>
      <c r="F762" s="141"/>
      <c r="G762" s="142"/>
      <c r="H762" s="143"/>
    </row>
    <row r="763" spans="3:8">
      <c r="C763" s="138"/>
      <c r="D763" s="139"/>
      <c r="E763" s="140"/>
      <c r="F763" s="141"/>
      <c r="G763" s="142"/>
      <c r="H763" s="143"/>
    </row>
    <row r="764" spans="3:8">
      <c r="C764" s="138"/>
      <c r="D764" s="139"/>
      <c r="E764" s="140"/>
      <c r="F764" s="141"/>
      <c r="G764" s="142"/>
      <c r="H764" s="143"/>
    </row>
    <row r="765" spans="3:8">
      <c r="C765" s="138"/>
      <c r="D765" s="139"/>
      <c r="E765" s="140"/>
      <c r="F765" s="141"/>
      <c r="G765" s="142"/>
      <c r="H765" s="143"/>
    </row>
    <row r="766" spans="3:8">
      <c r="C766" s="138"/>
      <c r="D766" s="139"/>
      <c r="E766" s="140"/>
      <c r="F766" s="141"/>
      <c r="G766" s="142"/>
      <c r="H766" s="143"/>
    </row>
    <row r="767" spans="3:8">
      <c r="C767" s="138"/>
      <c r="D767" s="139"/>
      <c r="E767" s="140"/>
      <c r="F767" s="141"/>
      <c r="G767" s="142"/>
      <c r="H767" s="143"/>
    </row>
    <row r="768" spans="3:8">
      <c r="C768" s="138"/>
      <c r="D768" s="139"/>
      <c r="E768" s="140"/>
      <c r="F768" s="141"/>
      <c r="G768" s="142"/>
      <c r="H768" s="143"/>
    </row>
    <row r="769" spans="3:8">
      <c r="C769" s="138"/>
      <c r="D769" s="139"/>
      <c r="E769" s="140"/>
      <c r="F769" s="141"/>
      <c r="G769" s="142"/>
      <c r="H769" s="143"/>
    </row>
    <row r="770" spans="3:8">
      <c r="C770" s="138"/>
      <c r="D770" s="139"/>
      <c r="E770" s="140"/>
      <c r="F770" s="141"/>
      <c r="G770" s="142"/>
      <c r="H770" s="143"/>
    </row>
    <row r="771" spans="3:8">
      <c r="C771" s="138"/>
      <c r="D771" s="139"/>
      <c r="E771" s="140"/>
      <c r="F771" s="141"/>
      <c r="G771" s="142"/>
      <c r="H771" s="143"/>
    </row>
    <row r="772" spans="3:8">
      <c r="C772" s="138"/>
      <c r="D772" s="139"/>
      <c r="E772" s="140"/>
      <c r="F772" s="141"/>
      <c r="G772" s="142"/>
      <c r="H772" s="143"/>
    </row>
    <row r="773" spans="3:8">
      <c r="C773" s="138"/>
      <c r="D773" s="139"/>
      <c r="E773" s="140"/>
      <c r="F773" s="141"/>
      <c r="G773" s="142"/>
      <c r="H773" s="143"/>
    </row>
    <row r="774" spans="3:8">
      <c r="C774" s="138"/>
      <c r="D774" s="139"/>
      <c r="E774" s="140"/>
      <c r="F774" s="141"/>
      <c r="G774" s="142"/>
      <c r="H774" s="143"/>
    </row>
    <row r="775" spans="3:8">
      <c r="C775" s="138"/>
      <c r="D775" s="139"/>
      <c r="E775" s="140"/>
      <c r="F775" s="141"/>
      <c r="G775" s="142"/>
      <c r="H775" s="143"/>
    </row>
    <row r="776" spans="3:8">
      <c r="C776" s="138"/>
      <c r="D776" s="139"/>
      <c r="E776" s="140"/>
      <c r="F776" s="141"/>
      <c r="G776" s="142"/>
      <c r="H776" s="143"/>
    </row>
    <row r="777" spans="3:8">
      <c r="C777" s="138"/>
      <c r="D777" s="139"/>
      <c r="E777" s="140"/>
      <c r="F777" s="141"/>
      <c r="G777" s="142"/>
      <c r="H777" s="143"/>
    </row>
    <row r="778" spans="3:8">
      <c r="C778" s="138"/>
      <c r="D778" s="139"/>
      <c r="E778" s="140"/>
      <c r="F778" s="141"/>
      <c r="G778" s="142"/>
      <c r="H778" s="143"/>
    </row>
    <row r="779" spans="3:8">
      <c r="C779" s="138"/>
      <c r="D779" s="139"/>
      <c r="E779" s="140"/>
      <c r="F779" s="141"/>
      <c r="G779" s="142"/>
      <c r="H779" s="143"/>
    </row>
    <row r="780" spans="3:8">
      <c r="C780" s="138"/>
      <c r="D780" s="139"/>
      <c r="E780" s="140"/>
      <c r="F780" s="141"/>
      <c r="G780" s="142"/>
      <c r="H780" s="143"/>
    </row>
    <row r="781" spans="3:8">
      <c r="C781" s="138"/>
      <c r="D781" s="139"/>
      <c r="E781" s="140"/>
      <c r="F781" s="141"/>
      <c r="G781" s="142"/>
      <c r="H781" s="143"/>
    </row>
    <row r="782" spans="3:8">
      <c r="C782" s="138"/>
      <c r="D782" s="139"/>
      <c r="E782" s="140"/>
      <c r="F782" s="141"/>
      <c r="G782" s="142"/>
      <c r="H782" s="143"/>
    </row>
    <row r="783" spans="3:8">
      <c r="C783" s="138"/>
      <c r="D783" s="139"/>
      <c r="E783" s="140"/>
      <c r="F783" s="141"/>
      <c r="G783" s="142"/>
      <c r="H783" s="143"/>
    </row>
    <row r="784" spans="3:8">
      <c r="C784" s="138"/>
      <c r="D784" s="139"/>
      <c r="E784" s="140"/>
      <c r="F784" s="141"/>
      <c r="G784" s="142"/>
      <c r="H784" s="143"/>
    </row>
    <row r="785" spans="3:8">
      <c r="C785" s="138"/>
      <c r="D785" s="139"/>
      <c r="E785" s="140"/>
      <c r="F785" s="141"/>
      <c r="G785" s="142"/>
      <c r="H785" s="143"/>
    </row>
    <row r="786" spans="3:8">
      <c r="C786" s="138"/>
      <c r="D786" s="139"/>
      <c r="E786" s="140"/>
      <c r="F786" s="141"/>
      <c r="G786" s="142"/>
      <c r="H786" s="143"/>
    </row>
    <row r="787" spans="3:8">
      <c r="C787" s="138"/>
      <c r="D787" s="139"/>
      <c r="E787" s="140"/>
      <c r="F787" s="141"/>
      <c r="G787" s="142"/>
      <c r="H787" s="143"/>
    </row>
    <row r="788" spans="3:8">
      <c r="C788" s="138"/>
      <c r="D788" s="139"/>
      <c r="E788" s="140"/>
      <c r="F788" s="141"/>
      <c r="G788" s="142"/>
      <c r="H788" s="143"/>
    </row>
    <row r="789" spans="3:8">
      <c r="C789" s="138"/>
      <c r="D789" s="139"/>
      <c r="E789" s="140"/>
      <c r="F789" s="141"/>
      <c r="G789" s="142"/>
      <c r="H789" s="143"/>
    </row>
    <row r="790" spans="3:8">
      <c r="C790" s="138"/>
      <c r="D790" s="139"/>
      <c r="E790" s="140"/>
      <c r="F790" s="141"/>
      <c r="G790" s="142"/>
      <c r="H790" s="143"/>
    </row>
    <row r="791" spans="3:8">
      <c r="C791" s="138"/>
      <c r="D791" s="139"/>
      <c r="E791" s="140"/>
      <c r="F791" s="141"/>
      <c r="G791" s="142"/>
      <c r="H791" s="143"/>
    </row>
    <row r="792" spans="3:8">
      <c r="C792" s="138"/>
      <c r="D792" s="139"/>
      <c r="E792" s="140"/>
      <c r="F792" s="141"/>
      <c r="G792" s="142"/>
      <c r="H792" s="143"/>
    </row>
    <row r="793" spans="3:8">
      <c r="C793" s="138"/>
      <c r="D793" s="139"/>
      <c r="E793" s="140"/>
      <c r="F793" s="141"/>
      <c r="G793" s="142"/>
      <c r="H793" s="143"/>
    </row>
    <row r="794" spans="3:8">
      <c r="C794" s="138"/>
      <c r="D794" s="139"/>
      <c r="E794" s="140"/>
      <c r="F794" s="141"/>
      <c r="G794" s="142"/>
      <c r="H794" s="143"/>
    </row>
    <row r="795" spans="3:8">
      <c r="C795" s="138"/>
      <c r="D795" s="139"/>
      <c r="E795" s="140"/>
      <c r="F795" s="141"/>
      <c r="G795" s="142"/>
      <c r="H795" s="143"/>
    </row>
    <row r="796" spans="3:8">
      <c r="C796" s="138"/>
      <c r="D796" s="139"/>
      <c r="E796" s="140"/>
      <c r="F796" s="141"/>
      <c r="G796" s="142"/>
      <c r="H796" s="143"/>
    </row>
    <row r="797" spans="3:8">
      <c r="C797" s="138"/>
      <c r="D797" s="139"/>
      <c r="E797" s="140"/>
      <c r="F797" s="141"/>
      <c r="G797" s="142"/>
      <c r="H797" s="143"/>
    </row>
    <row r="798" spans="3:8">
      <c r="C798" s="138"/>
      <c r="D798" s="139"/>
      <c r="E798" s="140"/>
      <c r="F798" s="141"/>
      <c r="G798" s="142"/>
      <c r="H798" s="143"/>
    </row>
    <row r="799" spans="3:8">
      <c r="C799" s="138"/>
      <c r="D799" s="139"/>
      <c r="E799" s="140"/>
      <c r="F799" s="141"/>
      <c r="G799" s="142"/>
      <c r="H799" s="143"/>
    </row>
    <row r="800" spans="3:8">
      <c r="C800" s="138"/>
      <c r="D800" s="139"/>
      <c r="E800" s="140"/>
      <c r="F800" s="141"/>
      <c r="G800" s="142"/>
      <c r="H800" s="143"/>
    </row>
    <row r="801" spans="3:8">
      <c r="C801" s="138"/>
      <c r="D801" s="139"/>
      <c r="E801" s="140"/>
      <c r="F801" s="141"/>
      <c r="G801" s="142"/>
      <c r="H801" s="143"/>
    </row>
    <row r="802" spans="3:8">
      <c r="C802" s="138"/>
      <c r="D802" s="139"/>
      <c r="E802" s="140"/>
      <c r="F802" s="141"/>
      <c r="G802" s="142"/>
      <c r="H802" s="143"/>
    </row>
    <row r="803" spans="3:8">
      <c r="C803" s="138"/>
      <c r="D803" s="139"/>
      <c r="E803" s="140"/>
      <c r="F803" s="141"/>
      <c r="G803" s="142"/>
      <c r="H803" s="143"/>
    </row>
    <row r="804" spans="3:8">
      <c r="C804" s="138"/>
      <c r="D804" s="139"/>
      <c r="E804" s="140"/>
      <c r="F804" s="141"/>
      <c r="G804" s="142"/>
      <c r="H804" s="143"/>
    </row>
    <row r="805" spans="3:8">
      <c r="C805" s="138"/>
      <c r="D805" s="139"/>
      <c r="E805" s="140"/>
      <c r="F805" s="141"/>
      <c r="G805" s="142"/>
      <c r="H805" s="143"/>
    </row>
    <row r="806" spans="3:8">
      <c r="C806" s="138"/>
      <c r="D806" s="139"/>
      <c r="E806" s="140"/>
      <c r="F806" s="141"/>
      <c r="G806" s="142"/>
      <c r="H806" s="143"/>
    </row>
    <row r="807" spans="3:8">
      <c r="C807" s="138"/>
      <c r="D807" s="139"/>
      <c r="E807" s="140"/>
      <c r="F807" s="141"/>
      <c r="G807" s="142"/>
      <c r="H807" s="143"/>
    </row>
    <row r="808" spans="3:8">
      <c r="C808" s="138"/>
      <c r="D808" s="139"/>
      <c r="E808" s="140"/>
      <c r="F808" s="141"/>
      <c r="G808" s="142"/>
      <c r="H808" s="143"/>
    </row>
    <row r="809" spans="3:8">
      <c r="C809" s="138"/>
      <c r="D809" s="139"/>
      <c r="E809" s="140"/>
      <c r="F809" s="141"/>
      <c r="G809" s="142"/>
      <c r="H809" s="143"/>
    </row>
    <row r="810" spans="3:8">
      <c r="C810" s="138"/>
      <c r="D810" s="139"/>
      <c r="E810" s="140"/>
      <c r="F810" s="141"/>
      <c r="G810" s="142"/>
      <c r="H810" s="143"/>
    </row>
    <row r="811" spans="3:8">
      <c r="C811" s="138"/>
      <c r="D811" s="139"/>
      <c r="E811" s="140"/>
      <c r="F811" s="141"/>
      <c r="G811" s="142"/>
      <c r="H811" s="143"/>
    </row>
    <row r="812" spans="3:8">
      <c r="C812" s="138"/>
      <c r="D812" s="139"/>
      <c r="E812" s="140"/>
      <c r="F812" s="141"/>
      <c r="G812" s="142"/>
      <c r="H812" s="143"/>
    </row>
    <row r="813" spans="3:8">
      <c r="C813" s="138"/>
      <c r="D813" s="139"/>
      <c r="E813" s="140"/>
      <c r="F813" s="141"/>
      <c r="G813" s="142"/>
      <c r="H813" s="143"/>
    </row>
    <row r="814" spans="3:8">
      <c r="C814" s="138"/>
      <c r="D814" s="139"/>
      <c r="E814" s="140"/>
      <c r="F814" s="141"/>
      <c r="G814" s="142"/>
      <c r="H814" s="143"/>
    </row>
    <row r="815" spans="3:8">
      <c r="C815" s="138"/>
      <c r="D815" s="139"/>
      <c r="E815" s="140"/>
      <c r="F815" s="141"/>
      <c r="G815" s="142"/>
      <c r="H815" s="143"/>
    </row>
    <row r="816" spans="3:8">
      <c r="C816" s="138"/>
      <c r="D816" s="139"/>
      <c r="E816" s="140"/>
      <c r="F816" s="141"/>
      <c r="G816" s="142"/>
      <c r="H816" s="143"/>
    </row>
    <row r="817" spans="3:8">
      <c r="C817" s="138"/>
      <c r="D817" s="139"/>
      <c r="E817" s="140"/>
      <c r="F817" s="141"/>
      <c r="G817" s="142"/>
      <c r="H817" s="143"/>
    </row>
    <row r="818" spans="3:8">
      <c r="C818" s="138"/>
      <c r="D818" s="139"/>
      <c r="E818" s="140"/>
      <c r="F818" s="141"/>
      <c r="G818" s="142"/>
      <c r="H818" s="143"/>
    </row>
    <row r="819" spans="3:8">
      <c r="C819" s="138"/>
      <c r="D819" s="139"/>
      <c r="E819" s="140"/>
      <c r="F819" s="141"/>
      <c r="G819" s="142"/>
      <c r="H819" s="143"/>
    </row>
    <row r="820" spans="3:8">
      <c r="C820" s="138"/>
      <c r="D820" s="139"/>
      <c r="E820" s="140"/>
      <c r="F820" s="141"/>
      <c r="G820" s="142"/>
      <c r="H820" s="143"/>
    </row>
    <row r="821" spans="3:8">
      <c r="C821" s="138"/>
      <c r="D821" s="139"/>
      <c r="E821" s="140"/>
      <c r="F821" s="141"/>
      <c r="G821" s="142"/>
      <c r="H821" s="143"/>
    </row>
    <row r="822" spans="3:8">
      <c r="C822" s="138"/>
      <c r="D822" s="139"/>
      <c r="E822" s="140"/>
      <c r="F822" s="141"/>
      <c r="G822" s="142"/>
      <c r="H822" s="143"/>
    </row>
    <row r="823" spans="3:8">
      <c r="C823" s="138"/>
      <c r="D823" s="139"/>
      <c r="E823" s="140"/>
      <c r="F823" s="141"/>
      <c r="G823" s="142"/>
      <c r="H823" s="143"/>
    </row>
    <row r="824" spans="3:8">
      <c r="C824" s="138"/>
      <c r="D824" s="139"/>
      <c r="E824" s="140"/>
      <c r="F824" s="141"/>
      <c r="G824" s="142"/>
      <c r="H824" s="143"/>
    </row>
    <row r="825" spans="3:8">
      <c r="C825" s="138"/>
      <c r="D825" s="139"/>
      <c r="E825" s="140"/>
      <c r="F825" s="141"/>
      <c r="G825" s="142"/>
      <c r="H825" s="143"/>
    </row>
    <row r="826" spans="3:8">
      <c r="C826" s="138"/>
      <c r="D826" s="139"/>
      <c r="E826" s="140"/>
      <c r="F826" s="141"/>
      <c r="G826" s="142"/>
      <c r="H826" s="143"/>
    </row>
    <row r="827" spans="3:8">
      <c r="C827" s="138"/>
      <c r="D827" s="139"/>
      <c r="E827" s="140"/>
      <c r="F827" s="141"/>
      <c r="G827" s="142"/>
      <c r="H827" s="143"/>
    </row>
    <row r="828" spans="3:8">
      <c r="C828" s="138"/>
      <c r="D828" s="139"/>
      <c r="E828" s="140"/>
      <c r="F828" s="141"/>
      <c r="G828" s="142"/>
      <c r="H828" s="143"/>
    </row>
    <row r="829" spans="3:8">
      <c r="C829" s="138"/>
      <c r="D829" s="139"/>
      <c r="E829" s="140"/>
      <c r="F829" s="141"/>
      <c r="G829" s="142"/>
      <c r="H829" s="143"/>
    </row>
    <row r="830" spans="3:8">
      <c r="C830" s="138"/>
      <c r="D830" s="139"/>
      <c r="E830" s="140"/>
      <c r="F830" s="141"/>
      <c r="G830" s="142"/>
      <c r="H830" s="143"/>
    </row>
    <row r="831" spans="3:8">
      <c r="C831" s="138"/>
      <c r="D831" s="139"/>
      <c r="E831" s="140"/>
      <c r="F831" s="141"/>
      <c r="G831" s="142"/>
      <c r="H831" s="143"/>
    </row>
    <row r="832" spans="3:8">
      <c r="C832" s="138"/>
      <c r="D832" s="139"/>
      <c r="E832" s="140"/>
      <c r="F832" s="141"/>
      <c r="G832" s="142"/>
      <c r="H832" s="143"/>
    </row>
    <row r="833" spans="3:8">
      <c r="C833" s="138"/>
      <c r="D833" s="139"/>
      <c r="E833" s="140"/>
      <c r="F833" s="141"/>
      <c r="G833" s="142"/>
      <c r="H833" s="143"/>
    </row>
    <row r="834" spans="3:8">
      <c r="C834" s="138"/>
      <c r="D834" s="139"/>
      <c r="E834" s="140"/>
      <c r="F834" s="141"/>
      <c r="G834" s="142"/>
      <c r="H834" s="143"/>
    </row>
    <row r="835" spans="3:8">
      <c r="C835" s="138"/>
      <c r="D835" s="139"/>
      <c r="E835" s="140"/>
      <c r="F835" s="141"/>
      <c r="G835" s="142"/>
      <c r="H835" s="143"/>
    </row>
    <row r="836" spans="3:8">
      <c r="C836" s="138"/>
      <c r="D836" s="139"/>
      <c r="E836" s="140"/>
      <c r="F836" s="141"/>
      <c r="G836" s="142"/>
      <c r="H836" s="143"/>
    </row>
    <row r="837" spans="3:8">
      <c r="C837" s="138"/>
      <c r="D837" s="139"/>
      <c r="E837" s="140"/>
      <c r="F837" s="141"/>
      <c r="G837" s="142"/>
      <c r="H837" s="143"/>
    </row>
    <row r="838" spans="3:8">
      <c r="C838" s="138"/>
      <c r="D838" s="139"/>
      <c r="E838" s="140"/>
      <c r="F838" s="141"/>
      <c r="G838" s="142"/>
      <c r="H838" s="143"/>
    </row>
    <row r="839" spans="3:8">
      <c r="C839" s="138"/>
      <c r="D839" s="139"/>
      <c r="E839" s="140"/>
      <c r="F839" s="141"/>
      <c r="G839" s="142"/>
      <c r="H839" s="143"/>
    </row>
    <row r="840" spans="3:8">
      <c r="C840" s="138"/>
      <c r="D840" s="139"/>
      <c r="E840" s="140"/>
      <c r="F840" s="141"/>
      <c r="G840" s="142"/>
      <c r="H840" s="143"/>
    </row>
    <row r="841" spans="3:8">
      <c r="C841" s="138"/>
      <c r="D841" s="139"/>
      <c r="E841" s="140"/>
      <c r="F841" s="141"/>
      <c r="G841" s="142"/>
      <c r="H841" s="143"/>
    </row>
    <row r="842" spans="3:8">
      <c r="C842" s="138"/>
      <c r="D842" s="139"/>
      <c r="E842" s="140"/>
      <c r="F842" s="141"/>
      <c r="G842" s="142"/>
      <c r="H842" s="143"/>
    </row>
    <row r="843" spans="3:8">
      <c r="C843" s="138"/>
      <c r="D843" s="139"/>
      <c r="E843" s="140"/>
      <c r="F843" s="141"/>
      <c r="G843" s="142"/>
      <c r="H843" s="143"/>
    </row>
    <row r="844" spans="3:8">
      <c r="C844" s="138"/>
      <c r="D844" s="139"/>
      <c r="E844" s="140"/>
      <c r="F844" s="141"/>
      <c r="G844" s="142"/>
      <c r="H844" s="143"/>
    </row>
    <row r="845" spans="3:8">
      <c r="C845" s="138"/>
      <c r="D845" s="139"/>
      <c r="E845" s="140"/>
      <c r="F845" s="141"/>
      <c r="G845" s="142"/>
      <c r="H845" s="143"/>
    </row>
    <row r="846" spans="3:8">
      <c r="C846" s="138"/>
      <c r="D846" s="139"/>
      <c r="E846" s="140"/>
      <c r="F846" s="141"/>
      <c r="G846" s="142"/>
      <c r="H846" s="143"/>
    </row>
    <row r="847" spans="3:8">
      <c r="C847" s="138"/>
      <c r="D847" s="139"/>
      <c r="E847" s="140"/>
      <c r="F847" s="141"/>
      <c r="G847" s="142"/>
      <c r="H847" s="143"/>
    </row>
    <row r="848" spans="3:8">
      <c r="C848" s="138"/>
      <c r="D848" s="139"/>
      <c r="E848" s="140"/>
      <c r="F848" s="141"/>
      <c r="G848" s="142"/>
      <c r="H848" s="143"/>
    </row>
    <row r="849" spans="2:14">
      <c r="C849" s="138"/>
      <c r="D849" s="139"/>
      <c r="E849" s="140"/>
      <c r="F849" s="141"/>
      <c r="G849" s="142"/>
      <c r="H849" s="143"/>
    </row>
    <row r="850" spans="2:14">
      <c r="C850" s="138"/>
      <c r="D850" s="139"/>
      <c r="E850" s="140"/>
      <c r="F850" s="141"/>
      <c r="G850" s="142"/>
      <c r="H850" s="143"/>
    </row>
    <row r="851" spans="2:14">
      <c r="C851" s="138"/>
      <c r="D851" s="139"/>
      <c r="E851" s="140"/>
      <c r="F851" s="141"/>
      <c r="G851" s="142"/>
      <c r="H851" s="143"/>
    </row>
    <row r="852" spans="2:14">
      <c r="B852" s="144"/>
      <c r="C852" s="138"/>
      <c r="D852" s="139"/>
      <c r="E852" s="140"/>
      <c r="F852" s="141"/>
      <c r="G852" s="142"/>
      <c r="H852" s="143"/>
      <c r="I852" s="44"/>
      <c r="J852" s="44"/>
      <c r="K852" s="44"/>
      <c r="L852" s="44"/>
      <c r="M852" s="44"/>
      <c r="N852" s="44"/>
    </row>
  </sheetData>
  <autoFilter ref="A12:R712" xr:uid="{5B3ADC2F-CA44-428F-9021-11E461F4D7EB}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12</vt:i4>
      </vt:variant>
    </vt:vector>
  </HeadingPairs>
  <TitlesOfParts>
    <vt:vector size="32" baseType="lpstr">
      <vt:lpstr>Mutatieblad</vt:lpstr>
      <vt:lpstr>1-Inschrijfstaat</vt:lpstr>
      <vt:lpstr>2-Kosten per locatie</vt:lpstr>
      <vt:lpstr>3-Ruimtestaat</vt:lpstr>
      <vt:lpstr>4-Reinigen vloeren</vt:lpstr>
      <vt:lpstr>5-Aanvullend</vt:lpstr>
      <vt:lpstr>6-Liftbodems</vt:lpstr>
      <vt:lpstr>7-Geveldelen  en wanden</vt:lpstr>
      <vt:lpstr>8a-Glasstaat</vt:lpstr>
      <vt:lpstr>8b-Glas kosten totaal</vt:lpstr>
      <vt:lpstr>9-Machinekosten</vt:lpstr>
      <vt:lpstr>10a-Periodieke beurt</vt:lpstr>
      <vt:lpstr>10b-Bereikbaarheidsvoorz.</vt:lpstr>
      <vt:lpstr>11a- Afroepprijs graffiti</vt:lpstr>
      <vt:lpstr>11b- Afroepprijs Algemeen</vt:lpstr>
      <vt:lpstr>11c-Afroep RVS kraaiennest</vt:lpstr>
      <vt:lpstr>11d-Afroep Kap Bijlmer</vt:lpstr>
      <vt:lpstr>12-Gelijkrichter stations</vt:lpstr>
      <vt:lpstr>13- Technischeruimten</vt:lpstr>
      <vt:lpstr>14-Sanitaire voorzieningen</vt:lpstr>
      <vt:lpstr>'10a-Periodieke beurt'!Afdrukbereik</vt:lpstr>
      <vt:lpstr>'10b-Bereikbaarheidsvoorz.'!Afdrukbereik</vt:lpstr>
      <vt:lpstr>'13- Technischeruimten'!Afdrukbereik</vt:lpstr>
      <vt:lpstr>'1-Inschrijfstaat'!Afdrukbereik</vt:lpstr>
      <vt:lpstr>'2-Kosten per locatie'!Afdrukbereik</vt:lpstr>
      <vt:lpstr>'3-Ruimtestaat'!Afdrukbereik</vt:lpstr>
      <vt:lpstr>'8a-Glasstaat'!Afdrukbereik</vt:lpstr>
      <vt:lpstr>'8b-Glas kosten totaal'!Afdrukbereik</vt:lpstr>
      <vt:lpstr>'3-Ruimtestaat'!Afdruktitels</vt:lpstr>
      <vt:lpstr>'8a-Glasstaat'!Afdruktitels</vt:lpstr>
      <vt:lpstr>'8b-Glas kosten totaal'!Afdruktitels</vt:lpstr>
      <vt:lpstr>Glassoort2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van der Velde</dc:creator>
  <cp:lastModifiedBy>bieri</cp:lastModifiedBy>
  <cp:lastPrinted>2021-09-30T11:50:03Z</cp:lastPrinted>
  <dcterms:created xsi:type="dcterms:W3CDTF">1999-10-05T12:28:40Z</dcterms:created>
  <dcterms:modified xsi:type="dcterms:W3CDTF">2021-11-03T09:37:12Z</dcterms:modified>
</cp:coreProperties>
</file>