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mercieel\Aanbestedingen\2021\makelaarsaanbestedingen 2021\Dongen\"/>
    </mc:Choice>
  </mc:AlternateContent>
  <xr:revisionPtr revIDLastSave="0" documentId="8_{B55B82E0-5D83-4F7D-B257-66589B9252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uele specificatie" sheetId="1" r:id="rId1"/>
    <sheet name="Overzicht ADC mutaties" sheetId="3" r:id="rId2"/>
  </sheets>
  <definedNames>
    <definedName name="_xlnm._FilterDatabase" localSheetId="0" hidden="1">'Actuele specificatie'!$B$11:$U$73</definedName>
    <definedName name="_xlnm.Print_Area" localSheetId="0">'Actuele specificatie'!$A$1:$P$74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73" i="1" l="1"/>
  <c r="R73" i="1"/>
  <c r="P73" i="1"/>
  <c r="U65" i="1"/>
  <c r="U45" i="1"/>
  <c r="U26" i="1"/>
  <c r="U12" i="1"/>
  <c r="U68" i="1"/>
  <c r="U71" i="1"/>
  <c r="U19" i="1"/>
  <c r="U20" i="1"/>
  <c r="U27" i="1"/>
  <c r="U28" i="1"/>
  <c r="U29" i="1"/>
  <c r="U32" i="1"/>
  <c r="U34" i="1"/>
  <c r="U35" i="1"/>
  <c r="U36" i="1"/>
  <c r="U37" i="1"/>
  <c r="U38" i="1"/>
  <c r="U39" i="1"/>
  <c r="U40" i="1"/>
  <c r="U41" i="1"/>
  <c r="U42" i="1"/>
  <c r="U43" i="1"/>
  <c r="U44" i="1"/>
  <c r="U46" i="1"/>
  <c r="U47" i="1"/>
  <c r="U48" i="1"/>
  <c r="U50" i="1"/>
  <c r="U51" i="1"/>
  <c r="U52" i="1"/>
  <c r="U53" i="1"/>
  <c r="U54" i="1"/>
  <c r="U56" i="1"/>
  <c r="U57" i="1"/>
  <c r="U58" i="1"/>
  <c r="U59" i="1"/>
  <c r="U60" i="1"/>
  <c r="U61" i="1"/>
  <c r="U67" i="1"/>
  <c r="U70" i="1"/>
  <c r="N73" i="1"/>
  <c r="O59" i="1"/>
  <c r="O60" i="1"/>
  <c r="U66" i="1" l="1"/>
  <c r="U63" i="1"/>
  <c r="M69" i="1" l="1"/>
  <c r="O69" i="1" s="1"/>
  <c r="M66" i="1"/>
  <c r="M64" i="1"/>
  <c r="M63" i="1"/>
  <c r="M62" i="1"/>
  <c r="M61" i="1"/>
  <c r="M35" i="1"/>
  <c r="L69" i="1"/>
  <c r="P69" i="1" s="1"/>
  <c r="L66" i="1"/>
  <c r="L64" i="1"/>
  <c r="P64" i="1" s="1"/>
  <c r="U64" i="1" s="1"/>
  <c r="L63" i="1"/>
  <c r="L62" i="1"/>
  <c r="L61" i="1"/>
  <c r="O61" i="1" l="1"/>
  <c r="P62" i="1"/>
  <c r="U62" i="1" s="1"/>
  <c r="O62" i="1"/>
  <c r="O63" i="1"/>
  <c r="O64" i="1"/>
  <c r="O66" i="1"/>
  <c r="K61" i="1"/>
  <c r="K62" i="1"/>
  <c r="K63" i="1"/>
  <c r="K64" i="1"/>
  <c r="K66" i="1"/>
  <c r="K69" i="1"/>
  <c r="J35" i="1" l="1"/>
  <c r="H35" i="1"/>
  <c r="L35" i="1" s="1"/>
  <c r="G35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4" i="1"/>
  <c r="J55" i="1"/>
  <c r="J56" i="1"/>
  <c r="J57" i="1"/>
  <c r="J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6" i="1"/>
  <c r="I37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4" i="1"/>
  <c r="I55" i="1"/>
  <c r="I56" i="1"/>
  <c r="I57" i="1"/>
  <c r="I12" i="1"/>
  <c r="M12" i="1" l="1"/>
  <c r="M57" i="1"/>
  <c r="M50" i="1"/>
  <c r="M43" i="1"/>
  <c r="M36" i="1"/>
  <c r="M32" i="1"/>
  <c r="M27" i="1"/>
  <c r="M20" i="1"/>
  <c r="M13" i="1"/>
  <c r="U13" i="1"/>
  <c r="M56" i="1"/>
  <c r="M46" i="1"/>
  <c r="M31" i="1"/>
  <c r="U31" i="1"/>
  <c r="M26" i="1"/>
  <c r="M19" i="1"/>
  <c r="M55" i="1"/>
  <c r="U55" i="1"/>
  <c r="M51" i="1"/>
  <c r="M48" i="1"/>
  <c r="M45" i="1"/>
  <c r="M40" i="1"/>
  <c r="M33" i="1"/>
  <c r="U33" i="1"/>
  <c r="M30" i="1"/>
  <c r="U30" i="1"/>
  <c r="M25" i="1"/>
  <c r="U25" i="1"/>
  <c r="M18" i="1"/>
  <c r="U18" i="1"/>
  <c r="M14" i="1"/>
  <c r="U14" i="1"/>
  <c r="O35" i="1"/>
  <c r="M47" i="1"/>
  <c r="M41" i="1"/>
  <c r="M28" i="1"/>
  <c r="M23" i="1"/>
  <c r="U23" i="1"/>
  <c r="M16" i="1"/>
  <c r="U16" i="1"/>
  <c r="M49" i="1"/>
  <c r="M42" i="1"/>
  <c r="M34" i="1"/>
  <c r="M22" i="1"/>
  <c r="U22" i="1"/>
  <c r="M15" i="1"/>
  <c r="U15" i="1"/>
  <c r="M54" i="1"/>
  <c r="M52" i="1"/>
  <c r="M44" i="1"/>
  <c r="M37" i="1"/>
  <c r="M29" i="1"/>
  <c r="M24" i="1"/>
  <c r="U24" i="1"/>
  <c r="M21" i="1"/>
  <c r="U21" i="1"/>
  <c r="M17" i="1"/>
  <c r="U17" i="1"/>
  <c r="K35" i="1"/>
  <c r="J73" i="1"/>
  <c r="I73" i="1"/>
  <c r="D57" i="1"/>
  <c r="H57" i="1" s="1"/>
  <c r="D56" i="1"/>
  <c r="H56" i="1" s="1"/>
  <c r="D55" i="1"/>
  <c r="H55" i="1" s="1"/>
  <c r="D54" i="1"/>
  <c r="H54" i="1" s="1"/>
  <c r="D52" i="1"/>
  <c r="H52" i="1" s="1"/>
  <c r="D51" i="1"/>
  <c r="H51" i="1" s="1"/>
  <c r="D50" i="1"/>
  <c r="H50" i="1" s="1"/>
  <c r="D49" i="1"/>
  <c r="H49" i="1" s="1"/>
  <c r="D48" i="1"/>
  <c r="H48" i="1" s="1"/>
  <c r="D47" i="1"/>
  <c r="H47" i="1" s="1"/>
  <c r="D46" i="1"/>
  <c r="H46" i="1" s="1"/>
  <c r="D45" i="1"/>
  <c r="H45" i="1" s="1"/>
  <c r="D44" i="1"/>
  <c r="H44" i="1" s="1"/>
  <c r="D43" i="1"/>
  <c r="H43" i="1" s="1"/>
  <c r="D42" i="1"/>
  <c r="H42" i="1" s="1"/>
  <c r="D41" i="1"/>
  <c r="H41" i="1" s="1"/>
  <c r="D40" i="1"/>
  <c r="H40" i="1" s="1"/>
  <c r="D37" i="1"/>
  <c r="H37" i="1" s="1"/>
  <c r="D36" i="1"/>
  <c r="D34" i="1"/>
  <c r="H34" i="1" s="1"/>
  <c r="D33" i="1"/>
  <c r="H33" i="1" s="1"/>
  <c r="D32" i="1"/>
  <c r="H32" i="1" s="1"/>
  <c r="D31" i="1"/>
  <c r="H31" i="1" s="1"/>
  <c r="D30" i="1"/>
  <c r="H30" i="1" s="1"/>
  <c r="D29" i="1"/>
  <c r="H29" i="1" s="1"/>
  <c r="D28" i="1"/>
  <c r="H28" i="1" s="1"/>
  <c r="D27" i="1"/>
  <c r="H27" i="1" s="1"/>
  <c r="D26" i="1"/>
  <c r="H26" i="1" s="1"/>
  <c r="D25" i="1"/>
  <c r="H25" i="1" s="1"/>
  <c r="D24" i="1"/>
  <c r="H24" i="1" s="1"/>
  <c r="D23" i="1"/>
  <c r="H23" i="1" s="1"/>
  <c r="D22" i="1"/>
  <c r="H22" i="1" s="1"/>
  <c r="D21" i="1"/>
  <c r="H21" i="1" s="1"/>
  <c r="D20" i="1"/>
  <c r="H20" i="1" s="1"/>
  <c r="D19" i="1"/>
  <c r="H19" i="1" s="1"/>
  <c r="D18" i="1"/>
  <c r="H18" i="1" s="1"/>
  <c r="D17" i="1"/>
  <c r="H17" i="1" s="1"/>
  <c r="D16" i="1"/>
  <c r="H16" i="1" s="1"/>
  <c r="D15" i="1"/>
  <c r="H15" i="1" s="1"/>
  <c r="D14" i="1"/>
  <c r="H14" i="1" s="1"/>
  <c r="D13" i="1"/>
  <c r="H13" i="1" s="1"/>
  <c r="D12" i="1"/>
  <c r="H12" i="1" s="1"/>
  <c r="E73" i="1"/>
  <c r="M73" i="1" l="1"/>
  <c r="L12" i="1"/>
  <c r="O12" i="1" s="1"/>
  <c r="K14" i="1"/>
  <c r="L14" i="1"/>
  <c r="K15" i="1"/>
  <c r="L15" i="1"/>
  <c r="K17" i="1"/>
  <c r="L17" i="1"/>
  <c r="K19" i="1"/>
  <c r="L19" i="1"/>
  <c r="K22" i="1"/>
  <c r="L22" i="1"/>
  <c r="K25" i="1"/>
  <c r="L25" i="1"/>
  <c r="K30" i="1"/>
  <c r="L30" i="1"/>
  <c r="K33" i="1"/>
  <c r="L33" i="1"/>
  <c r="K40" i="1"/>
  <c r="L40" i="1"/>
  <c r="K45" i="1"/>
  <c r="L45" i="1"/>
  <c r="K48" i="1"/>
  <c r="L48" i="1"/>
  <c r="K51" i="1"/>
  <c r="L51" i="1"/>
  <c r="K55" i="1"/>
  <c r="L55" i="1"/>
  <c r="K13" i="1"/>
  <c r="L13" i="1"/>
  <c r="K18" i="1"/>
  <c r="L18" i="1"/>
  <c r="K20" i="1"/>
  <c r="L20" i="1"/>
  <c r="K26" i="1"/>
  <c r="L26" i="1"/>
  <c r="K31" i="1"/>
  <c r="L31" i="1"/>
  <c r="K34" i="1"/>
  <c r="L34" i="1"/>
  <c r="K42" i="1"/>
  <c r="L42" i="1"/>
  <c r="K46" i="1"/>
  <c r="L46" i="1"/>
  <c r="K49" i="1"/>
  <c r="L49" i="1"/>
  <c r="P49" i="1" s="1"/>
  <c r="U49" i="1" s="1"/>
  <c r="U73" i="1" s="1"/>
  <c r="K56" i="1"/>
  <c r="L56" i="1"/>
  <c r="K21" i="1"/>
  <c r="L21" i="1"/>
  <c r="K23" i="1"/>
  <c r="L23" i="1"/>
  <c r="K27" i="1"/>
  <c r="L27" i="1"/>
  <c r="K28" i="1"/>
  <c r="L28" i="1"/>
  <c r="K32" i="1"/>
  <c r="L32" i="1"/>
  <c r="K41" i="1"/>
  <c r="L41" i="1"/>
  <c r="K43" i="1"/>
  <c r="L43" i="1"/>
  <c r="K47" i="1"/>
  <c r="L47" i="1"/>
  <c r="K50" i="1"/>
  <c r="L50" i="1"/>
  <c r="K57" i="1"/>
  <c r="L57" i="1"/>
  <c r="K16" i="1"/>
  <c r="L16" i="1"/>
  <c r="K24" i="1"/>
  <c r="L24" i="1"/>
  <c r="K29" i="1"/>
  <c r="L29" i="1"/>
  <c r="K37" i="1"/>
  <c r="L37" i="1"/>
  <c r="K44" i="1"/>
  <c r="L44" i="1"/>
  <c r="K52" i="1"/>
  <c r="L52" i="1"/>
  <c r="K54" i="1"/>
  <c r="L54" i="1"/>
  <c r="H36" i="1"/>
  <c r="K12" i="1"/>
  <c r="D73" i="1"/>
  <c r="G50" i="1"/>
  <c r="G49" i="1"/>
  <c r="G48" i="1"/>
  <c r="G47" i="1"/>
  <c r="G46" i="1"/>
  <c r="G57" i="1"/>
  <c r="G56" i="1"/>
  <c r="G55" i="1"/>
  <c r="G54" i="1"/>
  <c r="G52" i="1"/>
  <c r="G51" i="1"/>
  <c r="G44" i="1"/>
  <c r="G45" i="1"/>
  <c r="G43" i="1"/>
  <c r="G42" i="1"/>
  <c r="G41" i="1"/>
  <c r="G40" i="1"/>
  <c r="G37" i="1"/>
  <c r="G36" i="1"/>
  <c r="G34" i="1"/>
  <c r="G33" i="1"/>
  <c r="G32" i="1"/>
  <c r="G31" i="1"/>
  <c r="G30" i="1"/>
  <c r="G29" i="1"/>
  <c r="G28" i="1"/>
  <c r="G27" i="1"/>
  <c r="G26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12" i="1"/>
  <c r="O50" i="1" l="1"/>
  <c r="O43" i="1"/>
  <c r="O32" i="1"/>
  <c r="O27" i="1"/>
  <c r="O21" i="1"/>
  <c r="O49" i="1"/>
  <c r="O42" i="1"/>
  <c r="O34" i="1"/>
  <c r="O20" i="1"/>
  <c r="O13" i="1"/>
  <c r="O48" i="1"/>
  <c r="O33" i="1"/>
  <c r="O22" i="1"/>
  <c r="O17" i="1"/>
  <c r="O52" i="1"/>
  <c r="O57" i="1"/>
  <c r="O47" i="1"/>
  <c r="O41" i="1"/>
  <c r="O28" i="1"/>
  <c r="O23" i="1"/>
  <c r="O56" i="1"/>
  <c r="O46" i="1"/>
  <c r="O31" i="1"/>
  <c r="O26" i="1"/>
  <c r="O18" i="1"/>
  <c r="O55" i="1"/>
  <c r="O51" i="1"/>
  <c r="O45" i="1"/>
  <c r="O40" i="1"/>
  <c r="O30" i="1"/>
  <c r="O25" i="1"/>
  <c r="O19" i="1"/>
  <c r="O15" i="1"/>
  <c r="O14" i="1"/>
  <c r="O54" i="1"/>
  <c r="O44" i="1"/>
  <c r="O37" i="1"/>
  <c r="O29" i="1"/>
  <c r="O24" i="1"/>
  <c r="O16" i="1"/>
  <c r="H73" i="1"/>
  <c r="L36" i="1"/>
  <c r="K36" i="1"/>
  <c r="K73" i="1" s="1"/>
  <c r="G73" i="1"/>
  <c r="L73" i="1" l="1"/>
  <c r="O36" i="1"/>
  <c r="O73" i="1" s="1"/>
</calcChain>
</file>

<file path=xl/sharedStrings.xml><?xml version="1.0" encoding="utf-8"?>
<sst xmlns="http://schemas.openxmlformats.org/spreadsheetml/2006/main" count="265" uniqueCount="141">
  <si>
    <t>Gemeente Dongen</t>
  </si>
  <si>
    <t>Brandweerkazerne</t>
  </si>
  <si>
    <t>Omschrijving</t>
  </si>
  <si>
    <t>Adres</t>
  </si>
  <si>
    <t>Gebouwen</t>
  </si>
  <si>
    <t>Inventaris</t>
  </si>
  <si>
    <t>Totaal</t>
  </si>
  <si>
    <t>Molendijk 3</t>
  </si>
  <si>
    <t>Kleedgebouw de Biezen (tennis)</t>
  </si>
  <si>
    <t>Crispijnhof 9</t>
  </si>
  <si>
    <t>Vaartweg 119</t>
  </si>
  <si>
    <t>Verplaatsbare muziektent</t>
  </si>
  <si>
    <t>Toren hervormde Kerk</t>
  </si>
  <si>
    <t>Kerkstraat 52</t>
  </si>
  <si>
    <t>Kerktoren</t>
  </si>
  <si>
    <t>Kerkdijk 15</t>
  </si>
  <si>
    <t>Opslagplaats plantsoenendienst</t>
  </si>
  <si>
    <t>Pomphuisje plantsoenendienst</t>
  </si>
  <si>
    <t>Unit t.b.v. personeel</t>
  </si>
  <si>
    <t>Jeugdcentrum</t>
  </si>
  <si>
    <t>Vaartweg 87A</t>
  </si>
  <si>
    <t>Gasthuisstraat 3</t>
  </si>
  <si>
    <t>Bejaardensocieteit</t>
  </si>
  <si>
    <t>Nieuwstraat 7</t>
  </si>
  <si>
    <t>Peuterspeelzaal</t>
  </si>
  <si>
    <t>Sportcomplex</t>
  </si>
  <si>
    <t>Voliere</t>
  </si>
  <si>
    <t>Nutsgebouw</t>
  </si>
  <si>
    <t>Bevrijdingskapel</t>
  </si>
  <si>
    <t>Dorpshuis</t>
  </si>
  <si>
    <t>Hoofdstraat 4</t>
  </si>
  <si>
    <t>Gemeentehuis</t>
  </si>
  <si>
    <t>Hoge Ham 62</t>
  </si>
  <si>
    <t>Werkplaats Openbare Werken</t>
  </si>
  <si>
    <t>Hoofdstraat 25</t>
  </si>
  <si>
    <t>de Hak 16</t>
  </si>
  <si>
    <t>OBS Westerkim</t>
  </si>
  <si>
    <t>Vermeerstraat 1</t>
  </si>
  <si>
    <t>OBS Biezenkring</t>
  </si>
  <si>
    <t>Veld 40</t>
  </si>
  <si>
    <t>BBS H. Hart</t>
  </si>
  <si>
    <t>Schoolstraat 2</t>
  </si>
  <si>
    <t>OBS De Springplank</t>
  </si>
  <si>
    <t>Grutterijstraat 22</t>
  </si>
  <si>
    <t>BBS St. Jan</t>
  </si>
  <si>
    <t>Kastanjestraat 26</t>
  </si>
  <si>
    <t>Wilgenstraat 1</t>
  </si>
  <si>
    <t>Fietsenstalling</t>
  </si>
  <si>
    <t>BBS J.J. Anspach</t>
  </si>
  <si>
    <t>St. Josephstraat 62</t>
  </si>
  <si>
    <t>BBS de Wegwijzer</t>
  </si>
  <si>
    <t>Molendijk 3A</t>
  </si>
  <si>
    <t>Gymlokaal de Biezen</t>
  </si>
  <si>
    <t>Otterdonk 3</t>
  </si>
  <si>
    <t>Gymlokaal Wielstraat</t>
  </si>
  <si>
    <t>Gymlokaal</t>
  </si>
  <si>
    <t>Otterdonk 5</t>
  </si>
  <si>
    <t>Hortensiastraat 2</t>
  </si>
  <si>
    <t>Manege Crispijn</t>
  </si>
  <si>
    <t>Indexcijfer 2017</t>
  </si>
  <si>
    <t>Indexcijfer 2018</t>
  </si>
  <si>
    <t>Opruimingskosten</t>
  </si>
  <si>
    <t>Indexcijfer 2019</t>
  </si>
  <si>
    <t>Multifunctioneel gebouw</t>
  </si>
  <si>
    <t>Mgr. Schaepmanlaan 2</t>
  </si>
  <si>
    <t>Mgr. Schaepmanlaan 13</t>
  </si>
  <si>
    <t>(Noodcollege)</t>
  </si>
  <si>
    <t>Bolkensteeg 7-9</t>
  </si>
  <si>
    <t>Alle locaties</t>
  </si>
  <si>
    <t>Hoge Ham 126</t>
  </si>
  <si>
    <t>Indexcijfer 2020</t>
  </si>
  <si>
    <t>Procureurweg 2A</t>
  </si>
  <si>
    <t>Sluisweg 42</t>
  </si>
  <si>
    <t>Julianalaan 2</t>
  </si>
  <si>
    <t>Hertog Jan straat tegenover 39</t>
  </si>
  <si>
    <t>Prinsenstraat 1</t>
  </si>
  <si>
    <t>Groenstraat 14A</t>
  </si>
  <si>
    <t>Belgiëlaan 2 + 2A</t>
  </si>
  <si>
    <t>Nieuwstraat 9</t>
  </si>
  <si>
    <t>Veenbies 10-18</t>
  </si>
  <si>
    <t>Nieuwstraat 11</t>
  </si>
  <si>
    <t>Vaartweg 104</t>
  </si>
  <si>
    <t>Kerkstraat 60</t>
  </si>
  <si>
    <t>Indexcijfer 2021</t>
  </si>
  <si>
    <t>Woning met loods</t>
  </si>
  <si>
    <t>Danielsweg 1</t>
  </si>
  <si>
    <t>Opslag buitendienst</t>
  </si>
  <si>
    <t>Dwarsweg 8</t>
  </si>
  <si>
    <t>Nieuwbouw inclusief zonnepanelen met installatie</t>
  </si>
  <si>
    <t>Oude pand (sloopwaarde)</t>
  </si>
  <si>
    <t>Oplevering nieuwbouw Cambreur College</t>
  </si>
  <si>
    <t>gebouwen incl € 360000 aan zonnepanelen</t>
  </si>
  <si>
    <t>Per</t>
  </si>
  <si>
    <t>ADC Mutaties</t>
  </si>
  <si>
    <t>Omzetting oudbouw cambreur college naar € 1250000 sloopwaarde</t>
  </si>
  <si>
    <t>Taxatie</t>
  </si>
  <si>
    <t>Diverse taxaties gebouwen</t>
  </si>
  <si>
    <t>Diverse taxaties inventaris</t>
  </si>
  <si>
    <t>Cambreurcollege gebouw c-1</t>
  </si>
  <si>
    <t>Cambreurcollege gebouw c-2 De Bolk</t>
  </si>
  <si>
    <t>Bolkensteeg 9</t>
  </si>
  <si>
    <t>Cambreurcollege Gymzaal</t>
  </si>
  <si>
    <t>Gemeentewerf hoofdgebouw 1</t>
  </si>
  <si>
    <t>Gemeentewerf gebouw 2</t>
  </si>
  <si>
    <t>Gemeentewerf gebouw 3</t>
  </si>
  <si>
    <t>DienstgebouwStiltecentrum, loods en prefabschuur begraafplaats</t>
  </si>
  <si>
    <t>BBS de Vlinderboom+berging</t>
  </si>
  <si>
    <t>BBS St. Jan +fietsenberging</t>
  </si>
  <si>
    <t>Kwadrant SG: Cambreurcollege gebouw B</t>
  </si>
  <si>
    <t>BBS Noorderpoort+fietsenstalling</t>
  </si>
  <si>
    <t>Brandweerkazerne met bovenwoning en leslokaal</t>
  </si>
  <si>
    <t>Oude Baan 21, 21A, 21B</t>
  </si>
  <si>
    <t>Kantoorgebouw</t>
  </si>
  <si>
    <t>Planetenstraat 25</t>
  </si>
  <si>
    <t>BBS Achterberg, fietsenstalling en bijgebouw</t>
  </si>
  <si>
    <t>Gymzaal Kelly van Zonzaal</t>
  </si>
  <si>
    <t>St. Josephstraat 62C</t>
  </si>
  <si>
    <t>BBS St. Agnes+fietsenstalling</t>
  </si>
  <si>
    <t>Sportzaal en kleedgebouw de Vaart</t>
  </si>
  <si>
    <t>Grutterijstraat 27</t>
  </si>
  <si>
    <t>Hoofdstraat 2</t>
  </si>
  <si>
    <t>Wielstraat 29C</t>
  </si>
  <si>
    <t>Keet plantsoenendienst t Wiel</t>
  </si>
  <si>
    <t>Wielstraat, achter 29</t>
  </si>
  <si>
    <t>Leaseprinters Canon stichting Initia</t>
  </si>
  <si>
    <t>Afvoer inventaris Brandweerkazernes</t>
  </si>
  <si>
    <t>Afvoer inventaris jeugdcentrum Dongervaart</t>
  </si>
  <si>
    <t>Afvoer inventaris Dorpshuis De geubel</t>
  </si>
  <si>
    <t>Afvoer Noodlokaal OBS De Westerkim</t>
  </si>
  <si>
    <t>Afvoer Noodlokalen en semipermanent lokaal OBS De Biezenkring</t>
  </si>
  <si>
    <t>Afvoer Noodlokalen BS Achterberg</t>
  </si>
  <si>
    <t>Afvoer gebouw begraafplaats Julianalaan 2</t>
  </si>
  <si>
    <t>Beveiligingsinstallatie</t>
  </si>
  <si>
    <t>ja</t>
  </si>
  <si>
    <t xml:space="preserve">nee </t>
  </si>
  <si>
    <t>nvt</t>
  </si>
  <si>
    <t>nee</t>
  </si>
  <si>
    <t>Brandmeldinstallatie</t>
  </si>
  <si>
    <t>ontruiming inst.</t>
  </si>
  <si>
    <t>Aantal zonnepanelen</t>
  </si>
  <si>
    <t>228+280 geintegreerd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</si>
</sst>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  <numFmt numFmtId="166" formatCode="_ * #,##0.0_ ;_ * \-#,##0.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164" fontId="0" fillId="0" borderId="0" xfId="1" applyNumberFormat="1" applyFont="1"/>
    <xf numFmtId="0" fontId="0" fillId="0" borderId="1" xfId="0" applyBorder="1"/>
    <xf numFmtId="0" fontId="0" fillId="0" borderId="1" xfId="0" quotePrefix="1" applyBorder="1"/>
    <xf numFmtId="0" fontId="2" fillId="0" borderId="1" xfId="0" applyFont="1" applyBorder="1"/>
    <xf numFmtId="164" fontId="2" fillId="0" borderId="1" xfId="1" applyNumberFormat="1" applyFont="1" applyBorder="1"/>
    <xf numFmtId="0" fontId="0" fillId="0" borderId="0" xfId="0" applyFont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65" fontId="0" fillId="0" borderId="0" xfId="1" applyNumberFormat="1" applyFont="1"/>
    <xf numFmtId="44" fontId="0" fillId="0" borderId="1" xfId="2" applyFont="1" applyBorder="1"/>
    <xf numFmtId="44" fontId="0" fillId="0" borderId="2" xfId="2" applyFont="1" applyBorder="1"/>
    <xf numFmtId="44" fontId="0" fillId="0" borderId="3" xfId="2" applyFont="1" applyBorder="1"/>
    <xf numFmtId="165" fontId="0" fillId="0" borderId="4" xfId="1" applyNumberFormat="1" applyFont="1" applyBorder="1"/>
    <xf numFmtId="44" fontId="0" fillId="0" borderId="4" xfId="2" applyFont="1" applyBorder="1"/>
    <xf numFmtId="166" fontId="0" fillId="0" borderId="0" xfId="1" applyNumberFormat="1" applyFont="1"/>
    <xf numFmtId="43" fontId="0" fillId="0" borderId="0" xfId="1" applyFont="1"/>
    <xf numFmtId="43" fontId="2" fillId="0" borderId="1" xfId="1" applyFont="1" applyBorder="1"/>
    <xf numFmtId="43" fontId="0" fillId="0" borderId="1" xfId="1" applyFont="1" applyBorder="1"/>
    <xf numFmtId="44" fontId="0" fillId="0" borderId="1" xfId="0" applyNumberFormat="1" applyBorder="1"/>
    <xf numFmtId="43" fontId="0" fillId="0" borderId="1" xfId="0" applyNumberFormat="1" applyBorder="1"/>
    <xf numFmtId="43" fontId="0" fillId="0" borderId="3" xfId="1" applyFont="1" applyBorder="1"/>
    <xf numFmtId="44" fontId="0" fillId="0" borderId="3" xfId="0" applyNumberFormat="1" applyBorder="1"/>
    <xf numFmtId="43" fontId="0" fillId="0" borderId="3" xfId="0" applyNumberFormat="1" applyBorder="1"/>
    <xf numFmtId="43" fontId="0" fillId="0" borderId="2" xfId="1" applyFont="1" applyBorder="1"/>
    <xf numFmtId="43" fontId="0" fillId="0" borderId="0" xfId="0" applyNumberFormat="1"/>
    <xf numFmtId="0" fontId="0" fillId="2" borderId="1" xfId="0" applyFill="1" applyBorder="1"/>
    <xf numFmtId="165" fontId="0" fillId="2" borderId="4" xfId="1" applyNumberFormat="1" applyFont="1" applyFill="1" applyBorder="1"/>
    <xf numFmtId="44" fontId="0" fillId="2" borderId="4" xfId="2" applyFont="1" applyFill="1" applyBorder="1"/>
    <xf numFmtId="43" fontId="0" fillId="2" borderId="1" xfId="1" applyFont="1" applyFill="1" applyBorder="1"/>
    <xf numFmtId="44" fontId="0" fillId="2" borderId="1" xfId="0" applyNumberFormat="1" applyFill="1" applyBorder="1"/>
    <xf numFmtId="43" fontId="0" fillId="2" borderId="1" xfId="0" applyNumberFormat="1" applyFill="1" applyBorder="1"/>
    <xf numFmtId="165" fontId="0" fillId="2" borderId="1" xfId="1" applyNumberFormat="1" applyFont="1" applyFill="1" applyBorder="1"/>
    <xf numFmtId="44" fontId="0" fillId="2" borderId="1" xfId="2" applyFont="1" applyFill="1" applyBorder="1"/>
    <xf numFmtId="0" fontId="0" fillId="0" borderId="2" xfId="0" applyBorder="1"/>
    <xf numFmtId="0" fontId="0" fillId="0" borderId="5" xfId="0" applyBorder="1"/>
    <xf numFmtId="165" fontId="0" fillId="0" borderId="6" xfId="1" applyNumberFormat="1" applyFont="1" applyBorder="1"/>
    <xf numFmtId="165" fontId="0" fillId="0" borderId="7" xfId="1" applyNumberFormat="1" applyFont="1" applyBorder="1"/>
    <xf numFmtId="0" fontId="0" fillId="0" borderId="1" xfId="0" applyFill="1" applyBorder="1"/>
    <xf numFmtId="165" fontId="0" fillId="0" borderId="1" xfId="1" applyNumberFormat="1" applyFont="1" applyFill="1" applyBorder="1"/>
    <xf numFmtId="44" fontId="0" fillId="0" borderId="1" xfId="2" applyFont="1" applyFill="1" applyBorder="1"/>
    <xf numFmtId="43" fontId="0" fillId="0" borderId="1" xfId="1" applyFont="1" applyFill="1" applyBorder="1"/>
    <xf numFmtId="44" fontId="0" fillId="0" borderId="1" xfId="0" applyNumberFormat="1" applyFill="1" applyBorder="1"/>
    <xf numFmtId="43" fontId="0" fillId="0" borderId="1" xfId="0" applyNumberFormat="1" applyFill="1" applyBorder="1"/>
    <xf numFmtId="0" fontId="0" fillId="2" borderId="4" xfId="0" applyFill="1" applyBorder="1"/>
    <xf numFmtId="0" fontId="0" fillId="2" borderId="5" xfId="0" applyFill="1" applyBorder="1"/>
    <xf numFmtId="165" fontId="0" fillId="2" borderId="8" xfId="1" applyNumberFormat="1" applyFont="1" applyFill="1" applyBorder="1"/>
    <xf numFmtId="43" fontId="0" fillId="2" borderId="4" xfId="1" applyFont="1" applyFill="1" applyBorder="1"/>
    <xf numFmtId="44" fontId="0" fillId="2" borderId="4" xfId="0" applyNumberFormat="1" applyFill="1" applyBorder="1"/>
    <xf numFmtId="43" fontId="2" fillId="0" borderId="1" xfId="1" applyFont="1" applyFill="1" applyBorder="1"/>
    <xf numFmtId="164" fontId="2" fillId="0" borderId="1" xfId="1" applyNumberFormat="1" applyFont="1" applyFill="1" applyBorder="1"/>
    <xf numFmtId="43" fontId="0" fillId="0" borderId="2" xfId="0" applyNumberFormat="1" applyFill="1" applyBorder="1"/>
    <xf numFmtId="0" fontId="0" fillId="0" borderId="2" xfId="0" applyFill="1" applyBorder="1"/>
    <xf numFmtId="43" fontId="0" fillId="0" borderId="3" xfId="0" applyNumberFormat="1" applyFill="1" applyBorder="1"/>
    <xf numFmtId="44" fontId="0" fillId="0" borderId="0" xfId="0" applyNumberFormat="1"/>
    <xf numFmtId="0" fontId="0" fillId="0" borderId="11" xfId="0" applyBorder="1"/>
    <xf numFmtId="0" fontId="2" fillId="0" borderId="11" xfId="0" applyFont="1" applyBorder="1"/>
    <xf numFmtId="0" fontId="2" fillId="0" borderId="0" xfId="0" applyFont="1" applyBorder="1"/>
    <xf numFmtId="14" fontId="0" fillId="0" borderId="12" xfId="0" applyNumberFormat="1" applyBorder="1"/>
    <xf numFmtId="14" fontId="0" fillId="0" borderId="13" xfId="0" applyNumberFormat="1" applyBorder="1"/>
    <xf numFmtId="0" fontId="0" fillId="0" borderId="13" xfId="0" applyBorder="1"/>
    <xf numFmtId="0" fontId="0" fillId="0" borderId="8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44" fontId="0" fillId="0" borderId="16" xfId="0" applyNumberFormat="1" applyBorder="1"/>
    <xf numFmtId="0" fontId="0" fillId="0" borderId="7" xfId="0" applyBorder="1"/>
    <xf numFmtId="0" fontId="0" fillId="0" borderId="16" xfId="0" applyBorder="1"/>
    <xf numFmtId="0" fontId="0" fillId="0" borderId="12" xfId="0" applyBorder="1"/>
    <xf numFmtId="43" fontId="0" fillId="2" borderId="4" xfId="0" applyNumberFormat="1" applyFill="1" applyBorder="1"/>
    <xf numFmtId="43" fontId="0" fillId="0" borderId="4" xfId="0" applyNumberFormat="1" applyFill="1" applyBorder="1"/>
    <xf numFmtId="14" fontId="0" fillId="0" borderId="1" xfId="0" applyNumberFormat="1" applyFill="1" applyBorder="1"/>
    <xf numFmtId="14" fontId="0" fillId="0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9" xfId="0" applyBorder="1"/>
    <xf numFmtId="164" fontId="2" fillId="0" borderId="3" xfId="1" applyNumberFormat="1" applyFont="1" applyFill="1" applyBorder="1"/>
    <xf numFmtId="14" fontId="0" fillId="0" borderId="1" xfId="0" applyNumberFormat="1" applyBorder="1"/>
    <xf numFmtId="14" fontId="0" fillId="0" borderId="4" xfId="0" applyNumberFormat="1" applyBorder="1"/>
    <xf numFmtId="43" fontId="0" fillId="0" borderId="4" xfId="0" applyNumberFormat="1" applyBorder="1"/>
    <xf numFmtId="0" fontId="0" fillId="0" borderId="10" xfId="0" applyBorder="1"/>
    <xf numFmtId="43" fontId="0" fillId="0" borderId="2" xfId="0" applyNumberFormat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X76"/>
  <sheetViews>
    <sheetView showGridLines="0" tabSelected="1" zoomScaleNormal="100" workbookViewId="0">
      <selection activeCell="B7" sqref="B7"/>
    </sheetView>
  </sheetViews>
  <sheetFormatPr defaultRowHeight="15" x14ac:dyDescent="0.25"/>
  <cols>
    <col min="2" max="2" width="60.85546875" bestFit="1" customWidth="1"/>
    <col min="3" max="3" width="28.28515625" bestFit="1" customWidth="1"/>
    <col min="4" max="4" width="15.140625" style="2" hidden="1" customWidth="1"/>
    <col min="5" max="5" width="14.140625" style="2" hidden="1" customWidth="1"/>
    <col min="6" max="6" width="18.42578125" style="2" hidden="1" customWidth="1"/>
    <col min="7" max="7" width="15.140625" style="2" hidden="1" customWidth="1"/>
    <col min="8" max="8" width="16" style="18" hidden="1" customWidth="1"/>
    <col min="9" max="9" width="14.140625" hidden="1" customWidth="1"/>
    <col min="10" max="10" width="18.42578125" hidden="1" customWidth="1"/>
    <col min="11" max="13" width="15.28515625" hidden="1" customWidth="1"/>
    <col min="14" max="14" width="18.42578125" hidden="1" customWidth="1"/>
    <col min="15" max="15" width="15.28515625" hidden="1" customWidth="1"/>
    <col min="16" max="16" width="15.28515625" customWidth="1"/>
    <col min="17" max="17" width="11.42578125" customWidth="1"/>
    <col min="18" max="19" width="15.28515625" customWidth="1"/>
    <col min="20" max="20" width="18.42578125" bestFit="1" customWidth="1"/>
    <col min="21" max="21" width="15.28515625" customWidth="1"/>
    <col min="22" max="22" width="21.85546875" bestFit="1" customWidth="1"/>
    <col min="23" max="23" width="20.7109375" bestFit="1" customWidth="1"/>
    <col min="24" max="24" width="21" bestFit="1" customWidth="1"/>
  </cols>
  <sheetData>
    <row r="6" spans="2:24" ht="20.25" x14ac:dyDescent="0.3">
      <c r="B6" s="1" t="s">
        <v>0</v>
      </c>
      <c r="F6" s="17"/>
      <c r="L6" s="2" t="s">
        <v>59</v>
      </c>
      <c r="M6" s="17">
        <v>121.1</v>
      </c>
      <c r="N6" s="2" t="s">
        <v>83</v>
      </c>
      <c r="O6" s="17">
        <v>108</v>
      </c>
      <c r="P6" s="2"/>
      <c r="Q6" s="2"/>
      <c r="R6" s="17"/>
      <c r="S6" s="17"/>
      <c r="T6" s="2"/>
      <c r="U6" s="17"/>
    </row>
    <row r="7" spans="2:24" x14ac:dyDescent="0.25">
      <c r="B7" s="7"/>
      <c r="F7" s="17"/>
      <c r="L7" s="2" t="s">
        <v>60</v>
      </c>
      <c r="M7" s="17">
        <v>123.7</v>
      </c>
      <c r="P7" s="2"/>
      <c r="Q7" s="2"/>
      <c r="R7" s="17"/>
      <c r="S7" s="17"/>
    </row>
    <row r="8" spans="2:24" x14ac:dyDescent="0.25">
      <c r="B8" s="7"/>
      <c r="F8" s="17"/>
      <c r="L8" s="2" t="s">
        <v>62</v>
      </c>
      <c r="M8" s="17">
        <v>139.1</v>
      </c>
      <c r="P8" s="2"/>
      <c r="Q8" s="2"/>
      <c r="R8" s="17"/>
      <c r="S8" s="17"/>
    </row>
    <row r="9" spans="2:24" x14ac:dyDescent="0.25">
      <c r="B9" s="7"/>
      <c r="F9" s="17"/>
      <c r="L9" s="2" t="s">
        <v>70</v>
      </c>
      <c r="M9" s="17">
        <v>105</v>
      </c>
      <c r="P9" s="2"/>
      <c r="Q9" s="2"/>
      <c r="R9" s="17"/>
      <c r="S9" s="17"/>
    </row>
    <row r="10" spans="2:24" x14ac:dyDescent="0.25">
      <c r="L10" s="75">
        <v>2020</v>
      </c>
      <c r="M10" s="76"/>
      <c r="N10" s="76"/>
      <c r="O10" s="77"/>
      <c r="P10" s="78">
        <v>2021</v>
      </c>
      <c r="Q10" s="79"/>
      <c r="R10" s="79"/>
      <c r="S10" s="79"/>
      <c r="T10" s="79"/>
      <c r="U10" s="80"/>
      <c r="V10" s="81"/>
      <c r="W10" s="81"/>
      <c r="X10" s="86"/>
    </row>
    <row r="11" spans="2:24" x14ac:dyDescent="0.25">
      <c r="B11" s="5" t="s">
        <v>2</v>
      </c>
      <c r="C11" s="5" t="s">
        <v>3</v>
      </c>
      <c r="D11" s="6" t="s">
        <v>4</v>
      </c>
      <c r="E11" s="6" t="s">
        <v>5</v>
      </c>
      <c r="F11" s="6" t="s">
        <v>61</v>
      </c>
      <c r="G11" s="6" t="s">
        <v>6</v>
      </c>
      <c r="H11" s="19" t="s">
        <v>4</v>
      </c>
      <c r="I11" s="6" t="s">
        <v>5</v>
      </c>
      <c r="J11" s="6" t="s">
        <v>61</v>
      </c>
      <c r="K11" s="6" t="s">
        <v>6</v>
      </c>
      <c r="L11" s="19" t="s">
        <v>4</v>
      </c>
      <c r="M11" s="6" t="s">
        <v>5</v>
      </c>
      <c r="N11" s="6" t="s">
        <v>61</v>
      </c>
      <c r="O11" s="6" t="s">
        <v>6</v>
      </c>
      <c r="P11" s="51" t="s">
        <v>4</v>
      </c>
      <c r="Q11" s="51" t="s">
        <v>95</v>
      </c>
      <c r="R11" s="52" t="s">
        <v>5</v>
      </c>
      <c r="S11" s="52" t="s">
        <v>95</v>
      </c>
      <c r="T11" s="52" t="s">
        <v>61</v>
      </c>
      <c r="U11" s="52" t="s">
        <v>6</v>
      </c>
      <c r="V11" s="82" t="s">
        <v>132</v>
      </c>
      <c r="W11" s="82" t="s">
        <v>137</v>
      </c>
      <c r="X11" s="82" t="s">
        <v>139</v>
      </c>
    </row>
    <row r="12" spans="2:24" x14ac:dyDescent="0.25">
      <c r="B12" s="3" t="s">
        <v>110</v>
      </c>
      <c r="C12" s="3" t="s">
        <v>111</v>
      </c>
      <c r="D12" s="8">
        <f>871300/M6*M7</f>
        <v>890006.68868703558</v>
      </c>
      <c r="E12" s="12">
        <v>141000</v>
      </c>
      <c r="F12" s="12"/>
      <c r="G12" s="8">
        <f t="shared" ref="G12:G37" si="0">D12+E12</f>
        <v>1031006.6886870356</v>
      </c>
      <c r="H12" s="20">
        <f t="shared" ref="H12:H37" si="1">ROUND(D12/$M$7*$M$8,-2)</f>
        <v>1000800</v>
      </c>
      <c r="I12" s="21">
        <f t="shared" ref="I12:I34" si="2">E12</f>
        <v>141000</v>
      </c>
      <c r="J12" s="21">
        <f t="shared" ref="J12:J34" si="3">F12</f>
        <v>0</v>
      </c>
      <c r="K12" s="22">
        <f t="shared" ref="K12:K37" si="4">H12+I12+J12</f>
        <v>1141800</v>
      </c>
      <c r="L12" s="22">
        <f t="shared" ref="L12:L37" si="5">ROUND($H12/100*105,-2)</f>
        <v>1050800</v>
      </c>
      <c r="M12" s="22">
        <f t="shared" ref="M12:M37" si="6">$I12</f>
        <v>141000</v>
      </c>
      <c r="N12" s="22"/>
      <c r="O12" s="22">
        <f t="shared" ref="O12:O37" si="7">SUM($L12+$M12)</f>
        <v>1191800</v>
      </c>
      <c r="P12" s="45">
        <v>1435000</v>
      </c>
      <c r="Q12" s="73">
        <v>44314</v>
      </c>
      <c r="R12" s="45"/>
      <c r="S12" s="45"/>
      <c r="T12" s="45"/>
      <c r="U12" s="45">
        <f>P12+R12</f>
        <v>1435000</v>
      </c>
      <c r="V12" s="22" t="s">
        <v>133</v>
      </c>
      <c r="W12" s="22" t="s">
        <v>136</v>
      </c>
      <c r="X12" s="22"/>
    </row>
    <row r="13" spans="2:24" x14ac:dyDescent="0.25">
      <c r="B13" s="3" t="s">
        <v>1</v>
      </c>
      <c r="C13" s="3" t="s">
        <v>7</v>
      </c>
      <c r="D13" s="8">
        <f>510100/M6*M7</f>
        <v>521051.77539223788</v>
      </c>
      <c r="E13" s="12">
        <v>150000</v>
      </c>
      <c r="F13" s="12"/>
      <c r="G13" s="8">
        <f t="shared" si="0"/>
        <v>671051.77539223782</v>
      </c>
      <c r="H13" s="20">
        <f t="shared" si="1"/>
        <v>585900</v>
      </c>
      <c r="I13" s="21">
        <f t="shared" si="2"/>
        <v>150000</v>
      </c>
      <c r="J13" s="21">
        <f t="shared" si="3"/>
        <v>0</v>
      </c>
      <c r="K13" s="22">
        <f t="shared" si="4"/>
        <v>735900</v>
      </c>
      <c r="L13" s="22">
        <f t="shared" si="5"/>
        <v>615200</v>
      </c>
      <c r="M13" s="22">
        <f t="shared" si="6"/>
        <v>150000</v>
      </c>
      <c r="N13" s="22"/>
      <c r="O13" s="22">
        <f t="shared" si="7"/>
        <v>765200</v>
      </c>
      <c r="P13" s="45">
        <v>640000</v>
      </c>
      <c r="Q13" s="73">
        <v>44314</v>
      </c>
      <c r="R13" s="45"/>
      <c r="S13" s="45"/>
      <c r="T13" s="45"/>
      <c r="U13" s="45">
        <f t="shared" ref="U13:U66" si="8">P13+R13</f>
        <v>640000</v>
      </c>
      <c r="V13" s="22" t="s">
        <v>133</v>
      </c>
      <c r="W13" s="22" t="s">
        <v>136</v>
      </c>
      <c r="X13" s="22"/>
    </row>
    <row r="14" spans="2:24" x14ac:dyDescent="0.25">
      <c r="B14" s="3" t="s">
        <v>8</v>
      </c>
      <c r="C14" s="3" t="s">
        <v>71</v>
      </c>
      <c r="D14" s="8">
        <f>68400/M6*M7</f>
        <v>69868.538398018165</v>
      </c>
      <c r="E14" s="12"/>
      <c r="F14" s="12"/>
      <c r="G14" s="8">
        <f t="shared" si="0"/>
        <v>69868.538398018165</v>
      </c>
      <c r="H14" s="20">
        <f t="shared" si="1"/>
        <v>78600</v>
      </c>
      <c r="I14" s="21">
        <f t="shared" si="2"/>
        <v>0</v>
      </c>
      <c r="J14" s="21">
        <f t="shared" si="3"/>
        <v>0</v>
      </c>
      <c r="K14" s="22">
        <f t="shared" si="4"/>
        <v>78600</v>
      </c>
      <c r="L14" s="22">
        <f t="shared" si="5"/>
        <v>82500</v>
      </c>
      <c r="M14" s="22">
        <f t="shared" si="6"/>
        <v>0</v>
      </c>
      <c r="N14" s="22"/>
      <c r="O14" s="22">
        <f t="shared" si="7"/>
        <v>82500</v>
      </c>
      <c r="P14" s="45">
        <v>84000</v>
      </c>
      <c r="Q14" s="73">
        <v>44314</v>
      </c>
      <c r="R14" s="45"/>
      <c r="S14" s="45"/>
      <c r="T14" s="45"/>
      <c r="U14" s="45">
        <f t="shared" si="8"/>
        <v>84000</v>
      </c>
      <c r="V14" s="22" t="s">
        <v>134</v>
      </c>
      <c r="W14" s="22" t="s">
        <v>136</v>
      </c>
      <c r="X14" s="22"/>
    </row>
    <row r="15" spans="2:24" x14ac:dyDescent="0.25">
      <c r="B15" s="3" t="s">
        <v>58</v>
      </c>
      <c r="C15" s="3" t="s">
        <v>9</v>
      </c>
      <c r="D15" s="8">
        <f>138700/M6*M7</f>
        <v>141677.86952931463</v>
      </c>
      <c r="E15" s="12"/>
      <c r="F15" s="12"/>
      <c r="G15" s="8">
        <f t="shared" si="0"/>
        <v>141677.86952931463</v>
      </c>
      <c r="H15" s="20">
        <f t="shared" si="1"/>
        <v>159300</v>
      </c>
      <c r="I15" s="21">
        <f t="shared" si="2"/>
        <v>0</v>
      </c>
      <c r="J15" s="21">
        <f t="shared" si="3"/>
        <v>0</v>
      </c>
      <c r="K15" s="22">
        <f t="shared" si="4"/>
        <v>159300</v>
      </c>
      <c r="L15" s="22">
        <f t="shared" si="5"/>
        <v>167300</v>
      </c>
      <c r="M15" s="22">
        <f t="shared" si="6"/>
        <v>0</v>
      </c>
      <c r="N15" s="22"/>
      <c r="O15" s="22">
        <f t="shared" si="7"/>
        <v>167300</v>
      </c>
      <c r="P15" s="45">
        <v>180000</v>
      </c>
      <c r="Q15" s="73">
        <v>44314</v>
      </c>
      <c r="R15" s="45"/>
      <c r="S15" s="45"/>
      <c r="T15" s="45"/>
      <c r="U15" s="45">
        <f t="shared" si="8"/>
        <v>180000</v>
      </c>
      <c r="V15" s="22" t="s">
        <v>134</v>
      </c>
      <c r="W15" s="22" t="s">
        <v>136</v>
      </c>
      <c r="X15" s="22"/>
    </row>
    <row r="16" spans="2:24" x14ac:dyDescent="0.25">
      <c r="B16" s="3" t="s">
        <v>11</v>
      </c>
      <c r="C16" s="4" t="s">
        <v>120</v>
      </c>
      <c r="D16" s="8">
        <f>17300/M6*M7</f>
        <v>17671.428571428572</v>
      </c>
      <c r="E16" s="12"/>
      <c r="F16" s="12"/>
      <c r="G16" s="8">
        <f t="shared" si="0"/>
        <v>17671.428571428572</v>
      </c>
      <c r="H16" s="20">
        <f t="shared" si="1"/>
        <v>19900</v>
      </c>
      <c r="I16" s="21">
        <f t="shared" si="2"/>
        <v>0</v>
      </c>
      <c r="J16" s="21">
        <f t="shared" si="3"/>
        <v>0</v>
      </c>
      <c r="K16" s="22">
        <f t="shared" si="4"/>
        <v>19900</v>
      </c>
      <c r="L16" s="22">
        <f t="shared" si="5"/>
        <v>20900</v>
      </c>
      <c r="M16" s="22">
        <f t="shared" si="6"/>
        <v>0</v>
      </c>
      <c r="N16" s="22"/>
      <c r="O16" s="22">
        <f t="shared" si="7"/>
        <v>20900</v>
      </c>
      <c r="P16" s="45">
        <v>22000</v>
      </c>
      <c r="Q16" s="73">
        <v>44314</v>
      </c>
      <c r="R16" s="45"/>
      <c r="S16" s="45"/>
      <c r="T16" s="45"/>
      <c r="U16" s="45">
        <f t="shared" si="8"/>
        <v>22000</v>
      </c>
      <c r="V16" s="22" t="s">
        <v>135</v>
      </c>
      <c r="W16" s="22" t="s">
        <v>135</v>
      </c>
      <c r="X16" s="22"/>
    </row>
    <row r="17" spans="2:24" x14ac:dyDescent="0.25">
      <c r="B17" s="3" t="s">
        <v>12</v>
      </c>
      <c r="C17" s="3" t="s">
        <v>13</v>
      </c>
      <c r="D17" s="8">
        <f>2214900/M6*M7</f>
        <v>2262453.5920726676</v>
      </c>
      <c r="E17" s="12"/>
      <c r="F17" s="12"/>
      <c r="G17" s="8">
        <f t="shared" si="0"/>
        <v>2262453.5920726676</v>
      </c>
      <c r="H17" s="20">
        <f t="shared" si="1"/>
        <v>2544100</v>
      </c>
      <c r="I17" s="21">
        <f t="shared" si="2"/>
        <v>0</v>
      </c>
      <c r="J17" s="21">
        <f t="shared" si="3"/>
        <v>0</v>
      </c>
      <c r="K17" s="22">
        <f t="shared" si="4"/>
        <v>2544100</v>
      </c>
      <c r="L17" s="22">
        <f t="shared" si="5"/>
        <v>2671300</v>
      </c>
      <c r="M17" s="22">
        <f t="shared" si="6"/>
        <v>0</v>
      </c>
      <c r="N17" s="22"/>
      <c r="O17" s="22">
        <f t="shared" si="7"/>
        <v>2671300</v>
      </c>
      <c r="P17" s="45">
        <v>2695000</v>
      </c>
      <c r="Q17" s="73">
        <v>44314</v>
      </c>
      <c r="R17" s="45"/>
      <c r="S17" s="45"/>
      <c r="T17" s="45"/>
      <c r="U17" s="45">
        <f t="shared" si="8"/>
        <v>2695000</v>
      </c>
      <c r="V17" s="22" t="s">
        <v>134</v>
      </c>
      <c r="W17" s="22" t="s">
        <v>136</v>
      </c>
      <c r="X17" s="22"/>
    </row>
    <row r="18" spans="2:24" x14ac:dyDescent="0.25">
      <c r="B18" s="3" t="s">
        <v>14</v>
      </c>
      <c r="C18" s="3" t="s">
        <v>15</v>
      </c>
      <c r="D18" s="8">
        <f>928400/M6*M7</f>
        <v>948332.61767134606</v>
      </c>
      <c r="E18" s="12"/>
      <c r="F18" s="12"/>
      <c r="G18" s="8">
        <f t="shared" si="0"/>
        <v>948332.61767134606</v>
      </c>
      <c r="H18" s="20">
        <f t="shared" si="1"/>
        <v>1066400</v>
      </c>
      <c r="I18" s="21">
        <f t="shared" si="2"/>
        <v>0</v>
      </c>
      <c r="J18" s="21">
        <f t="shared" si="3"/>
        <v>0</v>
      </c>
      <c r="K18" s="22">
        <f t="shared" si="4"/>
        <v>1066400</v>
      </c>
      <c r="L18" s="22">
        <f t="shared" si="5"/>
        <v>1119700</v>
      </c>
      <c r="M18" s="22">
        <f t="shared" si="6"/>
        <v>0</v>
      </c>
      <c r="N18" s="22"/>
      <c r="O18" s="22">
        <f t="shared" si="7"/>
        <v>1119700</v>
      </c>
      <c r="P18" s="45">
        <v>1075000</v>
      </c>
      <c r="Q18" s="73">
        <v>44314</v>
      </c>
      <c r="R18" s="45"/>
      <c r="S18" s="45"/>
      <c r="T18" s="45"/>
      <c r="U18" s="45">
        <f t="shared" si="8"/>
        <v>1075000</v>
      </c>
      <c r="V18" s="22" t="s">
        <v>134</v>
      </c>
      <c r="W18" s="22" t="s">
        <v>136</v>
      </c>
      <c r="X18" s="22"/>
    </row>
    <row r="19" spans="2:24" x14ac:dyDescent="0.25">
      <c r="B19" s="3" t="s">
        <v>17</v>
      </c>
      <c r="C19" s="3" t="s">
        <v>71</v>
      </c>
      <c r="D19" s="8">
        <f>23500/M6*M7</f>
        <v>24004.541701073496</v>
      </c>
      <c r="E19" s="12">
        <v>11000</v>
      </c>
      <c r="F19" s="12"/>
      <c r="G19" s="8">
        <f t="shared" si="0"/>
        <v>35004.541701073496</v>
      </c>
      <c r="H19" s="20">
        <f t="shared" si="1"/>
        <v>27000</v>
      </c>
      <c r="I19" s="21">
        <f t="shared" si="2"/>
        <v>11000</v>
      </c>
      <c r="J19" s="21">
        <f t="shared" si="3"/>
        <v>0</v>
      </c>
      <c r="K19" s="22">
        <f t="shared" si="4"/>
        <v>38000</v>
      </c>
      <c r="L19" s="22">
        <f t="shared" si="5"/>
        <v>28400</v>
      </c>
      <c r="M19" s="22">
        <f t="shared" si="6"/>
        <v>11000</v>
      </c>
      <c r="N19" s="22"/>
      <c r="O19" s="22">
        <f t="shared" si="7"/>
        <v>39400</v>
      </c>
      <c r="P19" s="45">
        <v>25000</v>
      </c>
      <c r="Q19" s="73">
        <v>44314</v>
      </c>
      <c r="R19" s="45">
        <v>16500</v>
      </c>
      <c r="S19" s="73">
        <v>44314</v>
      </c>
      <c r="T19" s="45"/>
      <c r="U19" s="45">
        <f t="shared" si="8"/>
        <v>41500</v>
      </c>
      <c r="V19" s="83" t="s">
        <v>135</v>
      </c>
      <c r="W19" s="22" t="s">
        <v>135</v>
      </c>
      <c r="X19" s="22"/>
    </row>
    <row r="20" spans="2:24" x14ac:dyDescent="0.25">
      <c r="B20" s="3" t="s">
        <v>16</v>
      </c>
      <c r="C20" s="3" t="s">
        <v>72</v>
      </c>
      <c r="D20" s="8">
        <f>19400/M6*M7</f>
        <v>19816.515276630886</v>
      </c>
      <c r="E20" s="12">
        <v>13000</v>
      </c>
      <c r="F20" s="12"/>
      <c r="G20" s="8">
        <f t="shared" si="0"/>
        <v>32816.515276630889</v>
      </c>
      <c r="H20" s="20">
        <f t="shared" si="1"/>
        <v>22300</v>
      </c>
      <c r="I20" s="21">
        <f t="shared" si="2"/>
        <v>13000</v>
      </c>
      <c r="J20" s="21">
        <f t="shared" si="3"/>
        <v>0</v>
      </c>
      <c r="K20" s="22">
        <f t="shared" si="4"/>
        <v>35300</v>
      </c>
      <c r="L20" s="22">
        <f t="shared" si="5"/>
        <v>23400</v>
      </c>
      <c r="M20" s="22">
        <f t="shared" si="6"/>
        <v>13000</v>
      </c>
      <c r="N20" s="22"/>
      <c r="O20" s="22">
        <f t="shared" si="7"/>
        <v>36400</v>
      </c>
      <c r="P20" s="45">
        <v>60000</v>
      </c>
      <c r="Q20" s="73">
        <v>44314</v>
      </c>
      <c r="R20" s="45"/>
      <c r="S20" s="45"/>
      <c r="T20" s="45"/>
      <c r="U20" s="45">
        <f t="shared" si="8"/>
        <v>60000</v>
      </c>
      <c r="V20" s="22" t="s">
        <v>134</v>
      </c>
      <c r="W20" s="22" t="s">
        <v>136</v>
      </c>
      <c r="X20" s="22"/>
    </row>
    <row r="21" spans="2:24" x14ac:dyDescent="0.25">
      <c r="B21" s="3" t="s">
        <v>16</v>
      </c>
      <c r="C21" s="3" t="s">
        <v>73</v>
      </c>
      <c r="D21" s="8">
        <f>23500/M6*M7</f>
        <v>24004.541701073496</v>
      </c>
      <c r="E21" s="12"/>
      <c r="F21" s="12"/>
      <c r="G21" s="8">
        <f t="shared" si="0"/>
        <v>24004.541701073496</v>
      </c>
      <c r="H21" s="20">
        <f t="shared" si="1"/>
        <v>27000</v>
      </c>
      <c r="I21" s="21">
        <f t="shared" si="2"/>
        <v>0</v>
      </c>
      <c r="J21" s="21">
        <f t="shared" si="3"/>
        <v>0</v>
      </c>
      <c r="K21" s="22">
        <f t="shared" si="4"/>
        <v>27000</v>
      </c>
      <c r="L21" s="22">
        <f t="shared" si="5"/>
        <v>28400</v>
      </c>
      <c r="M21" s="22">
        <f t="shared" si="6"/>
        <v>0</v>
      </c>
      <c r="N21" s="22"/>
      <c r="O21" s="22">
        <f t="shared" si="7"/>
        <v>28400</v>
      </c>
      <c r="P21" s="45">
        <v>57000</v>
      </c>
      <c r="Q21" s="73">
        <v>44314</v>
      </c>
      <c r="R21" s="45"/>
      <c r="S21" s="45"/>
      <c r="T21" s="45"/>
      <c r="U21" s="45">
        <f t="shared" si="8"/>
        <v>57000</v>
      </c>
      <c r="V21" s="22" t="s">
        <v>134</v>
      </c>
      <c r="W21" s="22" t="s">
        <v>136</v>
      </c>
      <c r="X21" s="22"/>
    </row>
    <row r="22" spans="2:24" x14ac:dyDescent="0.25">
      <c r="B22" s="3" t="s">
        <v>18</v>
      </c>
      <c r="C22" s="3" t="s">
        <v>74</v>
      </c>
      <c r="D22" s="8">
        <f>6100/M6*M7</f>
        <v>6230.9661436829065</v>
      </c>
      <c r="E22" s="12"/>
      <c r="F22" s="12"/>
      <c r="G22" s="8">
        <f t="shared" si="0"/>
        <v>6230.9661436829065</v>
      </c>
      <c r="H22" s="20">
        <f t="shared" si="1"/>
        <v>7000</v>
      </c>
      <c r="I22" s="21">
        <f t="shared" si="2"/>
        <v>0</v>
      </c>
      <c r="J22" s="21">
        <f t="shared" si="3"/>
        <v>0</v>
      </c>
      <c r="K22" s="22">
        <f t="shared" si="4"/>
        <v>7000</v>
      </c>
      <c r="L22" s="22">
        <f t="shared" si="5"/>
        <v>7400</v>
      </c>
      <c r="M22" s="22">
        <f t="shared" si="6"/>
        <v>0</v>
      </c>
      <c r="N22" s="22"/>
      <c r="O22" s="22">
        <f t="shared" si="7"/>
        <v>7400</v>
      </c>
      <c r="P22" s="45">
        <v>12000</v>
      </c>
      <c r="Q22" s="73">
        <v>44314</v>
      </c>
      <c r="R22" s="45"/>
      <c r="S22" s="45"/>
      <c r="T22" s="45"/>
      <c r="U22" s="45">
        <f t="shared" si="8"/>
        <v>12000</v>
      </c>
      <c r="V22" s="22" t="s">
        <v>134</v>
      </c>
      <c r="W22" s="22" t="s">
        <v>136</v>
      </c>
      <c r="X22" s="22"/>
    </row>
    <row r="23" spans="2:24" x14ac:dyDescent="0.25">
      <c r="B23" s="3" t="s">
        <v>19</v>
      </c>
      <c r="C23" s="3" t="s">
        <v>20</v>
      </c>
      <c r="D23" s="8">
        <f>533600/M6*M7</f>
        <v>545056.31709331134</v>
      </c>
      <c r="E23" s="12">
        <v>47000</v>
      </c>
      <c r="F23" s="12"/>
      <c r="G23" s="8">
        <f t="shared" si="0"/>
        <v>592056.31709331134</v>
      </c>
      <c r="H23" s="20">
        <f t="shared" si="1"/>
        <v>612900</v>
      </c>
      <c r="I23" s="21">
        <f t="shared" si="2"/>
        <v>47000</v>
      </c>
      <c r="J23" s="21">
        <f t="shared" si="3"/>
        <v>0</v>
      </c>
      <c r="K23" s="22">
        <f t="shared" si="4"/>
        <v>659900</v>
      </c>
      <c r="L23" s="22">
        <f t="shared" si="5"/>
        <v>643500</v>
      </c>
      <c r="M23" s="22">
        <f t="shared" si="6"/>
        <v>47000</v>
      </c>
      <c r="N23" s="22"/>
      <c r="O23" s="22">
        <f t="shared" si="7"/>
        <v>690500</v>
      </c>
      <c r="P23" s="45">
        <v>910000</v>
      </c>
      <c r="Q23" s="73">
        <v>44314</v>
      </c>
      <c r="R23" s="45"/>
      <c r="S23" s="45"/>
      <c r="T23" s="45"/>
      <c r="U23" s="45">
        <f t="shared" si="8"/>
        <v>910000</v>
      </c>
      <c r="V23" s="22" t="s">
        <v>133</v>
      </c>
      <c r="W23" s="22" t="s">
        <v>136</v>
      </c>
      <c r="X23" s="22"/>
    </row>
    <row r="24" spans="2:24" x14ac:dyDescent="0.25">
      <c r="B24" s="3" t="s">
        <v>19</v>
      </c>
      <c r="C24" s="3" t="s">
        <v>21</v>
      </c>
      <c r="D24" s="8">
        <f>1264100/M6*M7</f>
        <v>1291240.0495458299</v>
      </c>
      <c r="E24" s="12"/>
      <c r="F24" s="12"/>
      <c r="G24" s="8">
        <f t="shared" si="0"/>
        <v>1291240.0495458299</v>
      </c>
      <c r="H24" s="20">
        <f t="shared" si="1"/>
        <v>1452000</v>
      </c>
      <c r="I24" s="21">
        <f t="shared" si="2"/>
        <v>0</v>
      </c>
      <c r="J24" s="21">
        <f t="shared" si="3"/>
        <v>0</v>
      </c>
      <c r="K24" s="22">
        <f t="shared" si="4"/>
        <v>1452000</v>
      </c>
      <c r="L24" s="22">
        <f t="shared" si="5"/>
        <v>1524600</v>
      </c>
      <c r="M24" s="22">
        <f t="shared" si="6"/>
        <v>0</v>
      </c>
      <c r="N24" s="22"/>
      <c r="O24" s="22">
        <f t="shared" si="7"/>
        <v>1524600</v>
      </c>
      <c r="P24" s="45">
        <v>2260800</v>
      </c>
      <c r="Q24" s="73">
        <v>44314</v>
      </c>
      <c r="R24" s="45"/>
      <c r="S24" s="45"/>
      <c r="T24" s="45"/>
      <c r="U24" s="45">
        <f t="shared" si="8"/>
        <v>2260800</v>
      </c>
      <c r="V24" s="22" t="s">
        <v>133</v>
      </c>
      <c r="W24" s="22" t="s">
        <v>138</v>
      </c>
      <c r="X24" s="22"/>
    </row>
    <row r="25" spans="2:24" x14ac:dyDescent="0.25">
      <c r="B25" s="3" t="s">
        <v>22</v>
      </c>
      <c r="C25" s="3" t="s">
        <v>23</v>
      </c>
      <c r="D25" s="8">
        <f>220400/M6*M7</f>
        <v>225131.95706028078</v>
      </c>
      <c r="E25" s="12"/>
      <c r="F25" s="12"/>
      <c r="G25" s="8">
        <f t="shared" si="0"/>
        <v>225131.95706028078</v>
      </c>
      <c r="H25" s="20">
        <f t="shared" si="1"/>
        <v>253200</v>
      </c>
      <c r="I25" s="21">
        <f t="shared" si="2"/>
        <v>0</v>
      </c>
      <c r="J25" s="21">
        <f t="shared" si="3"/>
        <v>0</v>
      </c>
      <c r="K25" s="22">
        <f t="shared" si="4"/>
        <v>253200</v>
      </c>
      <c r="L25" s="22">
        <f t="shared" si="5"/>
        <v>265900</v>
      </c>
      <c r="M25" s="22">
        <f t="shared" si="6"/>
        <v>0</v>
      </c>
      <c r="N25" s="22"/>
      <c r="O25" s="22">
        <f t="shared" si="7"/>
        <v>265900</v>
      </c>
      <c r="P25" s="45">
        <v>332500</v>
      </c>
      <c r="Q25" s="73">
        <v>44314</v>
      </c>
      <c r="R25" s="45"/>
      <c r="S25" s="45"/>
      <c r="T25" s="45"/>
      <c r="U25" s="45">
        <f t="shared" si="8"/>
        <v>332500</v>
      </c>
      <c r="V25" s="22" t="s">
        <v>134</v>
      </c>
      <c r="W25" s="22" t="s">
        <v>136</v>
      </c>
      <c r="X25" s="22"/>
    </row>
    <row r="26" spans="2:24" x14ac:dyDescent="0.25">
      <c r="B26" s="3" t="s">
        <v>24</v>
      </c>
      <c r="C26" s="3" t="s">
        <v>75</v>
      </c>
      <c r="D26" s="8">
        <f>129600/M6*M7</f>
        <v>132382.49380677129</v>
      </c>
      <c r="E26" s="12"/>
      <c r="F26" s="12"/>
      <c r="G26" s="8">
        <f t="shared" si="0"/>
        <v>132382.49380677129</v>
      </c>
      <c r="H26" s="20">
        <f t="shared" si="1"/>
        <v>148900</v>
      </c>
      <c r="I26" s="21">
        <f t="shared" si="2"/>
        <v>0</v>
      </c>
      <c r="J26" s="21">
        <f t="shared" si="3"/>
        <v>0</v>
      </c>
      <c r="K26" s="22">
        <f t="shared" si="4"/>
        <v>148900</v>
      </c>
      <c r="L26" s="22">
        <f t="shared" si="5"/>
        <v>156300</v>
      </c>
      <c r="M26" s="22">
        <f t="shared" si="6"/>
        <v>0</v>
      </c>
      <c r="N26" s="22"/>
      <c r="O26" s="22">
        <f t="shared" si="7"/>
        <v>156300</v>
      </c>
      <c r="P26" s="45">
        <v>223400</v>
      </c>
      <c r="Q26" s="73">
        <v>44314</v>
      </c>
      <c r="R26" s="45"/>
      <c r="S26" s="45"/>
      <c r="T26" s="45"/>
      <c r="U26" s="45">
        <f>P26+R26</f>
        <v>223400</v>
      </c>
      <c r="V26" s="22" t="s">
        <v>134</v>
      </c>
      <c r="W26" s="22" t="s">
        <v>136</v>
      </c>
      <c r="X26" s="22"/>
    </row>
    <row r="27" spans="2:24" x14ac:dyDescent="0.25">
      <c r="B27" s="3" t="s">
        <v>105</v>
      </c>
      <c r="C27" s="3" t="s">
        <v>76</v>
      </c>
      <c r="D27" s="8">
        <f>58200/M6*M7</f>
        <v>59449.545829892653</v>
      </c>
      <c r="E27" s="12">
        <v>26000</v>
      </c>
      <c r="F27" s="12"/>
      <c r="G27" s="8">
        <f t="shared" si="0"/>
        <v>85449.545829892653</v>
      </c>
      <c r="H27" s="20">
        <f t="shared" si="1"/>
        <v>66900</v>
      </c>
      <c r="I27" s="21">
        <f t="shared" si="2"/>
        <v>26000</v>
      </c>
      <c r="J27" s="21">
        <f t="shared" si="3"/>
        <v>0</v>
      </c>
      <c r="K27" s="22">
        <f t="shared" si="4"/>
        <v>92900</v>
      </c>
      <c r="L27" s="22">
        <f t="shared" si="5"/>
        <v>70200</v>
      </c>
      <c r="M27" s="22">
        <f t="shared" si="6"/>
        <v>26000</v>
      </c>
      <c r="N27" s="22"/>
      <c r="O27" s="22">
        <f t="shared" si="7"/>
        <v>96200</v>
      </c>
      <c r="P27" s="45">
        <v>119300</v>
      </c>
      <c r="Q27" s="73">
        <v>44314</v>
      </c>
      <c r="R27" s="45">
        <v>29700</v>
      </c>
      <c r="S27" s="73">
        <v>44314</v>
      </c>
      <c r="T27" s="45"/>
      <c r="U27" s="45">
        <f t="shared" si="8"/>
        <v>149000</v>
      </c>
      <c r="V27" s="83" t="s">
        <v>134</v>
      </c>
      <c r="W27" s="22" t="s">
        <v>136</v>
      </c>
      <c r="X27" s="22"/>
    </row>
    <row r="28" spans="2:24" x14ac:dyDescent="0.25">
      <c r="B28" s="3" t="s">
        <v>118</v>
      </c>
      <c r="C28" s="3" t="s">
        <v>10</v>
      </c>
      <c r="D28" s="8">
        <f>393500/M6*M7</f>
        <v>401948.38976052852</v>
      </c>
      <c r="E28" s="12">
        <v>47000</v>
      </c>
      <c r="F28" s="12"/>
      <c r="G28" s="8">
        <f t="shared" si="0"/>
        <v>448948.38976052852</v>
      </c>
      <c r="H28" s="20">
        <f t="shared" si="1"/>
        <v>452000</v>
      </c>
      <c r="I28" s="21">
        <f t="shared" si="2"/>
        <v>47000</v>
      </c>
      <c r="J28" s="21">
        <f t="shared" si="3"/>
        <v>0</v>
      </c>
      <c r="K28" s="22">
        <f t="shared" si="4"/>
        <v>499000</v>
      </c>
      <c r="L28" s="22">
        <f t="shared" si="5"/>
        <v>474600</v>
      </c>
      <c r="M28" s="22">
        <f t="shared" si="6"/>
        <v>47000</v>
      </c>
      <c r="N28" s="22"/>
      <c r="O28" s="22">
        <f t="shared" si="7"/>
        <v>521600</v>
      </c>
      <c r="P28" s="45">
        <v>1310000</v>
      </c>
      <c r="Q28" s="73">
        <v>44314</v>
      </c>
      <c r="R28" s="45">
        <v>81700</v>
      </c>
      <c r="S28" s="73">
        <v>44314</v>
      </c>
      <c r="T28" s="45"/>
      <c r="U28" s="45">
        <f t="shared" si="8"/>
        <v>1391700</v>
      </c>
      <c r="V28" s="83" t="s">
        <v>136</v>
      </c>
      <c r="W28" s="22" t="s">
        <v>136</v>
      </c>
      <c r="X28" s="22">
        <v>24</v>
      </c>
    </row>
    <row r="29" spans="2:24" x14ac:dyDescent="0.25">
      <c r="B29" s="3" t="s">
        <v>25</v>
      </c>
      <c r="C29" s="3" t="s">
        <v>77</v>
      </c>
      <c r="D29" s="8">
        <f>3691200/M6*M7</f>
        <v>3770449.5458298931</v>
      </c>
      <c r="E29" s="12">
        <v>175000</v>
      </c>
      <c r="F29" s="12"/>
      <c r="G29" s="8">
        <f t="shared" si="0"/>
        <v>3945449.5458298931</v>
      </c>
      <c r="H29" s="20">
        <f t="shared" si="1"/>
        <v>4239900</v>
      </c>
      <c r="I29" s="21">
        <f t="shared" si="2"/>
        <v>175000</v>
      </c>
      <c r="J29" s="21">
        <f t="shared" si="3"/>
        <v>0</v>
      </c>
      <c r="K29" s="22">
        <f t="shared" si="4"/>
        <v>4414900</v>
      </c>
      <c r="L29" s="22">
        <f t="shared" si="5"/>
        <v>4451900</v>
      </c>
      <c r="M29" s="22">
        <f t="shared" si="6"/>
        <v>175000</v>
      </c>
      <c r="N29" s="22"/>
      <c r="O29" s="22">
        <f t="shared" si="7"/>
        <v>4626900</v>
      </c>
      <c r="P29" s="45">
        <v>4750800</v>
      </c>
      <c r="Q29" s="73">
        <v>44314</v>
      </c>
      <c r="R29" s="45">
        <v>365147</v>
      </c>
      <c r="S29" s="73">
        <v>44314</v>
      </c>
      <c r="T29" s="45"/>
      <c r="U29" s="45">
        <f t="shared" si="8"/>
        <v>5115947</v>
      </c>
      <c r="V29" s="83" t="s">
        <v>133</v>
      </c>
      <c r="W29" s="22" t="s">
        <v>133</v>
      </c>
      <c r="X29" s="22"/>
    </row>
    <row r="30" spans="2:24" x14ac:dyDescent="0.25">
      <c r="B30" s="3" t="s">
        <v>26</v>
      </c>
      <c r="C30" s="3" t="s">
        <v>78</v>
      </c>
      <c r="D30" s="8">
        <f>44900/M6*M7</f>
        <v>45863.996696944676</v>
      </c>
      <c r="E30" s="12"/>
      <c r="F30" s="12"/>
      <c r="G30" s="8">
        <f t="shared" si="0"/>
        <v>45863.996696944676</v>
      </c>
      <c r="H30" s="20">
        <f t="shared" si="1"/>
        <v>51600</v>
      </c>
      <c r="I30" s="21">
        <f t="shared" si="2"/>
        <v>0</v>
      </c>
      <c r="J30" s="21">
        <f t="shared" si="3"/>
        <v>0</v>
      </c>
      <c r="K30" s="22">
        <f t="shared" si="4"/>
        <v>51600</v>
      </c>
      <c r="L30" s="22">
        <f t="shared" si="5"/>
        <v>54200</v>
      </c>
      <c r="M30" s="22">
        <f t="shared" si="6"/>
        <v>0</v>
      </c>
      <c r="N30" s="22"/>
      <c r="O30" s="22">
        <f t="shared" si="7"/>
        <v>54200</v>
      </c>
      <c r="P30" s="45">
        <v>77700</v>
      </c>
      <c r="Q30" s="73">
        <v>44314</v>
      </c>
      <c r="R30" s="45"/>
      <c r="S30" s="45"/>
      <c r="T30" s="45"/>
      <c r="U30" s="45">
        <f t="shared" si="8"/>
        <v>77700</v>
      </c>
      <c r="V30" s="22" t="s">
        <v>134</v>
      </c>
      <c r="W30" s="22" t="s">
        <v>136</v>
      </c>
      <c r="X30" s="22"/>
    </row>
    <row r="31" spans="2:24" x14ac:dyDescent="0.25">
      <c r="B31" s="3" t="s">
        <v>27</v>
      </c>
      <c r="C31" s="3" t="s">
        <v>79</v>
      </c>
      <c r="D31" s="8">
        <f>162200/M6*M7</f>
        <v>165682.4112303881</v>
      </c>
      <c r="E31" s="12"/>
      <c r="F31" s="12"/>
      <c r="G31" s="8">
        <f t="shared" si="0"/>
        <v>165682.4112303881</v>
      </c>
      <c r="H31" s="20">
        <f t="shared" si="1"/>
        <v>186300</v>
      </c>
      <c r="I31" s="21">
        <f t="shared" si="2"/>
        <v>0</v>
      </c>
      <c r="J31" s="21">
        <f t="shared" si="3"/>
        <v>0</v>
      </c>
      <c r="K31" s="22">
        <f t="shared" si="4"/>
        <v>186300</v>
      </c>
      <c r="L31" s="22">
        <f t="shared" si="5"/>
        <v>195600</v>
      </c>
      <c r="M31" s="22">
        <f t="shared" si="6"/>
        <v>0</v>
      </c>
      <c r="N31" s="22"/>
      <c r="O31" s="22">
        <f t="shared" si="7"/>
        <v>195600</v>
      </c>
      <c r="P31" s="45">
        <v>94000</v>
      </c>
      <c r="Q31" s="73">
        <v>44314</v>
      </c>
      <c r="R31" s="45"/>
      <c r="S31" s="45"/>
      <c r="T31" s="45"/>
      <c r="U31" s="45">
        <f t="shared" si="8"/>
        <v>94000</v>
      </c>
      <c r="V31" s="22" t="s">
        <v>136</v>
      </c>
      <c r="W31" s="22" t="s">
        <v>136</v>
      </c>
      <c r="X31" s="22"/>
    </row>
    <row r="32" spans="2:24" x14ac:dyDescent="0.25">
      <c r="B32" s="3" t="s">
        <v>28</v>
      </c>
      <c r="C32" s="3" t="s">
        <v>80</v>
      </c>
      <c r="D32" s="8">
        <f>130600/M6*M7</f>
        <v>133403.96366639141</v>
      </c>
      <c r="E32" s="12">
        <v>8000</v>
      </c>
      <c r="F32" s="12"/>
      <c r="G32" s="8">
        <f t="shared" si="0"/>
        <v>141403.96366639141</v>
      </c>
      <c r="H32" s="20">
        <f t="shared" si="1"/>
        <v>150000</v>
      </c>
      <c r="I32" s="21">
        <f t="shared" si="2"/>
        <v>8000</v>
      </c>
      <c r="J32" s="21">
        <f t="shared" si="3"/>
        <v>0</v>
      </c>
      <c r="K32" s="22">
        <f t="shared" si="4"/>
        <v>158000</v>
      </c>
      <c r="L32" s="22">
        <f t="shared" si="5"/>
        <v>157500</v>
      </c>
      <c r="M32" s="22">
        <f t="shared" si="6"/>
        <v>8000</v>
      </c>
      <c r="N32" s="22"/>
      <c r="O32" s="22">
        <f t="shared" si="7"/>
        <v>165500</v>
      </c>
      <c r="P32" s="45">
        <v>175000</v>
      </c>
      <c r="Q32" s="73">
        <v>44314</v>
      </c>
      <c r="R32" s="45">
        <v>9900</v>
      </c>
      <c r="S32" s="73">
        <v>44314</v>
      </c>
      <c r="T32" s="45"/>
      <c r="U32" s="45">
        <f t="shared" si="8"/>
        <v>184900</v>
      </c>
      <c r="V32" s="83" t="s">
        <v>136</v>
      </c>
      <c r="W32" s="22" t="s">
        <v>136</v>
      </c>
      <c r="X32" s="22"/>
    </row>
    <row r="33" spans="2:24" x14ac:dyDescent="0.25">
      <c r="B33" s="3" t="s">
        <v>29</v>
      </c>
      <c r="C33" s="3" t="s">
        <v>30</v>
      </c>
      <c r="D33" s="8">
        <f>1058000/M6*M7</f>
        <v>1080715.1114781173</v>
      </c>
      <c r="E33" s="12">
        <v>294000</v>
      </c>
      <c r="F33" s="12"/>
      <c r="G33" s="8">
        <f t="shared" si="0"/>
        <v>1374715.1114781173</v>
      </c>
      <c r="H33" s="20">
        <f t="shared" si="1"/>
        <v>1215300</v>
      </c>
      <c r="I33" s="21">
        <f t="shared" si="2"/>
        <v>294000</v>
      </c>
      <c r="J33" s="21">
        <f t="shared" si="3"/>
        <v>0</v>
      </c>
      <c r="K33" s="22">
        <f t="shared" si="4"/>
        <v>1509300</v>
      </c>
      <c r="L33" s="22">
        <f t="shared" si="5"/>
        <v>1276100</v>
      </c>
      <c r="M33" s="22">
        <f t="shared" si="6"/>
        <v>294000</v>
      </c>
      <c r="N33" s="22"/>
      <c r="O33" s="22">
        <f t="shared" si="7"/>
        <v>1570100</v>
      </c>
      <c r="P33" s="45">
        <v>2340000</v>
      </c>
      <c r="Q33" s="73">
        <v>44314</v>
      </c>
      <c r="R33" s="45"/>
      <c r="S33" s="45"/>
      <c r="T33" s="45"/>
      <c r="U33" s="45">
        <f t="shared" si="8"/>
        <v>2340000</v>
      </c>
      <c r="V33" s="22" t="s">
        <v>133</v>
      </c>
      <c r="W33" s="22" t="s">
        <v>136</v>
      </c>
      <c r="X33" s="22"/>
    </row>
    <row r="34" spans="2:24" x14ac:dyDescent="0.25">
      <c r="B34" s="3" t="s">
        <v>31</v>
      </c>
      <c r="C34" s="3" t="s">
        <v>32</v>
      </c>
      <c r="D34" s="8">
        <f>13476100/M6*M7</f>
        <v>13765429.975227086</v>
      </c>
      <c r="E34" s="12">
        <v>408000</v>
      </c>
      <c r="F34" s="12"/>
      <c r="G34" s="8">
        <f t="shared" si="0"/>
        <v>14173429.975227086</v>
      </c>
      <c r="H34" s="20">
        <f t="shared" si="1"/>
        <v>15479200</v>
      </c>
      <c r="I34" s="21">
        <f t="shared" si="2"/>
        <v>408000</v>
      </c>
      <c r="J34" s="21">
        <f t="shared" si="3"/>
        <v>0</v>
      </c>
      <c r="K34" s="22">
        <f t="shared" si="4"/>
        <v>15887200</v>
      </c>
      <c r="L34" s="22">
        <f t="shared" si="5"/>
        <v>16253200</v>
      </c>
      <c r="M34" s="22">
        <f t="shared" si="6"/>
        <v>408000</v>
      </c>
      <c r="N34" s="22"/>
      <c r="O34" s="22">
        <f t="shared" si="7"/>
        <v>16661200</v>
      </c>
      <c r="P34" s="45">
        <v>19090000</v>
      </c>
      <c r="Q34" s="73">
        <v>44314</v>
      </c>
      <c r="R34" s="45">
        <v>859060</v>
      </c>
      <c r="S34" s="73">
        <v>44314</v>
      </c>
      <c r="T34" s="45"/>
      <c r="U34" s="45">
        <f t="shared" si="8"/>
        <v>19949060</v>
      </c>
      <c r="V34" s="83" t="s">
        <v>133</v>
      </c>
      <c r="W34" s="22" t="s">
        <v>133</v>
      </c>
      <c r="X34" s="22"/>
    </row>
    <row r="35" spans="2:24" x14ac:dyDescent="0.25">
      <c r="B35" s="40" t="s">
        <v>63</v>
      </c>
      <c r="C35" s="40" t="s">
        <v>69</v>
      </c>
      <c r="D35" s="41">
        <v>5000000</v>
      </c>
      <c r="E35" s="42">
        <v>0</v>
      </c>
      <c r="F35" s="42"/>
      <c r="G35" s="41">
        <f t="shared" si="0"/>
        <v>5000000</v>
      </c>
      <c r="H35" s="43">
        <f t="shared" si="1"/>
        <v>5622500</v>
      </c>
      <c r="I35" s="44">
        <v>1150000</v>
      </c>
      <c r="J35" s="44">
        <f>F35</f>
        <v>0</v>
      </c>
      <c r="K35" s="45">
        <f t="shared" si="4"/>
        <v>6772500</v>
      </c>
      <c r="L35" s="22">
        <f t="shared" si="5"/>
        <v>5903600</v>
      </c>
      <c r="M35" s="22">
        <f t="shared" si="6"/>
        <v>1150000</v>
      </c>
      <c r="N35" s="45"/>
      <c r="O35" s="22">
        <f t="shared" si="7"/>
        <v>7053600</v>
      </c>
      <c r="P35" s="45">
        <v>8545375</v>
      </c>
      <c r="Q35" s="73">
        <v>44314</v>
      </c>
      <c r="R35" s="45">
        <v>1755063</v>
      </c>
      <c r="S35" s="73">
        <v>44314</v>
      </c>
      <c r="T35" s="45"/>
      <c r="U35" s="45">
        <f t="shared" si="8"/>
        <v>10300438</v>
      </c>
      <c r="V35" s="83" t="s">
        <v>133</v>
      </c>
      <c r="W35" s="22" t="s">
        <v>133</v>
      </c>
      <c r="X35" s="22" t="s">
        <v>140</v>
      </c>
    </row>
    <row r="36" spans="2:24" x14ac:dyDescent="0.25">
      <c r="B36" s="3" t="s">
        <v>33</v>
      </c>
      <c r="C36" s="3" t="s">
        <v>34</v>
      </c>
      <c r="D36" s="8">
        <f>248900/M6*M7</f>
        <v>254243.84805945499</v>
      </c>
      <c r="E36" s="12">
        <v>192000</v>
      </c>
      <c r="F36" s="12"/>
      <c r="G36" s="8">
        <f t="shared" si="0"/>
        <v>446243.84805945499</v>
      </c>
      <c r="H36" s="20">
        <f t="shared" si="1"/>
        <v>285900</v>
      </c>
      <c r="I36" s="21">
        <f>E36</f>
        <v>192000</v>
      </c>
      <c r="J36" s="21">
        <f>F36</f>
        <v>0</v>
      </c>
      <c r="K36" s="22">
        <f t="shared" si="4"/>
        <v>477900</v>
      </c>
      <c r="L36" s="22">
        <f t="shared" si="5"/>
        <v>300200</v>
      </c>
      <c r="M36" s="22">
        <f t="shared" si="6"/>
        <v>192000</v>
      </c>
      <c r="N36" s="22"/>
      <c r="O36" s="22">
        <f t="shared" si="7"/>
        <v>492200</v>
      </c>
      <c r="P36" s="45">
        <v>410200</v>
      </c>
      <c r="Q36" s="73">
        <v>44314</v>
      </c>
      <c r="R36" s="45"/>
      <c r="S36" s="45"/>
      <c r="T36" s="45"/>
      <c r="U36" s="45">
        <f t="shared" si="8"/>
        <v>410200</v>
      </c>
      <c r="V36" s="22" t="s">
        <v>133</v>
      </c>
      <c r="W36" s="22" t="s">
        <v>136</v>
      </c>
      <c r="X36" s="22">
        <v>253</v>
      </c>
    </row>
    <row r="37" spans="2:24" x14ac:dyDescent="0.25">
      <c r="B37" s="3" t="s">
        <v>102</v>
      </c>
      <c r="C37" s="3" t="s">
        <v>35</v>
      </c>
      <c r="D37" s="8">
        <f>2212900/M6*M7</f>
        <v>2260410.6523534269</v>
      </c>
      <c r="E37" s="12">
        <v>338000</v>
      </c>
      <c r="F37" s="12"/>
      <c r="G37" s="8">
        <f t="shared" si="0"/>
        <v>2598410.6523534269</v>
      </c>
      <c r="H37" s="20">
        <f t="shared" si="1"/>
        <v>2541800</v>
      </c>
      <c r="I37" s="21">
        <f>E37</f>
        <v>338000</v>
      </c>
      <c r="J37" s="21">
        <f>F37</f>
        <v>0</v>
      </c>
      <c r="K37" s="22">
        <f t="shared" si="4"/>
        <v>2879800</v>
      </c>
      <c r="L37" s="22">
        <f t="shared" si="5"/>
        <v>2668900</v>
      </c>
      <c r="M37" s="22">
        <f t="shared" si="6"/>
        <v>338000</v>
      </c>
      <c r="N37" s="22"/>
      <c r="O37" s="22">
        <f t="shared" si="7"/>
        <v>3006900</v>
      </c>
      <c r="P37" s="45">
        <v>1684800</v>
      </c>
      <c r="Q37" s="73">
        <v>44314</v>
      </c>
      <c r="R37" s="45">
        <v>2143393</v>
      </c>
      <c r="S37" s="73">
        <v>44314</v>
      </c>
      <c r="T37" s="45"/>
      <c r="U37" s="45">
        <f t="shared" si="8"/>
        <v>3828193</v>
      </c>
      <c r="V37" s="83" t="s">
        <v>133</v>
      </c>
      <c r="W37" s="22" t="s">
        <v>136</v>
      </c>
      <c r="X37" s="22"/>
    </row>
    <row r="38" spans="2:24" x14ac:dyDescent="0.25">
      <c r="B38" s="3" t="s">
        <v>103</v>
      </c>
      <c r="C38" s="3" t="s">
        <v>35</v>
      </c>
      <c r="D38" s="8"/>
      <c r="E38" s="12"/>
      <c r="F38" s="12"/>
      <c r="G38" s="8"/>
      <c r="H38" s="20"/>
      <c r="I38" s="21"/>
      <c r="J38" s="21"/>
      <c r="K38" s="22"/>
      <c r="L38" s="22"/>
      <c r="M38" s="22"/>
      <c r="N38" s="22"/>
      <c r="O38" s="22"/>
      <c r="P38" s="45">
        <v>995200</v>
      </c>
      <c r="Q38" s="73">
        <v>44314</v>
      </c>
      <c r="R38" s="45"/>
      <c r="S38" s="45"/>
      <c r="T38" s="45"/>
      <c r="U38" s="45">
        <f t="shared" si="8"/>
        <v>995200</v>
      </c>
      <c r="V38" s="22" t="s">
        <v>136</v>
      </c>
      <c r="W38" s="22" t="s">
        <v>136</v>
      </c>
      <c r="X38" s="22"/>
    </row>
    <row r="39" spans="2:24" x14ac:dyDescent="0.25">
      <c r="B39" s="3" t="s">
        <v>104</v>
      </c>
      <c r="C39" s="3" t="s">
        <v>35</v>
      </c>
      <c r="D39" s="8"/>
      <c r="E39" s="12"/>
      <c r="F39" s="12"/>
      <c r="G39" s="8"/>
      <c r="H39" s="20"/>
      <c r="I39" s="21"/>
      <c r="J39" s="21"/>
      <c r="K39" s="22"/>
      <c r="L39" s="22"/>
      <c r="M39" s="22"/>
      <c r="N39" s="22"/>
      <c r="O39" s="22"/>
      <c r="P39" s="45">
        <v>398000</v>
      </c>
      <c r="Q39" s="73">
        <v>44314</v>
      </c>
      <c r="R39" s="45"/>
      <c r="S39" s="45"/>
      <c r="T39" s="45"/>
      <c r="U39" s="45">
        <f t="shared" si="8"/>
        <v>398000</v>
      </c>
      <c r="V39" s="22" t="s">
        <v>136</v>
      </c>
      <c r="W39" s="22" t="s">
        <v>136</v>
      </c>
      <c r="X39" s="22"/>
    </row>
    <row r="40" spans="2:24" x14ac:dyDescent="0.25">
      <c r="B40" s="3" t="s">
        <v>36</v>
      </c>
      <c r="C40" s="3" t="s">
        <v>37</v>
      </c>
      <c r="D40" s="8">
        <f>1969000/M6*M7</f>
        <v>2011274.1535920727</v>
      </c>
      <c r="E40" s="12">
        <v>223000</v>
      </c>
      <c r="F40" s="12"/>
      <c r="G40" s="8">
        <f t="shared" ref="G40:G52" si="9">D40+E40</f>
        <v>2234274.1535920724</v>
      </c>
      <c r="H40" s="20">
        <f t="shared" ref="H40:H52" si="10">ROUND(D40/$M$7*$M$8,-2)</f>
        <v>2261700</v>
      </c>
      <c r="I40" s="21">
        <f t="shared" ref="I40:I52" si="11">E40</f>
        <v>223000</v>
      </c>
      <c r="J40" s="21">
        <f t="shared" ref="J40:J52" si="12">F40</f>
        <v>0</v>
      </c>
      <c r="K40" s="22">
        <f t="shared" ref="K40:K52" si="13">H40+I40+J40</f>
        <v>2484700</v>
      </c>
      <c r="L40" s="22">
        <f t="shared" ref="L40:L52" si="14">ROUND($H40/100*105,-2)</f>
        <v>2374800</v>
      </c>
      <c r="M40" s="22">
        <f t="shared" ref="M40:M52" si="15">$I40</f>
        <v>223000</v>
      </c>
      <c r="N40" s="22"/>
      <c r="O40" s="22">
        <f t="shared" ref="O40:O52" si="16">SUM($L40+$M40)</f>
        <v>2597800</v>
      </c>
      <c r="P40" s="45">
        <v>2678000</v>
      </c>
      <c r="Q40" s="73">
        <v>44314</v>
      </c>
      <c r="R40" s="45">
        <v>506778</v>
      </c>
      <c r="S40" s="73">
        <v>44314</v>
      </c>
      <c r="T40" s="45"/>
      <c r="U40" s="45">
        <f t="shared" si="8"/>
        <v>3184778</v>
      </c>
      <c r="V40" s="83"/>
      <c r="W40" s="22"/>
      <c r="X40" s="22"/>
    </row>
    <row r="41" spans="2:24" x14ac:dyDescent="0.25">
      <c r="B41" s="3" t="s">
        <v>38</v>
      </c>
      <c r="C41" s="3" t="s">
        <v>39</v>
      </c>
      <c r="D41" s="8">
        <f>1989400/M6*M7</f>
        <v>2032112.1387283241</v>
      </c>
      <c r="E41" s="12">
        <v>217000</v>
      </c>
      <c r="F41" s="12"/>
      <c r="G41" s="8">
        <f t="shared" si="9"/>
        <v>2249112.1387283243</v>
      </c>
      <c r="H41" s="20">
        <f t="shared" si="10"/>
        <v>2285100</v>
      </c>
      <c r="I41" s="21">
        <f t="shared" si="11"/>
        <v>217000</v>
      </c>
      <c r="J41" s="21">
        <f t="shared" si="12"/>
        <v>0</v>
      </c>
      <c r="K41" s="22">
        <f t="shared" si="13"/>
        <v>2502100</v>
      </c>
      <c r="L41" s="22">
        <f t="shared" si="14"/>
        <v>2399400</v>
      </c>
      <c r="M41" s="22">
        <f t="shared" si="15"/>
        <v>217000</v>
      </c>
      <c r="N41" s="22"/>
      <c r="O41" s="22">
        <f t="shared" si="16"/>
        <v>2616400</v>
      </c>
      <c r="P41" s="45">
        <v>2810000</v>
      </c>
      <c r="Q41" s="73">
        <v>44314</v>
      </c>
      <c r="R41" s="45">
        <v>516207</v>
      </c>
      <c r="S41" s="73">
        <v>44314</v>
      </c>
      <c r="T41" s="45"/>
      <c r="U41" s="45">
        <f t="shared" si="8"/>
        <v>3326207</v>
      </c>
      <c r="V41" s="83"/>
      <c r="W41" s="22"/>
      <c r="X41" s="22"/>
    </row>
    <row r="42" spans="2:24" x14ac:dyDescent="0.25">
      <c r="B42" s="3" t="s">
        <v>40</v>
      </c>
      <c r="C42" s="3" t="s">
        <v>41</v>
      </c>
      <c r="D42" s="8">
        <f>3044300/M6*M7</f>
        <v>3109660.6936416188</v>
      </c>
      <c r="E42" s="12">
        <v>280000</v>
      </c>
      <c r="F42" s="12"/>
      <c r="G42" s="8">
        <f t="shared" si="9"/>
        <v>3389660.6936416188</v>
      </c>
      <c r="H42" s="20">
        <f t="shared" si="10"/>
        <v>3496800</v>
      </c>
      <c r="I42" s="21">
        <f t="shared" si="11"/>
        <v>280000</v>
      </c>
      <c r="J42" s="21">
        <f t="shared" si="12"/>
        <v>0</v>
      </c>
      <c r="K42" s="22">
        <f t="shared" si="13"/>
        <v>3776800</v>
      </c>
      <c r="L42" s="22">
        <f t="shared" si="14"/>
        <v>3671600</v>
      </c>
      <c r="M42" s="22">
        <f t="shared" si="15"/>
        <v>280000</v>
      </c>
      <c r="N42" s="22"/>
      <c r="O42" s="22">
        <f t="shared" si="16"/>
        <v>3951600</v>
      </c>
      <c r="P42" s="45">
        <v>4430400</v>
      </c>
      <c r="Q42" s="73">
        <v>44314</v>
      </c>
      <c r="R42" s="45">
        <v>814680</v>
      </c>
      <c r="S42" s="73">
        <v>44314</v>
      </c>
      <c r="T42" s="45"/>
      <c r="U42" s="45">
        <f t="shared" si="8"/>
        <v>5245080</v>
      </c>
      <c r="V42" s="83" t="s">
        <v>133</v>
      </c>
      <c r="W42" s="22" t="s">
        <v>133</v>
      </c>
      <c r="X42" s="22"/>
    </row>
    <row r="43" spans="2:24" x14ac:dyDescent="0.25">
      <c r="B43" s="3" t="s">
        <v>42</v>
      </c>
      <c r="C43" s="3" t="s">
        <v>43</v>
      </c>
      <c r="D43" s="8">
        <f>1110000/M6*M7</f>
        <v>1133831.544178365</v>
      </c>
      <c r="E43" s="12">
        <v>203000</v>
      </c>
      <c r="F43" s="12"/>
      <c r="G43" s="8">
        <f t="shared" si="9"/>
        <v>1336831.544178365</v>
      </c>
      <c r="H43" s="20">
        <f t="shared" si="10"/>
        <v>1275000</v>
      </c>
      <c r="I43" s="21">
        <f t="shared" si="11"/>
        <v>203000</v>
      </c>
      <c r="J43" s="21">
        <f t="shared" si="12"/>
        <v>0</v>
      </c>
      <c r="K43" s="22">
        <f t="shared" si="13"/>
        <v>1478000</v>
      </c>
      <c r="L43" s="22">
        <f t="shared" si="14"/>
        <v>1338800</v>
      </c>
      <c r="M43" s="22">
        <f t="shared" si="15"/>
        <v>203000</v>
      </c>
      <c r="N43" s="22"/>
      <c r="O43" s="22">
        <f t="shared" si="16"/>
        <v>1541800</v>
      </c>
      <c r="P43" s="45">
        <v>1473000</v>
      </c>
      <c r="Q43" s="73">
        <v>44314</v>
      </c>
      <c r="R43" s="45">
        <v>416180</v>
      </c>
      <c r="S43" s="73">
        <v>44314</v>
      </c>
      <c r="T43" s="45"/>
      <c r="U43" s="45">
        <f t="shared" si="8"/>
        <v>1889180</v>
      </c>
      <c r="V43" s="83"/>
      <c r="W43" s="22"/>
      <c r="X43" s="22"/>
    </row>
    <row r="44" spans="2:24" x14ac:dyDescent="0.25">
      <c r="B44" s="3" t="s">
        <v>44</v>
      </c>
      <c r="C44" s="3" t="s">
        <v>46</v>
      </c>
      <c r="D44" s="8">
        <f>728400/M6*M7</f>
        <v>744038.6457473163</v>
      </c>
      <c r="E44" s="12">
        <v>92000</v>
      </c>
      <c r="F44" s="12"/>
      <c r="G44" s="8">
        <f t="shared" si="9"/>
        <v>836038.6457473163</v>
      </c>
      <c r="H44" s="20">
        <f t="shared" si="10"/>
        <v>836700</v>
      </c>
      <c r="I44" s="21">
        <f t="shared" si="11"/>
        <v>92000</v>
      </c>
      <c r="J44" s="21">
        <f t="shared" si="12"/>
        <v>0</v>
      </c>
      <c r="K44" s="22">
        <f t="shared" si="13"/>
        <v>928700</v>
      </c>
      <c r="L44" s="22">
        <f t="shared" si="14"/>
        <v>878500</v>
      </c>
      <c r="M44" s="22">
        <f t="shared" si="15"/>
        <v>92000</v>
      </c>
      <c r="N44" s="22"/>
      <c r="O44" s="22">
        <f t="shared" si="16"/>
        <v>970500</v>
      </c>
      <c r="P44" s="45">
        <v>919050</v>
      </c>
      <c r="Q44" s="73">
        <v>44314</v>
      </c>
      <c r="R44" s="45">
        <v>221814</v>
      </c>
      <c r="S44" s="73">
        <v>44314</v>
      </c>
      <c r="T44" s="45"/>
      <c r="U44" s="45">
        <f t="shared" si="8"/>
        <v>1140864</v>
      </c>
      <c r="V44" s="83" t="s">
        <v>133</v>
      </c>
      <c r="W44" s="22" t="s">
        <v>133</v>
      </c>
      <c r="X44" s="22"/>
    </row>
    <row r="45" spans="2:24" x14ac:dyDescent="0.25">
      <c r="B45" s="3" t="s">
        <v>107</v>
      </c>
      <c r="C45" s="3" t="s">
        <v>45</v>
      </c>
      <c r="D45" s="8">
        <f>1565000/M6*M7</f>
        <v>1598600.3303055328</v>
      </c>
      <c r="E45" s="12">
        <v>153000</v>
      </c>
      <c r="F45" s="12"/>
      <c r="G45" s="8">
        <f t="shared" si="9"/>
        <v>1751600.3303055328</v>
      </c>
      <c r="H45" s="20">
        <f t="shared" si="10"/>
        <v>1797600</v>
      </c>
      <c r="I45" s="21">
        <f t="shared" si="11"/>
        <v>153000</v>
      </c>
      <c r="J45" s="21">
        <f t="shared" si="12"/>
        <v>0</v>
      </c>
      <c r="K45" s="22">
        <f t="shared" si="13"/>
        <v>1950600</v>
      </c>
      <c r="L45" s="22">
        <f t="shared" si="14"/>
        <v>1887500</v>
      </c>
      <c r="M45" s="22">
        <f t="shared" si="15"/>
        <v>153000</v>
      </c>
      <c r="N45" s="22"/>
      <c r="O45" s="22">
        <f t="shared" si="16"/>
        <v>2040500</v>
      </c>
      <c r="P45" s="45">
        <v>2132500</v>
      </c>
      <c r="Q45" s="73">
        <v>44314</v>
      </c>
      <c r="R45" s="45">
        <v>555159</v>
      </c>
      <c r="S45" s="73">
        <v>44314</v>
      </c>
      <c r="T45" s="45"/>
      <c r="U45" s="45">
        <f>P45+R45</f>
        <v>2687659</v>
      </c>
      <c r="V45" s="83" t="s">
        <v>133</v>
      </c>
      <c r="W45" s="22" t="s">
        <v>133</v>
      </c>
      <c r="X45" s="22">
        <v>120</v>
      </c>
    </row>
    <row r="46" spans="2:24" x14ac:dyDescent="0.25">
      <c r="B46" s="3" t="s">
        <v>55</v>
      </c>
      <c r="C46" s="3" t="s">
        <v>45</v>
      </c>
      <c r="D46" s="8">
        <f>902900/M6*M7</f>
        <v>922285.13625103224</v>
      </c>
      <c r="E46" s="12">
        <v>51000</v>
      </c>
      <c r="F46" s="12"/>
      <c r="G46" s="8">
        <f t="shared" si="9"/>
        <v>973285.13625103224</v>
      </c>
      <c r="H46" s="20">
        <f t="shared" si="10"/>
        <v>1037100</v>
      </c>
      <c r="I46" s="21">
        <f t="shared" si="11"/>
        <v>51000</v>
      </c>
      <c r="J46" s="21">
        <f t="shared" si="12"/>
        <v>0</v>
      </c>
      <c r="K46" s="22">
        <f t="shared" si="13"/>
        <v>1088100</v>
      </c>
      <c r="L46" s="22">
        <f t="shared" si="14"/>
        <v>1089000</v>
      </c>
      <c r="M46" s="22">
        <f t="shared" si="15"/>
        <v>51000</v>
      </c>
      <c r="N46" s="22"/>
      <c r="O46" s="22">
        <f t="shared" si="16"/>
        <v>1140000</v>
      </c>
      <c r="P46" s="45">
        <v>1118600</v>
      </c>
      <c r="Q46" s="73">
        <v>44314</v>
      </c>
      <c r="R46" s="45">
        <v>168525</v>
      </c>
      <c r="S46" s="73">
        <v>44314</v>
      </c>
      <c r="T46" s="45"/>
      <c r="U46" s="45">
        <f t="shared" si="8"/>
        <v>1287125</v>
      </c>
      <c r="V46" s="83"/>
      <c r="W46" s="22"/>
      <c r="X46" s="22"/>
    </row>
    <row r="47" spans="2:24" x14ac:dyDescent="0.25">
      <c r="B47" s="3" t="s">
        <v>109</v>
      </c>
      <c r="C47" s="3" t="s">
        <v>56</v>
      </c>
      <c r="D47" s="8">
        <f>2350600/M6*M7</f>
        <v>2401067.0520231216</v>
      </c>
      <c r="E47" s="12">
        <v>323000</v>
      </c>
      <c r="F47" s="12"/>
      <c r="G47" s="8">
        <f t="shared" si="9"/>
        <v>2724067.0520231216</v>
      </c>
      <c r="H47" s="20">
        <f t="shared" si="10"/>
        <v>2700000</v>
      </c>
      <c r="I47" s="21">
        <f t="shared" si="11"/>
        <v>323000</v>
      </c>
      <c r="J47" s="21">
        <f t="shared" si="12"/>
        <v>0</v>
      </c>
      <c r="K47" s="22">
        <f t="shared" si="13"/>
        <v>3023000</v>
      </c>
      <c r="L47" s="22">
        <f t="shared" si="14"/>
        <v>2835000</v>
      </c>
      <c r="M47" s="22">
        <f t="shared" si="15"/>
        <v>323000</v>
      </c>
      <c r="N47" s="22"/>
      <c r="O47" s="22">
        <f t="shared" si="16"/>
        <v>3158000</v>
      </c>
      <c r="P47" s="45">
        <v>3044375</v>
      </c>
      <c r="Q47" s="73">
        <v>44314</v>
      </c>
      <c r="R47" s="45">
        <v>568799</v>
      </c>
      <c r="S47" s="73">
        <v>44314</v>
      </c>
      <c r="T47" s="45"/>
      <c r="U47" s="45">
        <f t="shared" si="8"/>
        <v>3613174</v>
      </c>
      <c r="V47" s="83" t="s">
        <v>133</v>
      </c>
      <c r="W47" s="22" t="s">
        <v>133</v>
      </c>
      <c r="X47" s="22"/>
    </row>
    <row r="48" spans="2:24" x14ac:dyDescent="0.25">
      <c r="B48" s="3" t="s">
        <v>106</v>
      </c>
      <c r="C48" s="3" t="s">
        <v>57</v>
      </c>
      <c r="D48" s="8">
        <f>3177800/M6*M7</f>
        <v>3246026.9199009086</v>
      </c>
      <c r="E48" s="12">
        <v>439000</v>
      </c>
      <c r="F48" s="12"/>
      <c r="G48" s="8">
        <f t="shared" si="9"/>
        <v>3685026.9199009086</v>
      </c>
      <c r="H48" s="20">
        <f t="shared" si="10"/>
        <v>3650100</v>
      </c>
      <c r="I48" s="21">
        <f t="shared" si="11"/>
        <v>439000</v>
      </c>
      <c r="J48" s="21">
        <f t="shared" si="12"/>
        <v>0</v>
      </c>
      <c r="K48" s="22">
        <f t="shared" si="13"/>
        <v>4089100</v>
      </c>
      <c r="L48" s="22">
        <f t="shared" si="14"/>
        <v>3832600</v>
      </c>
      <c r="M48" s="22">
        <f t="shared" si="15"/>
        <v>439000</v>
      </c>
      <c r="N48" s="22"/>
      <c r="O48" s="22">
        <f t="shared" si="16"/>
        <v>4271600</v>
      </c>
      <c r="P48" s="45">
        <v>3758750</v>
      </c>
      <c r="Q48" s="73">
        <v>44314</v>
      </c>
      <c r="R48" s="45">
        <v>642362</v>
      </c>
      <c r="S48" s="73">
        <v>44314</v>
      </c>
      <c r="T48" s="45"/>
      <c r="U48" s="45">
        <f t="shared" si="8"/>
        <v>4401112</v>
      </c>
      <c r="V48" s="83" t="s">
        <v>133</v>
      </c>
      <c r="W48" s="22" t="s">
        <v>133</v>
      </c>
      <c r="X48" s="22"/>
    </row>
    <row r="49" spans="2:24" x14ac:dyDescent="0.25">
      <c r="B49" s="3" t="s">
        <v>47</v>
      </c>
      <c r="C49" s="3"/>
      <c r="D49" s="8">
        <f>19400/M6*M7</f>
        <v>19816.515276630886</v>
      </c>
      <c r="E49" s="12"/>
      <c r="F49" s="12"/>
      <c r="G49" s="8">
        <f t="shared" si="9"/>
        <v>19816.515276630886</v>
      </c>
      <c r="H49" s="20">
        <f t="shared" si="10"/>
        <v>22300</v>
      </c>
      <c r="I49" s="21">
        <f t="shared" si="11"/>
        <v>0</v>
      </c>
      <c r="J49" s="21">
        <f t="shared" si="12"/>
        <v>0</v>
      </c>
      <c r="K49" s="22">
        <f t="shared" si="13"/>
        <v>22300</v>
      </c>
      <c r="L49" s="22">
        <f t="shared" si="14"/>
        <v>23400</v>
      </c>
      <c r="M49" s="22">
        <f t="shared" si="15"/>
        <v>0</v>
      </c>
      <c r="N49" s="22"/>
      <c r="O49" s="22">
        <f t="shared" si="16"/>
        <v>23400</v>
      </c>
      <c r="P49" s="45">
        <f>ROUND($L49/105*108,-2)</f>
        <v>24100</v>
      </c>
      <c r="Q49" s="45"/>
      <c r="R49" s="45"/>
      <c r="S49" s="45"/>
      <c r="T49" s="45"/>
      <c r="U49" s="45">
        <f t="shared" si="8"/>
        <v>24100</v>
      </c>
      <c r="V49" s="22"/>
      <c r="W49" s="22"/>
      <c r="X49" s="22"/>
    </row>
    <row r="50" spans="2:24" x14ac:dyDescent="0.25">
      <c r="B50" s="3" t="s">
        <v>117</v>
      </c>
      <c r="C50" s="3" t="s">
        <v>81</v>
      </c>
      <c r="D50" s="8">
        <f>1497700/M6*M7</f>
        <v>1529855.4087530968</v>
      </c>
      <c r="E50" s="12">
        <v>153000</v>
      </c>
      <c r="F50" s="12"/>
      <c r="G50" s="8">
        <f t="shared" si="9"/>
        <v>1682855.4087530968</v>
      </c>
      <c r="H50" s="20">
        <f t="shared" si="10"/>
        <v>1720300</v>
      </c>
      <c r="I50" s="21">
        <f t="shared" si="11"/>
        <v>153000</v>
      </c>
      <c r="J50" s="21">
        <f t="shared" si="12"/>
        <v>0</v>
      </c>
      <c r="K50" s="22">
        <f t="shared" si="13"/>
        <v>1873300</v>
      </c>
      <c r="L50" s="22">
        <f t="shared" si="14"/>
        <v>1806300</v>
      </c>
      <c r="M50" s="22">
        <f t="shared" si="15"/>
        <v>153000</v>
      </c>
      <c r="N50" s="22"/>
      <c r="O50" s="22">
        <f t="shared" si="16"/>
        <v>1959300</v>
      </c>
      <c r="P50" s="45">
        <v>1944900</v>
      </c>
      <c r="Q50" s="73">
        <v>44314</v>
      </c>
      <c r="R50" s="45">
        <v>415245</v>
      </c>
      <c r="S50" s="73">
        <v>44314</v>
      </c>
      <c r="T50" s="45"/>
      <c r="U50" s="45">
        <f t="shared" si="8"/>
        <v>2360145</v>
      </c>
      <c r="V50" s="83" t="s">
        <v>133</v>
      </c>
      <c r="W50" s="22" t="s">
        <v>133</v>
      </c>
      <c r="X50" s="22">
        <v>170</v>
      </c>
    </row>
    <row r="51" spans="2:24" x14ac:dyDescent="0.25">
      <c r="B51" s="3" t="s">
        <v>48</v>
      </c>
      <c r="C51" s="3" t="s">
        <v>82</v>
      </c>
      <c r="D51" s="8">
        <f>1870100/M6*M7</f>
        <v>1910250.7844756399</v>
      </c>
      <c r="E51" s="12">
        <v>249000</v>
      </c>
      <c r="F51" s="12"/>
      <c r="G51" s="8">
        <f t="shared" si="9"/>
        <v>2159250.7844756399</v>
      </c>
      <c r="H51" s="20">
        <f t="shared" si="10"/>
        <v>2148100</v>
      </c>
      <c r="I51" s="21">
        <f t="shared" si="11"/>
        <v>249000</v>
      </c>
      <c r="J51" s="21">
        <f t="shared" si="12"/>
        <v>0</v>
      </c>
      <c r="K51" s="22">
        <f t="shared" si="13"/>
        <v>2397100</v>
      </c>
      <c r="L51" s="22">
        <f t="shared" si="14"/>
        <v>2255500</v>
      </c>
      <c r="M51" s="22">
        <f t="shared" si="15"/>
        <v>249000</v>
      </c>
      <c r="N51" s="22"/>
      <c r="O51" s="22">
        <f t="shared" si="16"/>
        <v>2504500</v>
      </c>
      <c r="P51" s="45">
        <v>2821900</v>
      </c>
      <c r="Q51" s="73">
        <v>44314</v>
      </c>
      <c r="R51" s="45">
        <v>606872</v>
      </c>
      <c r="S51" s="73">
        <v>44314</v>
      </c>
      <c r="T51" s="45"/>
      <c r="U51" s="45">
        <f t="shared" si="8"/>
        <v>3428772</v>
      </c>
      <c r="V51" s="83" t="s">
        <v>133</v>
      </c>
      <c r="W51" s="22" t="s">
        <v>133</v>
      </c>
      <c r="X51" s="22"/>
    </row>
    <row r="52" spans="2:24" x14ac:dyDescent="0.25">
      <c r="B52" s="3" t="s">
        <v>114</v>
      </c>
      <c r="C52" s="3" t="s">
        <v>49</v>
      </c>
      <c r="D52" s="8">
        <f>3907400/M6*M7</f>
        <v>3991291.3294797689</v>
      </c>
      <c r="E52" s="12">
        <v>309000</v>
      </c>
      <c r="F52" s="12"/>
      <c r="G52" s="8">
        <f t="shared" si="9"/>
        <v>4300291.3294797689</v>
      </c>
      <c r="H52" s="20">
        <f t="shared" si="10"/>
        <v>4488200</v>
      </c>
      <c r="I52" s="21">
        <f t="shared" si="11"/>
        <v>309000</v>
      </c>
      <c r="J52" s="21">
        <f t="shared" si="12"/>
        <v>0</v>
      </c>
      <c r="K52" s="22">
        <f t="shared" si="13"/>
        <v>4797200</v>
      </c>
      <c r="L52" s="22">
        <f t="shared" si="14"/>
        <v>4712600</v>
      </c>
      <c r="M52" s="22">
        <f t="shared" si="15"/>
        <v>309000</v>
      </c>
      <c r="N52" s="22"/>
      <c r="O52" s="22">
        <f t="shared" si="16"/>
        <v>5021600</v>
      </c>
      <c r="P52" s="45">
        <v>5180300</v>
      </c>
      <c r="Q52" s="73">
        <v>44314</v>
      </c>
      <c r="R52" s="45">
        <v>876559</v>
      </c>
      <c r="S52" s="73">
        <v>44314</v>
      </c>
      <c r="T52" s="45"/>
      <c r="U52" s="45">
        <f t="shared" si="8"/>
        <v>6056859</v>
      </c>
      <c r="V52" s="83" t="s">
        <v>133</v>
      </c>
      <c r="W52" s="22" t="s">
        <v>133</v>
      </c>
      <c r="X52" s="22"/>
    </row>
    <row r="53" spans="2:24" x14ac:dyDescent="0.25">
      <c r="B53" s="3" t="s">
        <v>115</v>
      </c>
      <c r="C53" s="3" t="s">
        <v>116</v>
      </c>
      <c r="D53" s="8"/>
      <c r="E53" s="12"/>
      <c r="F53" s="12"/>
      <c r="G53" s="8"/>
      <c r="H53" s="20"/>
      <c r="I53" s="21"/>
      <c r="J53" s="21"/>
      <c r="K53" s="22"/>
      <c r="L53" s="22"/>
      <c r="M53" s="22"/>
      <c r="N53" s="22"/>
      <c r="O53" s="22"/>
      <c r="P53" s="45">
        <v>1141500</v>
      </c>
      <c r="Q53" s="73">
        <v>44314</v>
      </c>
      <c r="R53" s="45">
        <v>85200</v>
      </c>
      <c r="S53" s="73">
        <v>44314</v>
      </c>
      <c r="T53" s="45"/>
      <c r="U53" s="45">
        <f t="shared" si="8"/>
        <v>1226700</v>
      </c>
      <c r="V53" s="83" t="s">
        <v>133</v>
      </c>
      <c r="W53" s="22" t="s">
        <v>133</v>
      </c>
      <c r="X53" s="22"/>
    </row>
    <row r="54" spans="2:24" x14ac:dyDescent="0.25">
      <c r="B54" s="3" t="s">
        <v>50</v>
      </c>
      <c r="C54" s="3" t="s">
        <v>119</v>
      </c>
      <c r="D54" s="8">
        <f>1181400/M6*M7</f>
        <v>1206764.4921552436</v>
      </c>
      <c r="E54" s="12">
        <v>234000</v>
      </c>
      <c r="F54" s="12"/>
      <c r="G54" s="8">
        <f>D54+E54</f>
        <v>1440764.4921552436</v>
      </c>
      <c r="H54" s="20">
        <f>ROUND(D54/$M$7*$M$8,-2)</f>
        <v>1357000</v>
      </c>
      <c r="I54" s="21">
        <f t="shared" ref="I54:J57" si="17">E54</f>
        <v>234000</v>
      </c>
      <c r="J54" s="21">
        <f t="shared" si="17"/>
        <v>0</v>
      </c>
      <c r="K54" s="22">
        <f>H54+I54+J54</f>
        <v>1591000</v>
      </c>
      <c r="L54" s="22">
        <f>ROUND($H54/100*105,-2)</f>
        <v>1424900</v>
      </c>
      <c r="M54" s="22">
        <f>$I54</f>
        <v>234000</v>
      </c>
      <c r="N54" s="22"/>
      <c r="O54" s="22">
        <f>SUM($L54+$M54)</f>
        <v>1658900</v>
      </c>
      <c r="P54" s="45">
        <v>1830000</v>
      </c>
      <c r="Q54" s="73">
        <v>44314</v>
      </c>
      <c r="R54" s="45">
        <v>460019</v>
      </c>
      <c r="S54" s="73">
        <v>44314</v>
      </c>
      <c r="T54" s="45"/>
      <c r="U54" s="45">
        <f t="shared" si="8"/>
        <v>2290019</v>
      </c>
      <c r="V54" s="83" t="s">
        <v>133</v>
      </c>
      <c r="W54" s="22" t="s">
        <v>133</v>
      </c>
      <c r="X54" s="22"/>
    </row>
    <row r="55" spans="2:24" x14ac:dyDescent="0.25">
      <c r="B55" s="3" t="s">
        <v>112</v>
      </c>
      <c r="C55" s="3" t="s">
        <v>51</v>
      </c>
      <c r="D55" s="8">
        <f>161200/M6*M7</f>
        <v>164660.94137076798</v>
      </c>
      <c r="E55" s="12"/>
      <c r="F55" s="12"/>
      <c r="G55" s="8">
        <f>D55+E55</f>
        <v>164660.94137076798</v>
      </c>
      <c r="H55" s="20">
        <f>ROUND(D55/$M$7*$M$8,-2)</f>
        <v>185200</v>
      </c>
      <c r="I55" s="21">
        <f t="shared" si="17"/>
        <v>0</v>
      </c>
      <c r="J55" s="21">
        <f t="shared" si="17"/>
        <v>0</v>
      </c>
      <c r="K55" s="22">
        <f>H55+I55+J55</f>
        <v>185200</v>
      </c>
      <c r="L55" s="22">
        <f>ROUND($H55/100*105,-2)</f>
        <v>194500</v>
      </c>
      <c r="M55" s="22">
        <f>$I55</f>
        <v>0</v>
      </c>
      <c r="N55" s="22"/>
      <c r="O55" s="22">
        <f>SUM($L55+$M55)</f>
        <v>194500</v>
      </c>
      <c r="P55" s="45">
        <v>202000</v>
      </c>
      <c r="Q55" s="73">
        <v>44314</v>
      </c>
      <c r="R55" s="45"/>
      <c r="S55" s="45"/>
      <c r="T55" s="45"/>
      <c r="U55" s="45">
        <f t="shared" si="8"/>
        <v>202000</v>
      </c>
      <c r="V55" s="22" t="s">
        <v>136</v>
      </c>
      <c r="W55" s="22" t="s">
        <v>136</v>
      </c>
      <c r="X55" s="22"/>
    </row>
    <row r="56" spans="2:24" x14ac:dyDescent="0.25">
      <c r="B56" s="3" t="s">
        <v>52</v>
      </c>
      <c r="C56" s="3" t="s">
        <v>53</v>
      </c>
      <c r="D56" s="8">
        <f>497900/M6*M7</f>
        <v>508589.84310487204</v>
      </c>
      <c r="E56" s="12">
        <v>51000</v>
      </c>
      <c r="F56" s="12"/>
      <c r="G56" s="8">
        <f>D56+E56</f>
        <v>559589.84310487204</v>
      </c>
      <c r="H56" s="20">
        <f>ROUND(D56/$M$7*$M$8,-2)</f>
        <v>571900</v>
      </c>
      <c r="I56" s="21">
        <f t="shared" si="17"/>
        <v>51000</v>
      </c>
      <c r="J56" s="21">
        <f t="shared" si="17"/>
        <v>0</v>
      </c>
      <c r="K56" s="22">
        <f>H56+I56+J56</f>
        <v>622900</v>
      </c>
      <c r="L56" s="22">
        <f>ROUND($H56/100*105,-2)</f>
        <v>600500</v>
      </c>
      <c r="M56" s="22">
        <f>$I56</f>
        <v>51000</v>
      </c>
      <c r="N56" s="22"/>
      <c r="O56" s="22">
        <f>SUM($L56+$M56)</f>
        <v>651500</v>
      </c>
      <c r="P56" s="45">
        <v>976000</v>
      </c>
      <c r="Q56" s="73">
        <v>44314</v>
      </c>
      <c r="R56" s="45">
        <v>112150</v>
      </c>
      <c r="S56" s="73">
        <v>44314</v>
      </c>
      <c r="T56" s="45"/>
      <c r="U56" s="45">
        <f t="shared" si="8"/>
        <v>1088150</v>
      </c>
      <c r="V56" s="83" t="s">
        <v>136</v>
      </c>
      <c r="W56" s="22" t="s">
        <v>136</v>
      </c>
      <c r="X56" s="22"/>
    </row>
    <row r="57" spans="2:24" x14ac:dyDescent="0.25">
      <c r="B57" s="3" t="s">
        <v>54</v>
      </c>
      <c r="C57" s="3" t="s">
        <v>121</v>
      </c>
      <c r="D57" s="15">
        <f>468300/M6*M7</f>
        <v>478354.33526011562</v>
      </c>
      <c r="E57" s="16">
        <v>57000</v>
      </c>
      <c r="F57" s="16"/>
      <c r="G57" s="15">
        <f>D57+E57</f>
        <v>535354.33526011556</v>
      </c>
      <c r="H57" s="20">
        <f>ROUND(D57/$M$7*$M$8,-2)</f>
        <v>537900</v>
      </c>
      <c r="I57" s="21">
        <f t="shared" si="17"/>
        <v>57000</v>
      </c>
      <c r="J57" s="21">
        <f t="shared" si="17"/>
        <v>0</v>
      </c>
      <c r="K57" s="22">
        <f>H57+I57+J57</f>
        <v>594900</v>
      </c>
      <c r="L57" s="22">
        <f>ROUND($H57/100*105,-2)</f>
        <v>564800</v>
      </c>
      <c r="M57" s="22">
        <f>$I57</f>
        <v>57000</v>
      </c>
      <c r="N57" s="22"/>
      <c r="O57" s="22">
        <f>SUM($L57+$M57)</f>
        <v>621800</v>
      </c>
      <c r="P57" s="45">
        <v>885000</v>
      </c>
      <c r="Q57" s="73">
        <v>44314</v>
      </c>
      <c r="R57" s="45">
        <v>168525</v>
      </c>
      <c r="S57" s="73">
        <v>44314</v>
      </c>
      <c r="T57" s="45"/>
      <c r="U57" s="45">
        <f t="shared" si="8"/>
        <v>1053525</v>
      </c>
      <c r="V57" s="83" t="s">
        <v>136</v>
      </c>
      <c r="W57" s="22" t="s">
        <v>136</v>
      </c>
      <c r="X57" s="22"/>
    </row>
    <row r="58" spans="2:24" x14ac:dyDescent="0.25">
      <c r="B58" s="3" t="s">
        <v>122</v>
      </c>
      <c r="C58" s="3" t="s">
        <v>123</v>
      </c>
      <c r="D58" s="15"/>
      <c r="E58" s="16"/>
      <c r="F58" s="16"/>
      <c r="G58" s="15"/>
      <c r="H58" s="20"/>
      <c r="I58" s="21"/>
      <c r="J58" s="21"/>
      <c r="K58" s="22"/>
      <c r="L58" s="22"/>
      <c r="M58" s="22"/>
      <c r="N58" s="22"/>
      <c r="O58" s="22"/>
      <c r="P58" s="45">
        <v>10000</v>
      </c>
      <c r="Q58" s="73">
        <v>44314</v>
      </c>
      <c r="R58" s="45"/>
      <c r="S58" s="45"/>
      <c r="T58" s="45"/>
      <c r="U58" s="45">
        <f t="shared" si="8"/>
        <v>10000</v>
      </c>
      <c r="V58" s="22"/>
      <c r="W58" s="22"/>
      <c r="X58" s="22"/>
    </row>
    <row r="59" spans="2:24" x14ac:dyDescent="0.25">
      <c r="B59" s="28" t="s">
        <v>84</v>
      </c>
      <c r="C59" s="28" t="s">
        <v>85</v>
      </c>
      <c r="D59" s="29"/>
      <c r="E59" s="30"/>
      <c r="F59" s="30"/>
      <c r="G59" s="29"/>
      <c r="H59" s="31"/>
      <c r="I59" s="32"/>
      <c r="J59" s="32"/>
      <c r="K59" s="33"/>
      <c r="L59" s="22">
        <v>518000</v>
      </c>
      <c r="M59" s="22"/>
      <c r="N59" s="33"/>
      <c r="O59" s="22">
        <f t="shared" ref="O59:O64" si="18">SUM($L59+$M59)</f>
        <v>518000</v>
      </c>
      <c r="P59" s="45">
        <v>899000</v>
      </c>
      <c r="Q59" s="73">
        <v>44314</v>
      </c>
      <c r="R59" s="45"/>
      <c r="S59" s="45"/>
      <c r="T59" s="45"/>
      <c r="U59" s="45">
        <f t="shared" si="8"/>
        <v>899000</v>
      </c>
      <c r="V59" s="22" t="s">
        <v>136</v>
      </c>
      <c r="W59" s="22" t="s">
        <v>136</v>
      </c>
      <c r="X59" s="22"/>
    </row>
    <row r="60" spans="2:24" x14ac:dyDescent="0.25">
      <c r="B60" s="28" t="s">
        <v>86</v>
      </c>
      <c r="C60" s="28" t="s">
        <v>87</v>
      </c>
      <c r="D60" s="29"/>
      <c r="E60" s="30"/>
      <c r="F60" s="30"/>
      <c r="G60" s="29"/>
      <c r="H60" s="31"/>
      <c r="I60" s="32"/>
      <c r="J60" s="32"/>
      <c r="K60" s="33"/>
      <c r="L60" s="22">
        <v>11000</v>
      </c>
      <c r="M60" s="22"/>
      <c r="N60" s="33"/>
      <c r="O60" s="22">
        <f t="shared" si="18"/>
        <v>11000</v>
      </c>
      <c r="P60" s="45">
        <v>59000</v>
      </c>
      <c r="Q60" s="73">
        <v>44314</v>
      </c>
      <c r="R60" s="45"/>
      <c r="S60" s="45"/>
      <c r="T60" s="45"/>
      <c r="U60" s="45">
        <f t="shared" si="8"/>
        <v>59000</v>
      </c>
      <c r="V60" s="22" t="s">
        <v>136</v>
      </c>
      <c r="W60" s="22" t="s">
        <v>136</v>
      </c>
      <c r="X60" s="22"/>
    </row>
    <row r="61" spans="2:24" x14ac:dyDescent="0.25">
      <c r="B61" s="28" t="s">
        <v>108</v>
      </c>
      <c r="C61" s="46" t="s">
        <v>64</v>
      </c>
      <c r="D61" s="34"/>
      <c r="E61" s="35"/>
      <c r="F61" s="35"/>
      <c r="G61" s="34"/>
      <c r="H61" s="31">
        <v>3850900</v>
      </c>
      <c r="I61" s="32"/>
      <c r="J61" s="32"/>
      <c r="K61" s="33">
        <f>H61+I61+J61</f>
        <v>3850900</v>
      </c>
      <c r="L61" s="33">
        <f>ROUND($H61/100*105,-2)</f>
        <v>4043400</v>
      </c>
      <c r="M61" s="33">
        <f>$I61</f>
        <v>0</v>
      </c>
      <c r="N61" s="33"/>
      <c r="O61" s="22">
        <f t="shared" si="18"/>
        <v>4043400</v>
      </c>
      <c r="P61" s="45">
        <v>7516800</v>
      </c>
      <c r="Q61" s="73">
        <v>44314</v>
      </c>
      <c r="R61" s="45">
        <v>482959</v>
      </c>
      <c r="S61" s="73">
        <v>44314</v>
      </c>
      <c r="T61" s="45"/>
      <c r="U61" s="45">
        <f t="shared" si="8"/>
        <v>7999759</v>
      </c>
      <c r="V61" s="83" t="s">
        <v>133</v>
      </c>
      <c r="W61" s="22" t="s">
        <v>138</v>
      </c>
      <c r="X61" s="22"/>
    </row>
    <row r="62" spans="2:24" x14ac:dyDescent="0.25">
      <c r="B62" s="28" t="s">
        <v>66</v>
      </c>
      <c r="C62" s="46" t="s">
        <v>64</v>
      </c>
      <c r="D62" s="34"/>
      <c r="E62" s="35"/>
      <c r="F62" s="35"/>
      <c r="G62" s="34"/>
      <c r="H62" s="31">
        <v>155800</v>
      </c>
      <c r="I62" s="32"/>
      <c r="J62" s="32"/>
      <c r="K62" s="33">
        <f>H62+I62+J62</f>
        <v>155800</v>
      </c>
      <c r="L62" s="33">
        <f>ROUND($H62/100*105,-2)</f>
        <v>163600</v>
      </c>
      <c r="M62" s="33">
        <f>$I62</f>
        <v>0</v>
      </c>
      <c r="N62" s="33"/>
      <c r="O62" s="22">
        <f t="shared" si="18"/>
        <v>163600</v>
      </c>
      <c r="P62" s="45">
        <f>ROUND($L62/105*108,-2)</f>
        <v>168300</v>
      </c>
      <c r="Q62" s="45"/>
      <c r="R62" s="45"/>
      <c r="S62" s="45"/>
      <c r="T62" s="45"/>
      <c r="U62" s="45">
        <f t="shared" si="8"/>
        <v>168300</v>
      </c>
      <c r="V62" s="22"/>
      <c r="W62" s="22"/>
      <c r="X62" s="22"/>
    </row>
    <row r="63" spans="2:24" x14ac:dyDescent="0.25">
      <c r="B63" s="28" t="s">
        <v>89</v>
      </c>
      <c r="C63" s="46" t="s">
        <v>65</v>
      </c>
      <c r="D63" s="34"/>
      <c r="E63" s="35"/>
      <c r="F63" s="35"/>
      <c r="G63" s="34"/>
      <c r="H63" s="31">
        <v>16929200</v>
      </c>
      <c r="I63" s="32"/>
      <c r="J63" s="32"/>
      <c r="K63" s="33">
        <f>H63+I63+J63</f>
        <v>16929200</v>
      </c>
      <c r="L63" s="33">
        <f>ROUND($H63/100*105,-2)</f>
        <v>17775700</v>
      </c>
      <c r="M63" s="33">
        <f>$I63</f>
        <v>0</v>
      </c>
      <c r="N63" s="33"/>
      <c r="O63" s="22">
        <f t="shared" si="18"/>
        <v>17775700</v>
      </c>
      <c r="P63" s="45">
        <v>1250000</v>
      </c>
      <c r="Q63" s="73">
        <v>44314</v>
      </c>
      <c r="R63" s="45"/>
      <c r="S63" s="45"/>
      <c r="T63" s="45"/>
      <c r="U63" s="45">
        <f t="shared" si="8"/>
        <v>1250000</v>
      </c>
      <c r="V63" s="22"/>
      <c r="W63" s="22"/>
      <c r="X63" s="22"/>
    </row>
    <row r="64" spans="2:24" x14ac:dyDescent="0.25">
      <c r="B64" s="28"/>
      <c r="C64" s="46" t="s">
        <v>65</v>
      </c>
      <c r="D64" s="34"/>
      <c r="E64" s="35"/>
      <c r="F64" s="35"/>
      <c r="G64" s="34"/>
      <c r="H64" s="31">
        <v>918200</v>
      </c>
      <c r="I64" s="32"/>
      <c r="J64" s="32"/>
      <c r="K64" s="33">
        <f>H64+I64+J64</f>
        <v>918200</v>
      </c>
      <c r="L64" s="33">
        <f>ROUND($H64/100*105,-2)</f>
        <v>964100</v>
      </c>
      <c r="M64" s="33">
        <f>$I64</f>
        <v>0</v>
      </c>
      <c r="N64" s="33"/>
      <c r="O64" s="33">
        <f t="shared" si="18"/>
        <v>964100</v>
      </c>
      <c r="P64" s="45">
        <f>ROUND($L64/105*108,-2)</f>
        <v>991600</v>
      </c>
      <c r="Q64" s="45"/>
      <c r="R64" s="45"/>
      <c r="S64" s="45"/>
      <c r="T64" s="45"/>
      <c r="U64" s="45">
        <f t="shared" si="8"/>
        <v>991600</v>
      </c>
      <c r="V64" s="22"/>
      <c r="W64" s="22"/>
      <c r="X64" s="22"/>
    </row>
    <row r="65" spans="2:24" x14ac:dyDescent="0.25">
      <c r="B65" s="47" t="s">
        <v>88</v>
      </c>
      <c r="C65" s="46" t="s">
        <v>65</v>
      </c>
      <c r="D65" s="48"/>
      <c r="E65" s="30"/>
      <c r="F65" s="30"/>
      <c r="G65" s="29"/>
      <c r="H65" s="49"/>
      <c r="I65" s="50"/>
      <c r="J65" s="50"/>
      <c r="K65" s="33"/>
      <c r="L65" s="33"/>
      <c r="M65" s="33"/>
      <c r="N65" s="33"/>
      <c r="O65" s="33"/>
      <c r="P65" s="45">
        <v>17200000</v>
      </c>
      <c r="Q65" s="73">
        <v>44314</v>
      </c>
      <c r="R65" s="45">
        <v>3208842</v>
      </c>
      <c r="S65" s="73">
        <v>44314</v>
      </c>
      <c r="T65" s="45"/>
      <c r="U65" s="45">
        <f>P65+R65</f>
        <v>20408842</v>
      </c>
      <c r="V65" s="83" t="s">
        <v>133</v>
      </c>
      <c r="W65" s="22" t="s">
        <v>133</v>
      </c>
      <c r="X65" s="22">
        <v>602</v>
      </c>
    </row>
    <row r="66" spans="2:24" x14ac:dyDescent="0.25">
      <c r="B66" s="47" t="s">
        <v>98</v>
      </c>
      <c r="C66" s="46" t="s">
        <v>67</v>
      </c>
      <c r="D66" s="48"/>
      <c r="E66" s="30"/>
      <c r="F66" s="30"/>
      <c r="G66" s="29"/>
      <c r="H66" s="49">
        <v>4676900</v>
      </c>
      <c r="I66" s="50"/>
      <c r="J66" s="50"/>
      <c r="K66" s="33">
        <f>H66+I66+J66</f>
        <v>4676900</v>
      </c>
      <c r="L66" s="33">
        <f>ROUND($H66/100*105,-2)</f>
        <v>4910700</v>
      </c>
      <c r="M66" s="33">
        <f>$I66</f>
        <v>0</v>
      </c>
      <c r="N66" s="33"/>
      <c r="O66" s="33">
        <f>SUM($L66+$M66)</f>
        <v>4910700</v>
      </c>
      <c r="P66" s="45">
        <v>4040000</v>
      </c>
      <c r="Q66" s="73">
        <v>44314</v>
      </c>
      <c r="R66" s="45"/>
      <c r="S66" s="45"/>
      <c r="T66" s="45"/>
      <c r="U66" s="45">
        <f t="shared" si="8"/>
        <v>4040000</v>
      </c>
      <c r="V66" s="22" t="s">
        <v>133</v>
      </c>
      <c r="W66" s="22" t="s">
        <v>138</v>
      </c>
      <c r="X66" s="22"/>
    </row>
    <row r="67" spans="2:24" x14ac:dyDescent="0.25">
      <c r="B67" s="47" t="s">
        <v>99</v>
      </c>
      <c r="C67" s="46" t="s">
        <v>67</v>
      </c>
      <c r="D67" s="48"/>
      <c r="E67" s="30"/>
      <c r="F67" s="30"/>
      <c r="G67" s="29"/>
      <c r="H67" s="49"/>
      <c r="I67" s="50"/>
      <c r="J67" s="50"/>
      <c r="K67" s="33"/>
      <c r="L67" s="33"/>
      <c r="M67" s="33"/>
      <c r="N67" s="33"/>
      <c r="O67" s="33"/>
      <c r="P67" s="45">
        <v>1162200</v>
      </c>
      <c r="Q67" s="73">
        <v>44314</v>
      </c>
      <c r="R67" s="45"/>
      <c r="S67" s="45"/>
      <c r="T67" s="45"/>
      <c r="U67" s="45">
        <f t="shared" ref="U67:U70" si="19">P67+R67</f>
        <v>1162200</v>
      </c>
      <c r="V67" s="22" t="s">
        <v>133</v>
      </c>
      <c r="W67" s="22" t="s">
        <v>138</v>
      </c>
      <c r="X67" s="22"/>
    </row>
    <row r="68" spans="2:24" x14ac:dyDescent="0.25">
      <c r="B68" s="47" t="s">
        <v>101</v>
      </c>
      <c r="C68" s="46" t="s">
        <v>100</v>
      </c>
      <c r="D68" s="48"/>
      <c r="E68" s="30"/>
      <c r="F68" s="30"/>
      <c r="G68" s="29"/>
      <c r="H68" s="49"/>
      <c r="I68" s="50"/>
      <c r="J68" s="50"/>
      <c r="K68" s="33"/>
      <c r="L68" s="33"/>
      <c r="M68" s="33"/>
      <c r="N68" s="33"/>
      <c r="O68" s="33"/>
      <c r="P68" s="45">
        <v>889000</v>
      </c>
      <c r="Q68" s="73">
        <v>44314</v>
      </c>
      <c r="R68" s="45">
        <v>93100</v>
      </c>
      <c r="S68" s="73">
        <v>44314</v>
      </c>
      <c r="T68" s="45"/>
      <c r="U68" s="45">
        <f>P68+R68</f>
        <v>982100</v>
      </c>
      <c r="V68" s="83"/>
      <c r="W68" s="22"/>
      <c r="X68" s="22"/>
    </row>
    <row r="69" spans="2:24" x14ac:dyDescent="0.25">
      <c r="B69" s="47"/>
      <c r="C69" s="46" t="s">
        <v>68</v>
      </c>
      <c r="D69" s="48"/>
      <c r="E69" s="30"/>
      <c r="F69" s="30"/>
      <c r="G69" s="29"/>
      <c r="H69" s="49"/>
      <c r="I69" s="50">
        <v>3407200</v>
      </c>
      <c r="J69" s="50"/>
      <c r="K69" s="33">
        <f>H69+I69+J69</f>
        <v>3407200</v>
      </c>
      <c r="L69" s="33">
        <f>ROUND($H69/100*105,-2)</f>
        <v>0</v>
      </c>
      <c r="M69" s="33">
        <f>$I69</f>
        <v>3407200</v>
      </c>
      <c r="N69" s="33">
        <v>1000000</v>
      </c>
      <c r="O69" s="33">
        <f>SUM(M69:N69)</f>
        <v>4407200</v>
      </c>
      <c r="P69" s="45">
        <f>ROUND($L69/105*108,-2)</f>
        <v>0</v>
      </c>
      <c r="Q69" s="45"/>
      <c r="R69" s="45"/>
      <c r="S69" s="45"/>
      <c r="T69" s="45">
        <v>1000000</v>
      </c>
      <c r="U69" s="45">
        <v>1000000</v>
      </c>
      <c r="V69" s="22"/>
      <c r="W69" s="22"/>
      <c r="X69" s="22"/>
    </row>
    <row r="70" spans="2:24" x14ac:dyDescent="0.25">
      <c r="B70" s="47" t="s">
        <v>124</v>
      </c>
      <c r="C70" s="46" t="s">
        <v>68</v>
      </c>
      <c r="D70" s="48"/>
      <c r="E70" s="30"/>
      <c r="F70" s="30"/>
      <c r="G70" s="29"/>
      <c r="H70" s="49"/>
      <c r="I70" s="50"/>
      <c r="J70" s="50"/>
      <c r="K70" s="71"/>
      <c r="L70" s="71"/>
      <c r="M70" s="71"/>
      <c r="N70" s="71"/>
      <c r="O70" s="71"/>
      <c r="P70" s="72"/>
      <c r="Q70" s="72"/>
      <c r="R70" s="72">
        <v>133000</v>
      </c>
      <c r="S70" s="74">
        <v>44314</v>
      </c>
      <c r="T70" s="72"/>
      <c r="U70" s="45">
        <f t="shared" si="19"/>
        <v>133000</v>
      </c>
      <c r="V70" s="84"/>
      <c r="W70" s="85"/>
      <c r="X70" s="22"/>
    </row>
    <row r="71" spans="2:24" x14ac:dyDescent="0.25">
      <c r="B71" s="47" t="s">
        <v>112</v>
      </c>
      <c r="C71" s="46" t="s">
        <v>113</v>
      </c>
      <c r="D71" s="48"/>
      <c r="E71" s="30"/>
      <c r="F71" s="30"/>
      <c r="G71" s="29"/>
      <c r="H71" s="49"/>
      <c r="I71" s="50"/>
      <c r="J71" s="50"/>
      <c r="K71" s="71"/>
      <c r="L71" s="71"/>
      <c r="M71" s="71"/>
      <c r="N71" s="71"/>
      <c r="O71" s="71"/>
      <c r="P71" s="72">
        <v>1350350</v>
      </c>
      <c r="Q71" s="74">
        <v>44314</v>
      </c>
      <c r="R71" s="72"/>
      <c r="S71" s="72"/>
      <c r="T71" s="72"/>
      <c r="U71" s="45">
        <f>P71+R71</f>
        <v>1350350</v>
      </c>
      <c r="V71" s="85"/>
      <c r="W71" s="85"/>
      <c r="X71" s="22"/>
    </row>
    <row r="72" spans="2:24" ht="15.75" thickBot="1" x14ac:dyDescent="0.3">
      <c r="B72" s="37"/>
      <c r="C72" s="3"/>
      <c r="D72" s="38"/>
      <c r="E72" s="13"/>
      <c r="F72" s="13">
        <v>1000000</v>
      </c>
      <c r="G72" s="9">
        <v>1000000</v>
      </c>
      <c r="H72" s="26"/>
      <c r="I72" s="36"/>
      <c r="J72" s="36"/>
      <c r="K72" s="36"/>
      <c r="L72" s="36"/>
      <c r="M72" s="36"/>
      <c r="N72" s="36"/>
      <c r="O72" s="36"/>
      <c r="P72" s="53"/>
      <c r="Q72" s="53"/>
      <c r="R72" s="54"/>
      <c r="S72" s="54"/>
      <c r="T72" s="54"/>
      <c r="U72" s="53"/>
      <c r="V72" s="36"/>
      <c r="W72" s="36"/>
      <c r="X72" s="87"/>
    </row>
    <row r="73" spans="2:24" x14ac:dyDescent="0.25">
      <c r="B73" s="37"/>
      <c r="C73" s="3"/>
      <c r="D73" s="39">
        <f>SUM(D12:D72)</f>
        <v>61065007.597027257</v>
      </c>
      <c r="E73" s="14">
        <f>SUM(E12:E72)</f>
        <v>4884000</v>
      </c>
      <c r="F73" s="14"/>
      <c r="G73" s="10">
        <f t="shared" ref="G73:L73" si="20">SUM(G12:G72)</f>
        <v>66949007.597027257</v>
      </c>
      <c r="H73" s="23">
        <f t="shared" si="20"/>
        <v>95198700</v>
      </c>
      <c r="I73" s="24">
        <f t="shared" si="20"/>
        <v>9441200</v>
      </c>
      <c r="J73" s="24">
        <f t="shared" si="20"/>
        <v>0</v>
      </c>
      <c r="K73" s="25">
        <f t="shared" si="20"/>
        <v>104639900</v>
      </c>
      <c r="L73" s="25">
        <f t="shared" si="20"/>
        <v>100487800</v>
      </c>
      <c r="M73" s="25">
        <f>SUM(M12:M69)</f>
        <v>9441200</v>
      </c>
      <c r="N73" s="25">
        <f>SUM(N12:N72)</f>
        <v>1000000</v>
      </c>
      <c r="O73" s="25">
        <f>SUM(O12:O72)</f>
        <v>110929000</v>
      </c>
      <c r="P73" s="55">
        <f>SUM(P12:P72)</f>
        <v>122908700</v>
      </c>
      <c r="Q73" s="55"/>
      <c r="R73" s="55">
        <f>SUM(R12:R72)</f>
        <v>16313438</v>
      </c>
      <c r="S73" s="55"/>
      <c r="T73" s="55">
        <f>SUM(T12:T72)</f>
        <v>1000000</v>
      </c>
      <c r="U73" s="55">
        <f>SUM(U12:U72)</f>
        <v>140222138</v>
      </c>
      <c r="V73" s="25"/>
      <c r="W73" s="25"/>
      <c r="X73" s="25"/>
    </row>
    <row r="74" spans="2:24" x14ac:dyDescent="0.25">
      <c r="D74" s="11"/>
    </row>
    <row r="76" spans="2:24" x14ac:dyDescent="0.25">
      <c r="I76" s="27"/>
    </row>
  </sheetData>
  <autoFilter ref="B11:U73" xr:uid="{8D7B2D05-6CB3-47E5-BEA8-520FAE4384B0}"/>
  <mergeCells count="2">
    <mergeCell ref="L10:O10"/>
    <mergeCell ref="P10:U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173B-4A92-4333-BC0B-D8D5FDA17C7A}">
  <dimension ref="A1:F36"/>
  <sheetViews>
    <sheetView showGridLines="0" workbookViewId="0">
      <selection activeCell="K20" sqref="K20"/>
    </sheetView>
  </sheetViews>
  <sheetFormatPr defaultRowHeight="15" x14ac:dyDescent="0.25"/>
  <cols>
    <col min="1" max="1" width="2" bestFit="1" customWidth="1"/>
    <col min="2" max="2" width="15.140625" customWidth="1"/>
    <col min="3" max="3" width="9.42578125" bestFit="1" customWidth="1"/>
    <col min="6" max="6" width="35.28515625" customWidth="1"/>
  </cols>
  <sheetData>
    <row r="1" spans="1:6" x14ac:dyDescent="0.25">
      <c r="B1" s="58" t="s">
        <v>93</v>
      </c>
    </row>
    <row r="2" spans="1:6" x14ac:dyDescent="0.25">
      <c r="B2" s="59"/>
    </row>
    <row r="3" spans="1:6" x14ac:dyDescent="0.25">
      <c r="B3" s="60" t="s">
        <v>92</v>
      </c>
      <c r="C3" s="61">
        <v>44287</v>
      </c>
      <c r="D3" s="62"/>
      <c r="E3" s="62"/>
      <c r="F3" s="63"/>
    </row>
    <row r="4" spans="1:6" x14ac:dyDescent="0.25">
      <c r="B4" s="64" t="s">
        <v>90</v>
      </c>
      <c r="C4" s="65"/>
      <c r="D4" s="65"/>
      <c r="E4" s="65"/>
      <c r="F4" s="66"/>
    </row>
    <row r="5" spans="1:6" x14ac:dyDescent="0.25">
      <c r="A5">
        <v>1</v>
      </c>
      <c r="B5" s="67">
        <v>17560000</v>
      </c>
      <c r="C5" s="57" t="s">
        <v>91</v>
      </c>
      <c r="D5" s="57"/>
      <c r="E5" s="57"/>
      <c r="F5" s="68"/>
    </row>
    <row r="6" spans="1:6" x14ac:dyDescent="0.25">
      <c r="B6" s="56"/>
    </row>
    <row r="7" spans="1:6" x14ac:dyDescent="0.25">
      <c r="B7" s="60" t="s">
        <v>92</v>
      </c>
      <c r="C7" s="61">
        <v>44287</v>
      </c>
      <c r="D7" s="62"/>
      <c r="E7" s="62"/>
      <c r="F7" s="63"/>
    </row>
    <row r="8" spans="1:6" x14ac:dyDescent="0.25">
      <c r="A8">
        <v>2</v>
      </c>
      <c r="B8" s="69" t="s">
        <v>94</v>
      </c>
      <c r="C8" s="57"/>
      <c r="D8" s="57"/>
      <c r="E8" s="57"/>
      <c r="F8" s="68"/>
    </row>
    <row r="10" spans="1:6" x14ac:dyDescent="0.25">
      <c r="B10" s="70" t="s">
        <v>92</v>
      </c>
      <c r="C10" s="61">
        <v>44314</v>
      </c>
      <c r="D10" s="62"/>
      <c r="E10" s="62"/>
      <c r="F10" s="63"/>
    </row>
    <row r="11" spans="1:6" x14ac:dyDescent="0.25">
      <c r="A11">
        <v>3</v>
      </c>
      <c r="B11" s="69" t="s">
        <v>96</v>
      </c>
      <c r="C11" s="57"/>
      <c r="D11" s="57"/>
      <c r="E11" s="57"/>
      <c r="F11" s="68"/>
    </row>
    <row r="13" spans="1:6" x14ac:dyDescent="0.25">
      <c r="B13" s="70" t="s">
        <v>92</v>
      </c>
      <c r="C13" s="61">
        <v>44314</v>
      </c>
      <c r="D13" s="62"/>
      <c r="E13" s="62"/>
      <c r="F13" s="63"/>
    </row>
    <row r="14" spans="1:6" x14ac:dyDescent="0.25">
      <c r="A14">
        <v>4</v>
      </c>
      <c r="B14" s="69" t="s">
        <v>97</v>
      </c>
      <c r="C14" s="57"/>
      <c r="D14" s="57"/>
      <c r="E14" s="57"/>
      <c r="F14" s="68"/>
    </row>
    <row r="16" spans="1:6" x14ac:dyDescent="0.25">
      <c r="B16" s="70" t="s">
        <v>92</v>
      </c>
      <c r="C16" s="61">
        <v>44314</v>
      </c>
      <c r="D16" s="62"/>
      <c r="E16" s="62"/>
      <c r="F16" s="63"/>
    </row>
    <row r="17" spans="1:6" x14ac:dyDescent="0.25">
      <c r="A17">
        <v>5</v>
      </c>
      <c r="B17" s="69" t="s">
        <v>125</v>
      </c>
      <c r="C17" s="57"/>
      <c r="D17" s="57"/>
      <c r="E17" s="57"/>
      <c r="F17" s="68"/>
    </row>
    <row r="20" spans="1:6" x14ac:dyDescent="0.25">
      <c r="A20">
        <v>6</v>
      </c>
      <c r="B20" s="70" t="s">
        <v>92</v>
      </c>
      <c r="C20" s="61">
        <v>44314</v>
      </c>
      <c r="D20" s="62"/>
      <c r="E20" s="62"/>
      <c r="F20" s="63"/>
    </row>
    <row r="21" spans="1:6" x14ac:dyDescent="0.25">
      <c r="B21" s="69" t="s">
        <v>126</v>
      </c>
      <c r="C21" s="57"/>
      <c r="D21" s="57"/>
      <c r="E21" s="57"/>
      <c r="F21" s="68"/>
    </row>
    <row r="23" spans="1:6" x14ac:dyDescent="0.25">
      <c r="B23" s="70" t="s">
        <v>92</v>
      </c>
      <c r="C23" s="61">
        <v>44314</v>
      </c>
      <c r="D23" s="62"/>
      <c r="E23" s="62"/>
      <c r="F23" s="63"/>
    </row>
    <row r="24" spans="1:6" x14ac:dyDescent="0.25">
      <c r="B24" s="69" t="s">
        <v>127</v>
      </c>
      <c r="C24" s="57"/>
      <c r="D24" s="57"/>
      <c r="E24" s="57"/>
      <c r="F24" s="68"/>
    </row>
    <row r="26" spans="1:6" x14ac:dyDescent="0.25">
      <c r="B26" s="70" t="s">
        <v>92</v>
      </c>
      <c r="C26" s="61">
        <v>44314</v>
      </c>
      <c r="D26" s="62"/>
      <c r="E26" s="62"/>
      <c r="F26" s="63"/>
    </row>
    <row r="27" spans="1:6" x14ac:dyDescent="0.25">
      <c r="B27" s="69" t="s">
        <v>128</v>
      </c>
      <c r="C27" s="57"/>
      <c r="D27" s="57"/>
      <c r="E27" s="57"/>
      <c r="F27" s="68"/>
    </row>
    <row r="29" spans="1:6" x14ac:dyDescent="0.25">
      <c r="B29" s="70" t="s">
        <v>92</v>
      </c>
      <c r="C29" s="61">
        <v>44314</v>
      </c>
      <c r="D29" s="62"/>
      <c r="E29" s="62"/>
      <c r="F29" s="63"/>
    </row>
    <row r="30" spans="1:6" x14ac:dyDescent="0.25">
      <c r="B30" s="69" t="s">
        <v>129</v>
      </c>
      <c r="C30" s="57"/>
      <c r="D30" s="57"/>
      <c r="E30" s="57"/>
      <c r="F30" s="68"/>
    </row>
    <row r="32" spans="1:6" x14ac:dyDescent="0.25">
      <c r="B32" s="70" t="s">
        <v>92</v>
      </c>
      <c r="C32" s="61">
        <v>44314</v>
      </c>
      <c r="D32" s="62"/>
      <c r="E32" s="62"/>
      <c r="F32" s="63"/>
    </row>
    <row r="33" spans="2:6" x14ac:dyDescent="0.25">
      <c r="B33" s="69" t="s">
        <v>130</v>
      </c>
      <c r="C33" s="57"/>
      <c r="D33" s="57"/>
      <c r="E33" s="57"/>
      <c r="F33" s="68"/>
    </row>
    <row r="35" spans="2:6" x14ac:dyDescent="0.25">
      <c r="B35" s="70" t="s">
        <v>92</v>
      </c>
      <c r="C35" s="61">
        <v>44314</v>
      </c>
      <c r="D35" s="62"/>
      <c r="E35" s="62"/>
      <c r="F35" s="63"/>
    </row>
    <row r="36" spans="2:6" x14ac:dyDescent="0.25">
      <c r="B36" s="69" t="s">
        <v>131</v>
      </c>
      <c r="C36" s="57"/>
      <c r="D36" s="57"/>
      <c r="E36" s="57"/>
      <c r="F36" s="6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Actuele specificatie</vt:lpstr>
      <vt:lpstr>Overzicht ADC mutaties</vt:lpstr>
      <vt:lpstr>'Actuele specificatie'!Afdrukbereik</vt:lpstr>
    </vt:vector>
  </TitlesOfParts>
  <Company>Concordia de Keizer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Polak</dc:creator>
  <cp:lastModifiedBy>JoepNaterop</cp:lastModifiedBy>
  <cp:lastPrinted>2021-07-23T10:13:11Z</cp:lastPrinted>
  <dcterms:created xsi:type="dcterms:W3CDTF">2015-10-07T09:14:42Z</dcterms:created>
  <dcterms:modified xsi:type="dcterms:W3CDTF">2021-08-30T07:11:11Z</dcterms:modified>
</cp:coreProperties>
</file>